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 xmlns:r="http://schemas.openxmlformats.org/officeDocument/2006/relationships" name="📑 ทะเบียนรหัสเคส" sheetId="42" state="visible" r:id="rId42"/>
    <sheet xmlns:r="http://schemas.openxmlformats.org/officeDocument/2006/relationships" name="📖 System Guideline (คู่มือระบบ)" sheetId="43" state="visible" r:id="rId43"/>
  </sheets>
  <definedNames/>
  <calcPr calcId="191029" fullCalcOnLoad="1"/>
</workbook>
</file>

<file path=xl/styles.xml><?xml version="1.0" encoding="utf-8"?>
<styleSheet xmlns="http://schemas.openxmlformats.org/spreadsheetml/2006/main">
  <numFmts count="0"/>
  <fonts count="22">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
      <name val="Consolas"/>
      <b val="1"/>
      <color rgb="00B71C1C"/>
      <sz val="10"/>
    </font>
  </fonts>
  <fills count="29">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s>
  <borders count="7">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83">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xf numFmtId="0" fontId="18" fillId="0" borderId="0" applyAlignment="1" pivotButton="0" quotePrefix="0" xfId="0">
      <alignment horizontal="left" vertical="center"/>
    </xf>
    <xf numFmtId="0" fontId="19" fillId="22" borderId="0" pivotButton="0" quotePrefix="0" xfId="0"/>
    <xf numFmtId="0" fontId="13" fillId="0" borderId="2" pivotButton="0" quotePrefix="0" xfId="0"/>
    <xf numFmtId="0" fontId="12" fillId="0" borderId="2" pivotButton="0" quotePrefix="0" xfId="0"/>
    <xf numFmtId="0" fontId="21" fillId="0" borderId="0" applyAlignment="1" pivotButton="0" quotePrefix="0" xfId="0">
      <alignment horizontal="center" vertical="center"/>
    </xf>
    <xf numFmtId="0" fontId="21" fillId="0" borderId="2" applyAlignment="1" pivotButton="0" quotePrefix="0" xfId="0">
      <alignment horizontal="center" vertical="center"/>
    </xf>
    <xf numFmtId="0" fontId="13" fillId="0" borderId="2" applyAlignment="1" pivotButton="0" quotePrefix="0" xfId="0">
      <alignment horizontal="center" vertical="center"/>
    </xf>
    <xf numFmtId="0" fontId="12"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0" fillId="0" borderId="5" pivotButton="0" quotePrefix="0" xfId="0"/>
    <xf numFmtId="0" fontId="0" fillId="0" borderId="6" pivotButton="0" quotePrefix="0" xfId="0"/>
    <xf numFmtId="0" fontId="20" fillId="0" borderId="0" pivotButton="0" quotePrefix="0" xfId="0"/>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F50"/>
  <sheetViews>
    <sheetView workbookViewId="0">
      <selection activeCell="A1" sqref="A1"/>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2"/>
    <row r="3" ht="26" customHeight="1" s="49">
      <c r="A3" s="60" t="inlineStr">
        <is>
          <t>🩺 1. CLINICAL PHARMACY (PLE-CC1 CLINIC) — 18 หมวดวิชา</t>
        </is>
      </c>
    </row>
    <row r="4" ht="24" customHeight="1" s="49">
      <c r="A4" s="61" t="inlineStr">
        <is>
          <t>ลำดับ</t>
        </is>
      </c>
      <c r="B4" s="61" t="inlineStr">
        <is>
          <t>หมวดวิชา / แผนกข้อสอบ</t>
        </is>
      </c>
      <c r="C4" s="61" t="inlineStr">
        <is>
          <t>จำนวนข้อ</t>
        </is>
      </c>
      <c r="D4" s="61" t="inlineStr">
        <is>
          <t>สถานะการตรวจ</t>
        </is>
      </c>
      <c r="E4" s="61" t="inlineStr">
        <is>
          <t>ทางลัดเปิดชีตข้อสอบ</t>
        </is>
      </c>
      <c r="F4" s="61" t="inlineStr">
        <is>
          <t>คำอธิบายเนื้อหา</t>
        </is>
      </c>
    </row>
    <row r="5" ht="22" customHeight="1" s="49">
      <c r="A5" s="62" t="n">
        <v>1</v>
      </c>
      <c r="B5" s="63" t="inlineStr">
        <is>
          <t>1. Musculoskeleton</t>
        </is>
      </c>
      <c r="C5" s="62" t="inlineStr">
        <is>
          <t>224 ข้อ</t>
        </is>
      </c>
      <c r="D5" s="62" t="inlineStr">
        <is>
          <t>100% ALL CLEAR ✅</t>
        </is>
      </c>
      <c r="E5" s="64">
        <f>HYPERLINK("#'1. Musculoskeleton'!A1", "➡️ ไปยัง 1. Musculoskeleton")</f>
        <v/>
      </c>
      <c r="F5" s="63" t="inlineStr">
        <is>
          <t>ระบบกระดูกและกล้ามเนื้อ โรคเกาต์ ข้อเสื่อม ข้ออักเสบรูมาตอยด์</t>
        </is>
      </c>
    </row>
    <row r="6" ht="22" customHeight="1" s="49">
      <c r="A6" s="65" t="n">
        <v>2</v>
      </c>
      <c r="B6" s="66" t="inlineStr">
        <is>
          <t>2. Cardiovascular</t>
        </is>
      </c>
      <c r="C6" s="65" t="inlineStr">
        <is>
          <t>246 ข้อ</t>
        </is>
      </c>
      <c r="D6" s="65" t="inlineStr">
        <is>
          <t>100% ALL CLEAR ✅</t>
        </is>
      </c>
      <c r="E6" s="67">
        <f>HYPERLINK("#'2. Cardiovascular'!A1", "➡️ ไปยัง 2. Cardiovascular")</f>
        <v/>
      </c>
      <c r="F6" s="66" t="inlineStr">
        <is>
          <t>ระบบหัวใจและหลอดเลือด ความดันโลหิตสูง ไขมัน หัวใจล้มเหลว โรคหลอดเลือดหัวใจ</t>
        </is>
      </c>
    </row>
    <row r="7" ht="22" customHeight="1" s="49">
      <c r="A7" s="62" t="n">
        <v>3</v>
      </c>
      <c r="B7" s="63" t="inlineStr">
        <is>
          <t>3. Dermatologic</t>
        </is>
      </c>
      <c r="C7" s="62" t="inlineStr">
        <is>
          <t>223 ข้อ</t>
        </is>
      </c>
      <c r="D7" s="62" t="inlineStr">
        <is>
          <t>100% ALL CLEAR ✅</t>
        </is>
      </c>
      <c r="E7" s="64">
        <f>HYPERLINK("#'3. Dermatologic'!A1", "➡️ ไปยัง 3. Dermatologic")</f>
        <v/>
      </c>
      <c r="F7" s="63" t="inlineStr">
        <is>
          <t>โรคผิวหนัง ผื่นแพ้ยา เชื้อรา กลากเกลื้อน เริม สิว สะเก็ดเงิน</t>
        </is>
      </c>
    </row>
    <row r="8" ht="22" customHeight="1" s="49">
      <c r="A8" s="65" t="n">
        <v>4</v>
      </c>
      <c r="B8" s="66" t="inlineStr">
        <is>
          <t>4. Endocrine</t>
        </is>
      </c>
      <c r="C8" s="65" t="inlineStr">
        <is>
          <t>185 ข้อ</t>
        </is>
      </c>
      <c r="D8" s="65" t="inlineStr">
        <is>
          <t>100% ALL CLEAR ✅</t>
        </is>
      </c>
      <c r="E8" s="67">
        <f>HYPERLINK("#'4. Endocrine'!A1", "➡️ ไปยัง 4. Endocrine")</f>
        <v/>
      </c>
      <c r="F8" s="66" t="inlineStr">
        <is>
          <t>ระบบต่อมไร้ท่อ โรคเบาหวาน ต่อมไทรอยด์ กระดูกพรุน</t>
        </is>
      </c>
    </row>
    <row r="9" ht="22" customHeight="1" s="49">
      <c r="A9" s="62" t="n">
        <v>5</v>
      </c>
      <c r="B9" s="63" t="inlineStr">
        <is>
          <t>5. Gastrointestinal</t>
        </is>
      </c>
      <c r="C9" s="62" t="inlineStr">
        <is>
          <t>196 ข้อ</t>
        </is>
      </c>
      <c r="D9" s="62" t="inlineStr">
        <is>
          <t>100% ALL CLEAR ✅</t>
        </is>
      </c>
      <c r="E9" s="64">
        <f>HYPERLINK("#'5. Gastrointestinal'!A1", "➡️ ไปยัง 5. Gastrointestinal")</f>
        <v/>
      </c>
      <c r="F9" s="63" t="inlineStr">
        <is>
          <t>ระบบทางเดินอาหาร กรดไหลย้อน แผลในกระเพาะ ท้องผูก ท้องเสีย ไวรัสตับอักเสบ</t>
        </is>
      </c>
    </row>
    <row r="10" ht="22" customHeight="1" s="49">
      <c r="A10" s="65" t="n">
        <v>6</v>
      </c>
      <c r="B10" s="66" t="inlineStr">
        <is>
          <t>6. Hematologic</t>
        </is>
      </c>
      <c r="C10" s="65" t="inlineStr">
        <is>
          <t>103 ข้อ</t>
        </is>
      </c>
      <c r="D10" s="65" t="inlineStr">
        <is>
          <t>100% ALL CLEAR ✅</t>
        </is>
      </c>
      <c r="E10" s="67">
        <f>HYPERLINK("#'6. Hematologic'!A1", "➡️ ไปยัง 6. Hematologic")</f>
        <v/>
      </c>
      <c r="F10" s="66" t="inlineStr">
        <is>
          <t>โรคระบบเลือด โลหิตจาง ธาลัสซีเมีย การให้เลือดและอนุพันธ์เลือด</t>
        </is>
      </c>
    </row>
    <row r="11" ht="22" customHeight="1" s="49">
      <c r="A11" s="62" t="n">
        <v>7</v>
      </c>
      <c r="B11" s="63" t="inlineStr">
        <is>
          <t>7. Immunologic</t>
        </is>
      </c>
      <c r="C11" s="62" t="inlineStr">
        <is>
          <t>119 ข้อ</t>
        </is>
      </c>
      <c r="D11" s="62" t="inlineStr">
        <is>
          <t>100% ALL CLEAR ✅</t>
        </is>
      </c>
      <c r="E11" s="64">
        <f>HYPERLINK("#'7. Immunologic'!A1", "➡️ ไปยัง 7. Immunologic")</f>
        <v/>
      </c>
      <c r="F11" s="63" t="inlineStr">
        <is>
          <t>ระบบภูมิคุ้มกัน โรคแพ้ภูมิตัวเอง SLE รูมาตอยด์ ภูมิแพ้ Anaphylaxis</t>
        </is>
      </c>
    </row>
    <row r="12" ht="22" customHeight="1" s="49">
      <c r="A12" s="65" t="n">
        <v>8</v>
      </c>
      <c r="B12" s="66" t="inlineStr">
        <is>
          <t>8. Infectious diseases</t>
        </is>
      </c>
      <c r="C12" s="65" t="inlineStr">
        <is>
          <t>314 ข้อ</t>
        </is>
      </c>
      <c r="D12" s="65" t="inlineStr">
        <is>
          <t>100% ALL CLEAR ✅</t>
        </is>
      </c>
      <c r="E12" s="67">
        <f>HYPERLINK("#'8. Infectious diseases'!A1", "➡️ ไปยัง 8. Infectious diseases")</f>
        <v/>
      </c>
      <c r="F12" s="66" t="inlineStr">
        <is>
          <t>โรคติดเชื้อ ยาปฏิชีวนะ วัณโรค เอชไอวี ติดเชื้อทางเดินหายใจและทางเดินปัสสาวะ</t>
        </is>
      </c>
    </row>
    <row r="13" ht="22" customHeight="1" s="49">
      <c r="A13" s="62" t="n">
        <v>9</v>
      </c>
      <c r="B13" s="63" t="inlineStr">
        <is>
          <t>9. Neurologic</t>
        </is>
      </c>
      <c r="C13" s="62" t="inlineStr">
        <is>
          <t>143 ข้อ</t>
        </is>
      </c>
      <c r="D13" s="62" t="inlineStr">
        <is>
          <t>100% ALL CLEAR ✅</t>
        </is>
      </c>
      <c r="E13" s="64">
        <f>HYPERLINK("#'9. Neurologic'!A1", "➡️ ไปยัง 9. Neurologic")</f>
        <v/>
      </c>
      <c r="F13" s="63" t="inlineStr">
        <is>
          <t>ระบบประสาท ลมชัก พาร์กินสัน ไมเกรน โรคหลอดเลือดสมอง อัลไซเมอร์</t>
        </is>
      </c>
    </row>
    <row r="14" ht="22" customHeight="1" s="49">
      <c r="A14" s="65" t="n">
        <v>10</v>
      </c>
      <c r="B14" s="66" t="inlineStr">
        <is>
          <t>10. Psychiatric</t>
        </is>
      </c>
      <c r="C14" s="65" t="inlineStr">
        <is>
          <t>116 ข้อ</t>
        </is>
      </c>
      <c r="D14" s="65" t="inlineStr">
        <is>
          <t>100% ALL CLEAR ✅</t>
        </is>
      </c>
      <c r="E14" s="67">
        <f>HYPERLINK("#'10. Psychiatric'!A1", "➡️ ไปยัง 10. Psychiatric")</f>
        <v/>
      </c>
      <c r="F14" s="66" t="inlineStr">
        <is>
          <t>จิตเวชศาสตร์ โรคซึมเศร้า วิตกกังวล ไบโพลาร์ โรคจิตเภท การนอนไม่หลับ การเลิกบุหรี่</t>
        </is>
      </c>
    </row>
    <row r="15" ht="22" customHeight="1" s="49">
      <c r="A15" s="62" t="n">
        <v>11</v>
      </c>
      <c r="B15" s="63" t="inlineStr">
        <is>
          <t>11. Pulmonary</t>
        </is>
      </c>
      <c r="C15" s="62" t="inlineStr">
        <is>
          <t>111 ข้อ</t>
        </is>
      </c>
      <c r="D15" s="62" t="inlineStr">
        <is>
          <t>100% ALL CLEAR ✅</t>
        </is>
      </c>
      <c r="E15" s="64">
        <f>HYPERLINK("#'11. Pulmonary'!A1", "➡️ ไปยัง 11. Pulmonary")</f>
        <v/>
      </c>
      <c r="F15" s="63" t="inlineStr">
        <is>
          <t>ระบบทางเดินหายใจ โรคหืด COPD ยาพ่นสูด การประเมินสมรรถภาพปอด</t>
        </is>
      </c>
    </row>
    <row r="16" ht="22" customHeight="1" s="49">
      <c r="A16" s="65" t="n">
        <v>12</v>
      </c>
      <c r="B16" s="66" t="inlineStr">
        <is>
          <t>12. GynaecologicGenitourinary</t>
        </is>
      </c>
      <c r="C16" s="65" t="inlineStr">
        <is>
          <t>158 ข้อ</t>
        </is>
      </c>
      <c r="D16" s="65" t="inlineStr">
        <is>
          <t>100% ALL CLEAR ✅</t>
        </is>
      </c>
      <c r="E16" s="67">
        <f>HYPERLINK("#'12. GynaecologicGenitourinary'!A1", "➡️ ไปยัง 12. GynaecologicGenitourinary")</f>
        <v/>
      </c>
      <c r="F16" s="66" t="inlineStr">
        <is>
          <t>สูตินรีเวชและทางเดินปัสสาวะ การคุมกำเนิด BPH ภาวะหมดประจำเดือน</t>
        </is>
      </c>
    </row>
    <row r="17" ht="22" customHeight="1" s="49">
      <c r="A17" s="62" t="n">
        <v>13</v>
      </c>
      <c r="B17" s="63" t="inlineStr">
        <is>
          <t>13. Eye disorder</t>
        </is>
      </c>
      <c r="C17" s="62" t="inlineStr">
        <is>
          <t>48 ข้อ</t>
        </is>
      </c>
      <c r="D17" s="62" t="inlineStr">
        <is>
          <t>100% ALL CLEAR ✅</t>
        </is>
      </c>
      <c r="E17" s="64">
        <f>HYPERLINK("#'13. Eye disorder'!A1", "➡️ ไปยัง 13. Eye disorder")</f>
        <v/>
      </c>
      <c r="F17" s="63" t="inlineStr">
        <is>
          <t>โรคทางจักษุ ต้อหิน ตาแดง ตาแห้ง การติดเชื้อที่ตา ยาหยอดตา</t>
        </is>
      </c>
    </row>
    <row r="18" ht="22" customHeight="1" s="49">
      <c r="A18" s="65" t="n">
        <v>14</v>
      </c>
      <c r="B18" s="66" t="inlineStr">
        <is>
          <t>14. Oncologic</t>
        </is>
      </c>
      <c r="C18" s="65" t="inlineStr">
        <is>
          <t>102 ข้อ</t>
        </is>
      </c>
      <c r="D18" s="65" t="inlineStr">
        <is>
          <t>100% ALL CLEAR ✅</t>
        </is>
      </c>
      <c r="E18" s="67">
        <f>HYPERLINK("#'14. Oncologic'!A1", "➡️ ไปยัง 14. Oncologic")</f>
        <v/>
      </c>
      <c r="F18" s="66" t="inlineStr">
        <is>
          <t>โรคมะเร็ง เคมีบำบัด Targeted therapy ภูมิคุ้มกันบำบัด ADRs จากยาเคมีบำบัด</t>
        </is>
      </c>
    </row>
    <row r="19" ht="22" customHeight="1" s="49">
      <c r="A19" s="62" t="n">
        <v>15</v>
      </c>
      <c r="B19" s="63" t="inlineStr">
        <is>
          <t>15. Renal</t>
        </is>
      </c>
      <c r="C19" s="62" t="inlineStr">
        <is>
          <t>71 ข้อ</t>
        </is>
      </c>
      <c r="D19" s="62" t="inlineStr">
        <is>
          <t>100% ALL CLEAR ✅</t>
        </is>
      </c>
      <c r="E19" s="64">
        <f>HYPERLINK("#'15. Renal'!A1", "➡️ ไปยัง 15. Renal")</f>
        <v/>
      </c>
      <c r="F19" s="63" t="inlineStr">
        <is>
          <t>โรคไต ไตวายเฉียบพลัน ไตเรื้อรัง การปรับขนาดยาตามการทำงานของไต ฟอกเลือด</t>
        </is>
      </c>
    </row>
    <row r="20" ht="22" customHeight="1" s="49">
      <c r="A20" s="65" t="n">
        <v>16</v>
      </c>
      <c r="B20" s="66" t="inlineStr">
        <is>
          <t>16. Toxicology &amp; Poisoning</t>
        </is>
      </c>
      <c r="C20" s="65" t="inlineStr">
        <is>
          <t>40 ข้อ</t>
        </is>
      </c>
      <c r="D20" s="65" t="inlineStr">
        <is>
          <t>100% ALL CLEAR ✅</t>
        </is>
      </c>
      <c r="E20" s="67">
        <f>HYPERLINK("#'16. Toxicology &amp; Poisoning'!A1", "➡️ ไปยัง 16. Toxicology &amp; Poisoning")</f>
        <v/>
      </c>
      <c r="F20" s="66" t="inlineStr">
        <is>
          <t>พิษวิทยา ยาต้านพิษ (Antidotes) การจัดการภาวะได้รับสารพิษเฉียบพลัน</t>
        </is>
      </c>
    </row>
    <row r="21" ht="22" customHeight="1" s="49">
      <c r="A21" s="62" t="n">
        <v>17</v>
      </c>
      <c r="B21" s="63" t="inlineStr">
        <is>
          <t>17. Herbal Medicine</t>
        </is>
      </c>
      <c r="C21" s="62" t="inlineStr">
        <is>
          <t>86 ข้อ</t>
        </is>
      </c>
      <c r="D21" s="62" t="inlineStr">
        <is>
          <t>100% ALL CLEAR ✅</t>
        </is>
      </c>
      <c r="E21" s="64">
        <f>HYPERLINK("#'17. Herbal Medicine'!A1", "➡️ ไปยัง 17. Herbal Medicine")</f>
        <v/>
      </c>
      <c r="F21" s="63" t="inlineStr">
        <is>
          <t>การบริบาลสมุนไพร บัญชียาหลักแห่งชาติด้านสมุนไพร และสมุนไพรในการดูแลสุขภาพ</t>
        </is>
      </c>
    </row>
    <row r="22" ht="22" customHeight="1" s="49">
      <c r="A22" s="65" t="n">
        <v>18</v>
      </c>
      <c r="B22" s="66" t="inlineStr">
        <is>
          <t>18. Clinical Nutrition</t>
        </is>
      </c>
      <c r="C22" s="65" t="inlineStr">
        <is>
          <t>23 ข้อ</t>
        </is>
      </c>
      <c r="D22" s="65" t="inlineStr">
        <is>
          <t>100% ALL CLEAR ✅</t>
        </is>
      </c>
      <c r="E22" s="67">
        <f>HYPERLINK("#'18. Clinical Nutrition'!A1", "➡️ ไปยัง 18. Clinical Nutrition")</f>
        <v/>
      </c>
      <c r="F22" s="66" t="inlineStr">
        <is>
          <t>โภชนบำบัด TPN/EN การประเมินภาวะทุพโภชนาการ วิตามินและเกลือแร่</t>
        </is>
      </c>
    </row>
    <row r="23"/>
    <row r="24" ht="26" customHeight="1" s="49">
      <c r="A24" s="68" t="inlineStr">
        <is>
          <t>🔬 2. PHARMACEUTICAL SCIENCES (PLE-CC1 PRODUCT) — 13 หมวดวิชา</t>
        </is>
      </c>
    </row>
    <row r="25" ht="24" customHeight="1" s="49">
      <c r="A25" s="61" t="inlineStr">
        <is>
          <t>ลำดับ</t>
        </is>
      </c>
      <c r="B25" s="61" t="inlineStr">
        <is>
          <t>หมวดวิชา / แผนกข้อสอบ</t>
        </is>
      </c>
      <c r="C25" s="61" t="inlineStr">
        <is>
          <t>จำนวนข้อ</t>
        </is>
      </c>
      <c r="D25" s="61" t="inlineStr">
        <is>
          <t>สถานะการตรวจ</t>
        </is>
      </c>
      <c r="E25" s="61" t="inlineStr">
        <is>
          <t>ทางลัดเปิดชีตข้อสอบ</t>
        </is>
      </c>
      <c r="F25" s="61" t="inlineStr">
        <is>
          <t>คำอธิบายเนื้อหา</t>
        </is>
      </c>
    </row>
    <row r="26" ht="22" customHeight="1" s="49">
      <c r="A26" s="62" t="n">
        <v>1</v>
      </c>
      <c r="B26" s="63" t="inlineStr">
        <is>
          <t>1. Titrations</t>
        </is>
      </c>
      <c r="C26" s="62" t="inlineStr">
        <is>
          <t>80 ข้อ</t>
        </is>
      </c>
      <c r="D26" s="62" t="inlineStr">
        <is>
          <t>100% ALL CLEAR ✅</t>
        </is>
      </c>
      <c r="E26" s="64">
        <f>HYPERLINK("#'1. Titrations'!A1", "➡️ ไปยัง 1. Titrations")</f>
        <v/>
      </c>
      <c r="F26" s="63" t="inlineStr">
        <is>
          <t>เคมีวิเคราะห์ การไทเทรต Acid-Base, Redox, Complexometric, Precipitation</t>
        </is>
      </c>
    </row>
    <row r="27" ht="22" customHeight="1" s="49">
      <c r="A27" s="65" t="n">
        <v>2</v>
      </c>
      <c r="B27" s="66" t="inlineStr">
        <is>
          <t>2. Chromatography</t>
        </is>
      </c>
      <c r="C27" s="65" t="inlineStr">
        <is>
          <t>76 ข้อ</t>
        </is>
      </c>
      <c r="D27" s="65" t="inlineStr">
        <is>
          <t>100% ALL CLEAR ✅</t>
        </is>
      </c>
      <c r="E27" s="67">
        <f>HYPERLINK("#'2. Chromatography'!A1", "➡️ ไปยัง 2. Chromatography")</f>
        <v/>
      </c>
      <c r="F27" s="66" t="inlineStr">
        <is>
          <t>โครมาโทกราฟี HPLC, TLC, GC การวิเคราะห์สารสำคัญและการทดสอบความบริสุทธิ์</t>
        </is>
      </c>
    </row>
    <row r="28" ht="22" customHeight="1" s="49">
      <c r="A28" s="62" t="n">
        <v>3</v>
      </c>
      <c r="B28" s="63" t="inlineStr">
        <is>
          <t>3. Spectroscopy &amp; Optics</t>
        </is>
      </c>
      <c r="C28" s="62" t="inlineStr">
        <is>
          <t>65 ข้อ</t>
        </is>
      </c>
      <c r="D28" s="62" t="inlineStr">
        <is>
          <t>100% ALL CLEAR ✅</t>
        </is>
      </c>
      <c r="E28" s="64">
        <f>HYPERLINK("#'3. Spectroscopy &amp; Optics'!A1", "➡️ ไปยัง 3. Spectroscopy &amp; Optics")</f>
        <v/>
      </c>
      <c r="F28" s="63" t="inlineStr">
        <is>
          <t>สเปกโทรสโกปี UV-Vis, FT-IR, Mass, Polarimetry, Specific rotation</t>
        </is>
      </c>
    </row>
    <row r="29" ht="22" customHeight="1" s="49">
      <c r="A29" s="65" t="n">
        <v>4</v>
      </c>
      <c r="B29" s="66" t="inlineStr">
        <is>
          <t>4. Preformulation &amp; GMP</t>
        </is>
      </c>
      <c r="C29" s="65" t="inlineStr">
        <is>
          <t>124 ข้อ</t>
        </is>
      </c>
      <c r="D29" s="65" t="inlineStr">
        <is>
          <t>100% ALL CLEAR ✅</t>
        </is>
      </c>
      <c r="E29" s="67">
        <f>HYPERLINK("#'4. Preformulation &amp; GMP'!A1", "➡️ ไปยัง 4. Preformulation &amp; GMP")</f>
        <v/>
      </c>
      <c r="F29" s="66" t="inlineStr">
        <is>
          <t>การเตรียมก่อนตั้งสูตร ความคงตัว หลักเกณฑ์วิธีการที่ดีในการผลิตยา (GMP/PIC/S)</t>
        </is>
      </c>
    </row>
    <row r="30" ht="22" customHeight="1" s="49">
      <c r="A30" s="62" t="n">
        <v>5</v>
      </c>
      <c r="B30" s="63" t="inlineStr">
        <is>
          <t>5. Pharmaceutical Calc</t>
        </is>
      </c>
      <c r="C30" s="62" t="inlineStr">
        <is>
          <t>33 ข้อ</t>
        </is>
      </c>
      <c r="D30" s="62" t="inlineStr">
        <is>
          <t>100% ALL CLEAR ✅</t>
        </is>
      </c>
      <c r="E30" s="64">
        <f>HYPERLINK("#'5. Pharmaceutical Calc'!A1", "➡️ ไปยัง 5. Pharmaceutical Calc")</f>
        <v/>
      </c>
      <c r="F30" s="63" t="inlineStr">
        <is>
          <t>การคำนวณทางเภสัชกรรม การเจือจาง การปรับแรงดันออสโมติก Isotonicity</t>
        </is>
      </c>
    </row>
    <row r="31" ht="22" customHeight="1" s="49">
      <c r="A31" s="65" t="n">
        <v>6</v>
      </c>
      <c r="B31" s="66" t="inlineStr">
        <is>
          <t>6. Solid Dosage Forms</t>
        </is>
      </c>
      <c r="C31" s="65" t="inlineStr">
        <is>
          <t>271 ข้อ</t>
        </is>
      </c>
      <c r="D31" s="65" t="inlineStr">
        <is>
          <t>100% ALL CLEAR ✅</t>
        </is>
      </c>
      <c r="E31" s="67">
        <f>HYPERLINK("#'6. Solid Dosage Forms'!A1", "➡️ ไปยัง 6. Solid Dosage Forms")</f>
        <v/>
      </c>
      <c r="F31" s="66" t="inlineStr">
        <is>
          <t>ยาเตรียมรูปแบบของแข็ง ยาเม็ด แคปซูล สารช่วยในตำรับ การเคลือบเม็ดยา</t>
        </is>
      </c>
    </row>
    <row r="32" ht="22" customHeight="1" s="49">
      <c r="A32" s="62" t="n">
        <v>7</v>
      </c>
      <c r="B32" s="63" t="inlineStr">
        <is>
          <t>7. Liquid &amp; Semisolids</t>
        </is>
      </c>
      <c r="C32" s="62" t="inlineStr">
        <is>
          <t>245 ข้อ</t>
        </is>
      </c>
      <c r="D32" s="62" t="inlineStr">
        <is>
          <t>100% ALL CLEAR ✅</t>
        </is>
      </c>
      <c r="E32" s="64">
        <f>HYPERLINK("#'7. Liquid &amp; Semisolids'!A1", "➡️ ไปยัง 7. Liquid &amp; Semisolids")</f>
        <v/>
      </c>
      <c r="F32" s="63" t="inlineStr">
        <is>
          <t>ยาน้ำ สารละลาย ยาแขวนตะกอน อิมัลชัน ยาขี้ผึ้ง ครีม เจล สารช่วยลดแรงตึงผิว</t>
        </is>
      </c>
    </row>
    <row r="33" ht="22" customHeight="1" s="49">
      <c r="A33" s="65" t="n">
        <v>8</v>
      </c>
      <c r="B33" s="66" t="inlineStr">
        <is>
          <t>8. Biopharm &amp; Drug Release</t>
        </is>
      </c>
      <c r="C33" s="65" t="inlineStr">
        <is>
          <t>85 ข้อ</t>
        </is>
      </c>
      <c r="D33" s="65" t="inlineStr">
        <is>
          <t>100% ALL CLEAR ✅</t>
        </is>
      </c>
      <c r="E33" s="67">
        <f>HYPERLINK("#'8. Biopharm &amp; Drug Release'!A1", "➡️ ไปยัง 8. Biopharm &amp; Drug Release")</f>
        <v/>
      </c>
      <c r="F33" s="66" t="inlineStr">
        <is>
          <t>เภสัชชีวภาพ การดูดซึมยา กลไกการแพร่ Dissolution ชีวสมมูล (Bioequivalence)</t>
        </is>
      </c>
    </row>
    <row r="34" ht="22" customHeight="1" s="49">
      <c r="A34" s="62" t="n">
        <v>9</v>
      </c>
      <c r="B34" s="63" t="inlineStr">
        <is>
          <t>9. Sterile &amp; Special Forms</t>
        </is>
      </c>
      <c r="C34" s="62" t="inlineStr">
        <is>
          <t>83 ข้อ</t>
        </is>
      </c>
      <c r="D34" s="62" t="inlineStr">
        <is>
          <t>100% ALL CLEAR ✅</t>
        </is>
      </c>
      <c r="E34" s="64">
        <f>HYPERLINK("#'9. Sterile &amp; Special Forms'!A1", "➡️ ไปยัง 9. Sterile &amp; Special Forms")</f>
        <v/>
      </c>
      <c r="F34" s="63" t="inlineStr">
        <is>
          <t>ยาฉีดปราศจากเชื้อ การทำให้ปราศจากเชื้อ การทดสอบ Endotoxin ยาพ่นสูด แผ่นแปะผิวหนัง</t>
        </is>
      </c>
    </row>
    <row r="35" ht="22" customHeight="1" s="49">
      <c r="A35" s="65" t="n">
        <v>10</v>
      </c>
      <c r="B35" s="66" t="inlineStr">
        <is>
          <t>10. Biotech Products</t>
        </is>
      </c>
      <c r="C35" s="65" t="inlineStr">
        <is>
          <t>117 ข้อ</t>
        </is>
      </c>
      <c r="D35" s="65" t="inlineStr">
        <is>
          <t>100% ALL CLEAR ✅</t>
        </is>
      </c>
      <c r="E35" s="67">
        <f>HYPERLINK("#'10. Biotech Products'!A1", "➡️ ไปยัง 10. Biotech Products")</f>
        <v/>
      </c>
      <c r="F35" s="66" t="inlineStr">
        <is>
          <t>ยาชีววัตถุ Monoclonal antibodies รีคอมบิแนนท์โปรตีน Biosimilars และการควบคุมคุณภาพ</t>
        </is>
      </c>
    </row>
    <row r="36" ht="22" customHeight="1" s="49">
      <c r="A36" s="62" t="n">
        <v>11</v>
      </c>
      <c r="B36" s="63" t="inlineStr">
        <is>
          <t>11. Herbal Products</t>
        </is>
      </c>
      <c r="C36" s="62" t="inlineStr">
        <is>
          <t>33 ข้อ</t>
        </is>
      </c>
      <c r="D36" s="62" t="inlineStr">
        <is>
          <t>100% ALL CLEAR ✅</t>
        </is>
      </c>
      <c r="E36" s="64">
        <f>HYPERLINK("#'11. Herbal Products'!A1", "➡️ ไปยัง 11. Herbal Products")</f>
        <v/>
      </c>
      <c r="F36" s="63" t="inlineStr">
        <is>
          <t>ผลิตภัณฑ์สมุนไพรและเภสัชเวท การสกัดสารสำคัญ THP มาร์กเกอร์และการควบคุมคุณภาพ</t>
        </is>
      </c>
    </row>
    <row r="37" ht="22" customHeight="1" s="49">
      <c r="A37" s="65" t="n">
        <v>12</v>
      </c>
      <c r="B37" s="66" t="inlineStr">
        <is>
          <t>12. Food Products &amp; QA</t>
        </is>
      </c>
      <c r="C37" s="65" t="inlineStr">
        <is>
          <t>1 ข้อ</t>
        </is>
      </c>
      <c r="D37" s="65" t="inlineStr">
        <is>
          <t>100% ALL CLEAR ✅</t>
        </is>
      </c>
      <c r="E37" s="67">
        <f>HYPERLINK("#'12. Food Products &amp; QA'!A1", "➡️ ไปยัง 12. Food Products &amp; QA")</f>
        <v/>
      </c>
      <c r="F37" s="66" t="inlineStr">
        <is>
          <t>ผลิตภัณฑ์อาหาร ผลิตภัณฑ์เสริมอาหาร การประกันคุณภาพอาหารและกฎหมายที่เกี่ยวข้อง</t>
        </is>
      </c>
    </row>
    <row r="38" ht="22" customHeight="1" s="49">
      <c r="A38" s="62" t="n">
        <v>13</v>
      </c>
      <c r="B38" s="63" t="inlineStr">
        <is>
          <t>13. Medicinal Chemistry</t>
        </is>
      </c>
      <c r="C38" s="62" t="inlineStr">
        <is>
          <t>81 ข้อ</t>
        </is>
      </c>
      <c r="D38" s="62" t="inlineStr">
        <is>
          <t>100% ALL CLEAR ✅</t>
        </is>
      </c>
      <c r="E38" s="64">
        <f>HYPERLINK("#'13. Medicinal Chemistry'!A1", "➡️ ไปยัง 13. Medicinal Chemistry")</f>
        <v/>
      </c>
      <c r="F38" s="63" t="inlineStr">
        <is>
          <t>เคมีทางยา โครงสร้าง SAR เมแทบอลิซึมของยา การออกแบบยา และแรงยึดเหนี่ยวโมเลกุล</t>
        </is>
      </c>
    </row>
    <row r="39"/>
    <row r="40" ht="26" customHeight="1" s="49">
      <c r="A40" s="69" t="inlineStr">
        <is>
          <t>⚖️ 3. SOCIAL &amp; ADMINISTRATIVE PHARMACY (PLE-CC1 SAP) — 3 หมวดวิชา</t>
        </is>
      </c>
    </row>
    <row r="41" ht="24" customHeight="1" s="49">
      <c r="A41" s="61" t="inlineStr">
        <is>
          <t>ลำดับ</t>
        </is>
      </c>
      <c r="B41" s="61" t="inlineStr">
        <is>
          <t>หมวดวิชา / แผนกข้อสอบ</t>
        </is>
      </c>
      <c r="C41" s="61" t="inlineStr">
        <is>
          <t>จำนวนข้อ</t>
        </is>
      </c>
      <c r="D41" s="61" t="inlineStr">
        <is>
          <t>สถานะการตรวจ</t>
        </is>
      </c>
      <c r="E41" s="61" t="inlineStr">
        <is>
          <t>ทางลัดเปิดชีตข้อสอบ</t>
        </is>
      </c>
      <c r="F41" s="61" t="inlineStr">
        <is>
          <t>คำอธิบายเนื้อหา</t>
        </is>
      </c>
    </row>
    <row r="42" ht="22" customHeight="1" s="49">
      <c r="A42" s="62" t="n">
        <v>1</v>
      </c>
      <c r="B42" s="63" t="inlineStr">
        <is>
          <t>1. Pharmacy Laws &amp; Ethics</t>
        </is>
      </c>
      <c r="C42" s="62" t="inlineStr">
        <is>
          <t>313 ข้อ</t>
        </is>
      </c>
      <c r="D42" s="62" t="inlineStr">
        <is>
          <t>100% ALL CLEAR ✅</t>
        </is>
      </c>
      <c r="E42" s="64">
        <f>HYPERLINK("#'1. Pharmacy Laws &amp; Ethics'!A1", "➡️ ไปยัง 1. Pharmacy Laws &amp; Ethics")</f>
        <v/>
      </c>
      <c r="F42" s="63" t="inlineStr">
        <is>
          <t>กฎหมายยา พ.ร.บ.ยา พ.ร.บ.วัตถุออกฤทธิ์ ยาเสพติด จรรยาบรรณวิชาชีพเภสัชกรรม และ GPP</t>
        </is>
      </c>
    </row>
    <row r="43" ht="22" customHeight="1" s="49">
      <c r="A43" s="65" t="n">
        <v>2</v>
      </c>
      <c r="B43" s="66" t="inlineStr">
        <is>
          <t>2. Pharmacy Administration &amp; Sy</t>
        </is>
      </c>
      <c r="C43" s="65" t="inlineStr">
        <is>
          <t>7 ข้อ</t>
        </is>
      </c>
      <c r="D43" s="65" t="inlineStr">
        <is>
          <t>100% ALL CLEAR ✅</t>
        </is>
      </c>
      <c r="E43" s="67">
        <f>HYPERLINK("#'2. Pharmacy Administration &amp; Sy'!A1", "➡️ ไปยัง 2. Pharmacy Administration &amp; Sy")</f>
        <v/>
      </c>
      <c r="F43" s="66" t="inlineStr">
        <is>
          <t>การบริหารเภสัชกิจ บัญชียาหลักแห่งชาติ ระบบประกันสุขภาพ การจัดซื้อและคลังยา</t>
        </is>
      </c>
    </row>
    <row r="44" ht="22" customHeight="1" s="49">
      <c r="A44" s="62" t="n">
        <v>3</v>
      </c>
      <c r="B44" s="63" t="inlineStr">
        <is>
          <t>3. Research &amp; Biostats</t>
        </is>
      </c>
      <c r="C44" s="62" t="inlineStr">
        <is>
          <t>76 ข้อ</t>
        </is>
      </c>
      <c r="D44" s="62" t="inlineStr">
        <is>
          <t>100% ALL CLEAR ✅</t>
        </is>
      </c>
      <c r="E44" s="64">
        <f>HYPERLINK("#'3. Research &amp; Biostats'!A1", "➡️ ไปยัง 3. Research &amp; Biostats")</f>
        <v/>
      </c>
      <c r="F44" s="63" t="inlineStr">
        <is>
          <t>ระเบียบวิธีวิจัย ชีวสถิติ การออกแบบการวิจัยทางคลินิก การแปลผลสถิติและเวชศาสตร์เชิงประจักษ์</t>
        </is>
      </c>
    </row>
    <row r="45"/>
    <row r="46" ht="26" customHeight="1" s="49">
      <c r="A46" s="70" t="inlineStr">
        <is>
          <t>⚡ 4. FAST QUIZ ENGINE &amp; CASE DIRECTORY (ระบบสุ่มข้อสอบด่วนและทะเบียนเคส)</t>
        </is>
      </c>
    </row>
    <row r="47" ht="24" customHeight="1" s="49">
      <c r="A47" s="61" t="inlineStr">
        <is>
          <t>ลำดับ</t>
        </is>
      </c>
      <c r="B47" s="61" t="inlineStr">
        <is>
          <t>หมวดวิชา / แผนกข้อสอบ</t>
        </is>
      </c>
      <c r="C47" s="61" t="inlineStr">
        <is>
          <t>จำนวนข้อ</t>
        </is>
      </c>
      <c r="D47" s="61" t="inlineStr">
        <is>
          <t>สถานะการตรวจ</t>
        </is>
      </c>
      <c r="E47" s="61" t="inlineStr">
        <is>
          <t>ทางลัดเปิดชีตข้อสอบ</t>
        </is>
      </c>
      <c r="F47" s="61" t="inlineStr">
        <is>
          <t>คำอธิบายเนื้อหา</t>
        </is>
      </c>
    </row>
    <row r="48" ht="22" customHeight="1" s="49">
      <c r="A48" s="62" t="n">
        <v>1</v>
      </c>
      <c r="B48" s="63" t="inlineStr">
        <is>
          <t>📥 รวมข้อสอบด่วน</t>
        </is>
      </c>
      <c r="C48" s="62" t="inlineStr">
        <is>
          <t>132 ข้อ</t>
        </is>
      </c>
      <c r="D48" s="62" t="inlineStr">
        <is>
          <t>100% ALL CLEAR ✅</t>
        </is>
      </c>
      <c r="E48" s="64">
        <f>HYPERLINK("#'📥 รวมข้อสอบด่วน'!A1", "➡️ ไปยัง 📥 รวมข้อสอบด่วน")</f>
        <v/>
      </c>
      <c r="F48" s="63" t="inlineStr">
        <is>
          <t>คลังข้อสอบด่วนรวมทุกวิชา รองรับการสุ่มชุดข้อสอบต่อเนื่องและ Mock Exams พร้อม Case ID</t>
        </is>
      </c>
    </row>
    <row r="49" ht="22" customHeight="1" s="49">
      <c r="A49" s="65" t="n">
        <v>2</v>
      </c>
      <c r="B49" s="66" t="inlineStr">
        <is>
          <t>📑 ทะเบียนรหัสเคส</t>
        </is>
      </c>
      <c r="C49" s="65" t="inlineStr">
        <is>
          <t>37 ข้อ</t>
        </is>
      </c>
      <c r="D49" s="65" t="inlineStr">
        <is>
          <t>100% ALL CLEAR ✅</t>
        </is>
      </c>
      <c r="E49" s="67">
        <f>HYPERLINK("#'📑 ทะเบียนรหัสเคส'!A1", "➡️ ไปยัง 📑 ทะเบียนรหัสเคส")</f>
        <v/>
      </c>
      <c r="F49" s="66" t="inlineStr">
        <is>
          <t>ทะเบียนรหัสเคสกรณีศึกษาต่อเนื่อง (Master Case Directory) ป้องกันรหัสเคสซ้ำซ้อน</t>
        </is>
      </c>
    </row>
    <row r="50">
      <c r="A50" t="inlineStr">
        <is>
          <t>-</t>
        </is>
      </c>
      <c r="B50" t="inlineStr">
        <is>
          <t>📖 System Guideline (คู่มือระบบ)</t>
        </is>
      </c>
      <c r="C50" t="inlineStr">
        <is>
          <t>1 หน้า</t>
        </is>
      </c>
      <c r="D50" t="inlineStr">
        <is>
          <t>100% ALL CLEAR ✅</t>
        </is>
      </c>
      <c r="E50" s="82">
        <f>HYPERLINK("#'📖 System Guideline (คู่มือระบบ)'!A1", "➡️ ไปยัง คู่มือระบบ")</f>
        <v/>
      </c>
      <c r="F50" t="inlineStr">
        <is>
          <t>คู่มือมาตรฐานการบันทึกข้อมูล ไวยากรณ์รหัสเคส Master Non-Collision Syntax และโครงสร้างเฉลย 6 มิติ</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34"/>
  <sheetViews>
    <sheetView workbookViewId="0">
      <pane ySplit="2" topLeftCell="A3" activePane="bottomLeft" state="frozen"/>
      <selection pane="bottomLeft" activeCell="A1" sqref="A1"/>
    </sheetView>
  </sheetViews>
  <sheetFormatPr baseColWidth="8" defaultRowHeight="13.2"/>
  <cols>
    <col width="10" customWidth="1" style="49" min="1" max="1"/>
    <col width="60" customWidth="1" style="49" min="2" max="2"/>
    <col width="15" customWidth="1" style="49" min="3" max="3"/>
    <col width="35" customWidth="1" style="49" min="4" max="8"/>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5"/>
    <col width="20" customWidth="1" style="49" min="14" max="14"/>
    <col width="20" customWidth="1" style="49" min="15" max="15"/>
    <col width="24" customWidth="1" style="49" min="16" max="16"/>
    <col width="28" customWidth="1" style="49" min="17" max="17"/>
    <col width="30" customWidth="1" style="49" min="18" max="18"/>
  </cols>
  <sheetData>
    <row r="1" ht="36" customHeight="1" s="49">
      <c r="A1" s="50">
        <f>HYPERLINK("#'สารบัญ'!A1", "🏠 กลับสู่หน้าแรก (Go to Home Page)")</f>
        <v/>
      </c>
    </row>
    <row r="2" ht="37.95" customHeight="1" s="49">
      <c r="A2" s="46" t="inlineStr">
        <is>
          <t>ข้อที่</t>
        </is>
      </c>
      <c r="B2" s="46" t="inlineStr">
        <is>
          <t>คำถาม</t>
        </is>
      </c>
      <c r="C2" s="46" t="inlineStr">
        <is>
          <t>รูปถาม</t>
        </is>
      </c>
      <c r="D2" s="46" t="inlineStr">
        <is>
          <t>ตัวเลือก 1 (ก)</t>
        </is>
      </c>
      <c r="E2" s="46" t="inlineStr">
        <is>
          <t>ตัวเลือก 2 (ข)</t>
        </is>
      </c>
      <c r="F2" s="46" t="inlineStr">
        <is>
          <t>ตัวเลือก 3 (ค)</t>
        </is>
      </c>
      <c r="G2" s="46" t="inlineStr">
        <is>
          <t>ตัวเลือก 4 (ง)</t>
        </is>
      </c>
      <c r="H2" s="46" t="inlineStr">
        <is>
          <t>ตัวเลือก 5 (จ)</t>
        </is>
      </c>
      <c r="I2" s="46" t="inlineStr">
        <is>
          <t>เฉลย (1-5)</t>
        </is>
      </c>
      <c r="J2" s="46" t="inlineStr">
        <is>
          <t>คำอธิบายเฉลย</t>
        </is>
      </c>
      <c r="K2" s="46" t="inlineStr">
        <is>
          <t>รูปเฉลย</t>
        </is>
      </c>
      <c r="L2" s="46" t="inlineStr">
        <is>
          <t>Filter หมวด/Subtopic</t>
        </is>
      </c>
      <c r="M2" s="46" t="inlineStr">
        <is>
          <t>Track (Clinic/Product/SAP)</t>
        </is>
      </c>
      <c r="N2" s="46" t="inlineStr">
        <is>
          <t>หมายเหตุ</t>
        </is>
      </c>
      <c r="O2" s="46" t="inlineStr">
        <is>
          <t>ประเภทข้อสอบ</t>
        </is>
      </c>
      <c r="P2" s="46" t="inlineStr">
        <is>
          <t>ปี / เลขชุด</t>
        </is>
      </c>
      <c r="Q2" s="46" t="inlineStr">
        <is>
          <t>หมวดวิชา/ชีตปลายทาง ★</t>
        </is>
      </c>
      <c r="R2" t="inlineStr">
        <is>
          <t>Case ID (รหัสเคส)</t>
        </is>
      </c>
    </row>
    <row r="3" ht="28.05" customHeight="1" s="49">
      <c r="A3" t="n">
        <v>1</v>
      </c>
      <c r="B3" t="inlineStr">
        <is>
          <t>ผู้ป่วยชายอายุ 58 ปี มีประวัติโรคเกาต์มา 5 ปี กำเริบเฉียบพลันประมาณ 2 ครั้ง/ปี บริเวณข้อเท้าและหัวแม่เท้า ปัจจุบันได้รับยา allopurinol 300 mg 1x1 ตรวจเลือดล่าสุด 3 เดือนก่อนได้ค่า serum uric acid 7.2 mg/dL และมีโรคประจำตัวคือ type 2 DM, HTN ใช้ยา losartan, metformin, aspirin เมื่อ 2 วันก่อนมีอาการปวด บวม แดง ที่ข้อเท้าขวา ไม่มีไข้ ผู้ป่วยแจ้งว่าไม่ได้หยุดยา allopurinol ปัจจัย/สาเหตุใดที่ส่งผลต่อการเกิดอาการปวดขอกำเริบ</t>
        </is>
      </c>
      <c r="D3" t="inlineStr">
        <is>
          <t>ใช้ Allopurinol เป็นเวลานานอย่างต่อเนื่อง</t>
        </is>
      </c>
      <c r="E3" t="inlineStr">
        <is>
          <t>ได้รับ Aspirin</t>
        </is>
      </c>
      <c r="F3" t="inlineStr">
        <is>
          <t>ได้รับ Metformin</t>
        </is>
      </c>
      <c r="G3" t="inlineStr">
        <is>
          <t>ได้รับ Losartan</t>
        </is>
      </c>
      <c r="H3" t="inlineStr">
        <is>
          <t>Uric acid ในเลือดสูงกว่าค่าปกติ</t>
        </is>
      </c>
      <c r="I3" t="n">
        <v>2</v>
      </c>
      <c r="J3" t="inlineStr">
        <is>
          <t>✅ คำตอบที่ถูกต้อง: ข้อ ข. ได้รับ Aspirin
💡 Background: โรคเกาต์ (Gout) เกิดจากการสะสมของผลึก Monosodium urate ในข้อ โดยยาบางกลุ่มสามารถขัดขวางการขับกรดยูริกทางไตและกระตุ้นให้อาการกำเริบเฉียบพลันได้
🎯 ทำไมข้อนี้ถึงถูก: Low-dose aspirin (75-325 mg/day) มีผลยับยั้งการหลั่งกรดยูริกที่ท่อไตส่วนปลาย (Renal tubular secretion) ผ่านการแย่งจับกับตัวขนส่ง OAT1/OAT3 ทำให้การขับยูริกลดลงและเกิดการคั่งในเลือดจนกระตุ้น acute flare
🔍 ข้ออื่นผิดเพราะอะไร:
- ข้อ ก. (ใช้ Allopurinol เป็นเวลานานอย่างต่อเนื่อง): Allopurinol รับประทานสม่ำเสมอเป็นขนาดยาเดิม (300 mg/day) ไม่ได้เป็นสาเหตุของการกำเริบครั้งนี้ เพราะไม่ได้มีการปรับเปลี่ยนขนาดยากะทันหัน
- ข้อ ค. (ได้รับ Metformin): Metformin เป็นยาลดน้ำตาลกลุ่ม Biguanide ไม่ส่งผลต่อระดับกรดยูริกในเลือดหรือการขับยูริกทางไต
- ข้อ ง. (ได้รับ Losartan): Losartan มีคุณสมบัติพิเศษเป็น Uricosuric effect อ่อนๆ ผ่านการยับยั้ง URAT1 ซึ่งช่วยส่งเสริมการขับกรดยูริกออกทางปัสสาวะ จึงไม่กระตุ้นเกาต์
- ข้อ จ. (Uric acid ในเลือดสูงกว่าค่าปกติ): ระดับ Uric acid 7.2 mg/dL แม้จะสูงกว่าเป้าหมาย (&lt; 6.0 mg/dL) แต่เป็นค่าเดิมคงที่เมื่อ 3 เดือนก่อน ไม่ใช่สิ่งกระตุ้นเฉียบพลันโดยตรงเท่ากับการได้ยาที่ขัดขวางการขับยูริก
📖 Guideline อ้างอิง: แนวทางเวชปฏิบัติการดูแลรักษาโรคเกาต์ พ.ศ. 2567 (สมาคมรูมาติสซั่มแห่งประเทศไทย)
📌 จุดจำก่อนสอบ: Low-dose aspirin ลดการขับยูริกทางไต (ยับยั้ง secretion) กระตุ้นเกาต์กำเริบได้ ในขณะที่ Losartan ช่วยขับยูริก (ยับยั้ง URAT1)</t>
        </is>
      </c>
      <c r="L3" t="inlineStr">
        <is>
          <t>1.4 Gout</t>
        </is>
      </c>
      <c r="M3" t="inlineStr">
        <is>
          <t>Clinic</t>
        </is>
      </c>
      <c r="N3" t="inlineStr">
        <is>
          <t>[TEST] Quick Ingestion</t>
        </is>
      </c>
      <c r="O3" t="inlineStr">
        <is>
          <t>Mock</t>
        </is>
      </c>
      <c r="P3" t="inlineStr">
        <is>
          <t>Mock RxCU83 ครั้งที่ 1</t>
        </is>
      </c>
      <c r="Q3" t="inlineStr">
        <is>
          <t>1. Musculoskeleton</t>
        </is>
      </c>
      <c r="R3" t="inlineStr">
        <is>
          <t>CASE_CLN_M83_GOUT_C01_Q1</t>
        </is>
      </c>
    </row>
    <row r="4" ht="28.05" customHeight="1" s="49">
      <c r="A4" t="n">
        <v>2</v>
      </c>
      <c r="B4" t="inlineStr">
        <is>
          <t>ทางเลือกการใช้ยาของโรคเกาต์เฉียบพลันในผู้ป่วยรายนี้</t>
        </is>
      </c>
      <c r="D4" t="inlineStr">
        <is>
          <t>Colchicine 0.6 mg BID</t>
        </is>
      </c>
      <c r="E4" t="inlineStr">
        <is>
          <t>Ibuprofen 400 mg TID</t>
        </is>
      </c>
      <c r="F4" t="inlineStr">
        <is>
          <t>Prednisolone 20 mg OD</t>
        </is>
      </c>
      <c r="G4" t="inlineStr">
        <is>
          <t>Naproxen 250 mg BID</t>
        </is>
      </c>
      <c r="H4" t="inlineStr">
        <is>
          <t>A+C</t>
        </is>
      </c>
      <c r="I4" t="n">
        <v>5</v>
      </c>
      <c r="J4" t="inlineStr">
        <is>
          <t>✅ คำตอบที่ถูกต้อง: ข้อ จ. A+C
💡 Background: การรักษาข้ออักเสบเกาต์เฉียบพลัน (Acute gout flare) ต้องพิจารณาโรคร่วมของผู้ป่วยเสมอ โดยเฉพาะโรคเบาหวาน ความดันโลหิตสูง และโรคไต
🎯 ทำไมข้อนี้ถึงถูก: ผู้ป่วยมีทั้ง HTN และ DM การใช้ NSAIDs ขนาดสูงจะเพิ่มความเสี่ยงต่อความดันโลหิตสูงขึ้นและไตเสื่อมเฉียบพลัน ดังนั้นทางเลือกแรกที่ปลอดภัยคือ Colchicine ปรับลดขนาด หรือ systemic corticosteroid (Prednisolone) ระยะสั้น
🔍 ข้ออื่นผิดเพราะอะไร:
- ข้อ ก. (Colchicine 0.6 mg BID): Colchicine 0.6 mg BID แม้จะใช้ได้แต่ในผู้ป่วยที่มีโรคร่วมหลายชนิดหรือการทำงานของไตลดลงต้องระวังการสะสมและพิษต่อกล้ามเนื้อ
- ข้อ ข. (Ibuprofen 400 mg TID): Ibuprofen 400 mg TID เป็น NSAID เพิ่มความเสี่ยงทำให้ความดันโลหิตควบคุมไม่ได้ ยับยั้ง Prostaglandin ที่ไต และลด eGFR
- ข้อ ค. (Prednisolone 20 mg OD): Prednisolone 20 mg OD เป็นทางเลือกที่ดีในรายที่มีข้อห้ามต่อ NSAIDs แต่ต้องระวังผลข้างเคียงต่อระดับน้ำตาลในเลือดในผู้ป่วยเบาหวาน
- ข้อ ง. (Naproxen 250 mg BID): Naproxen 250 mg BID เป็น NSAID เช่นกัน จึงมีข้อควรระวังเรื่องการทำงานของไตและความดันโลหิตสูงเหมือนกับ Ibuprofen
📖 Guideline อ้างอิง: แนวทางเวชปฏิบัติการดูแลรักษาโรคเกาต์ พ.ศ. 2567 (สมาคมรูมาติสซั่มแห่งประเทศไทย)
📌 จุดจำก่อนสอบ: ผู้ป่วยเกาต์ที่มี DM, HTN หรือ CKD ควรหลีกเลี่ยง NSAIDs และเลือกใช้ Colchicine ขนาดต่ำหรือ Corticosteroids แทน</t>
        </is>
      </c>
      <c r="L4" t="inlineStr">
        <is>
          <t>1.4 Gout</t>
        </is>
      </c>
      <c r="M4" t="inlineStr">
        <is>
          <t>Clinic</t>
        </is>
      </c>
      <c r="N4" t="inlineStr">
        <is>
          <t>[TEST] Quick Ingestion</t>
        </is>
      </c>
      <c r="O4" t="inlineStr">
        <is>
          <t>Mock</t>
        </is>
      </c>
      <c r="P4" t="inlineStr">
        <is>
          <t>Mock RxCU83 ครั้งที่ 1</t>
        </is>
      </c>
      <c r="Q4" t="inlineStr">
        <is>
          <t>1. Musculoskeleton</t>
        </is>
      </c>
      <c r="R4" t="inlineStr">
        <is>
          <t>CASE_CLN_M83_GOUT_C01_Q2</t>
        </is>
      </c>
    </row>
    <row r="5" ht="28.05" customHeight="1" s="49">
      <c r="A5" t="n">
        <v>3</v>
      </c>
      <c r="B5" t="inlineStr">
        <is>
          <t>ควรดำเนินการอย่างไรในการใช้ยา allopurinol ในระหว่างอาการกำเริบเฉียบพลัน</t>
        </is>
      </c>
      <c r="D5" t="inlineStr">
        <is>
          <t>ใช้เหมือนเดิม</t>
        </is>
      </c>
      <c r="E5" t="inlineStr">
        <is>
          <t>ลดขนาดยา</t>
        </is>
      </c>
      <c r="F5" t="inlineStr">
        <is>
          <t>เพิ่มขนาดยาทันที</t>
        </is>
      </c>
      <c r="G5" t="inlineStr">
        <is>
          <t>หยุดยา</t>
        </is>
      </c>
      <c r="H5" t="inlineStr">
        <is>
          <t>เปลี่ยนไปใช้ febuxostat</t>
        </is>
      </c>
      <c r="I5" t="n">
        <v>1</v>
      </c>
      <c r="J5" t="inlineStr">
        <is>
          <t>✅ คำตอบที่ถูกต้อง: ข้อ ก. ใช้เหมือนเดิม
💡 Background: การปรับยาลดกรดยูริก (Urate-Lowering Therapy: ULT) ในระหว่างที่ผู้ป่วยมีอาการข้ออักเสบเกาต์เฉียบพลันกำเริบ
🎯 ทำไมข้อนี้ถึงถูก: ตามแนวทางเวชปฏิบัติสากล หากผู้ป่วยรับประทานยา Allopurinol อยู่เดิมแล้วเกิดอาการกำเริบเฉียบพลัน ให้รับประทานยาในขนาดเดิมต่อไป ห้ามหยุดหรือลดขนาดยา เพราะการเปลี่ยนแปลงระดับยูริกในเลือดอย่างรวดเร็วจะยิ่งทำให้อาการอักเสบยืดเยื้อ
🔍 ข้ออื่นผิดเพราะอะไร:
- ข้อ ข. (ลดขนาดยา): การลดขนาดยาจะทำให้ระดับกรดยูริกในเลือดแกว่ง (Fluctuation) กระตุ้นให้ผลึกยูเรตละลายตัวบางส่วนและเกิดการอักเสบซ้ำเติม
- ข้อ ค. (เพิ่มขนาดยาทันที): การเพิ่มขนาดยาทันทีขณะมีอาการอักเสบเฉียบพลันจะทำให้ระดับยูริกลดลงเร็วเกินไป ส่งผลให้ผลึกยูเรตหลุดกระจายและข้ออักเสบกำเริบรุนแรงขึ้น
- ข้อ ง. (หยุดยา): การหยุดยา Allopurinol ชั่วคราวเป็นแนวทางที่ล้าสมัยและผิดหลักการ เนื่องจากจะทำให้ระดับยูริกพุ่งสูงขึ้นและควบคุมโรคไม่ได้
- ข้อ จ. (เปลี่ยนไปใช้ febuxostat): การเปลี่ยนไปใช้ Febuxostat ทันทีไม่มีความจำเป็น เว้นแต่ผู้ป่วยจะทนต่อ Allopurinol ไม่ได้หรือมีข้อห้ามใช้ชัดเจน
📖 Guideline อ้างอิง: 2020 American College of Rheumatology (ACR) Guideline for the Management of Gout
📌 จุดจำก่อนสอบ: เกิด acute flare ขณะกิน ULT อยู่เดิม ให้ 'คงยาขนาดเดิมไว้' แล้วเสริมยารักษา acute flare (Colchicine/Steroid)</t>
        </is>
      </c>
      <c r="L5" t="inlineStr">
        <is>
          <t>1.4 Gout</t>
        </is>
      </c>
      <c r="M5" t="inlineStr">
        <is>
          <t>Clinic</t>
        </is>
      </c>
      <c r="N5" t="inlineStr">
        <is>
          <t>[TEST] Quick Ingestion</t>
        </is>
      </c>
      <c r="O5" t="inlineStr">
        <is>
          <t>Mock</t>
        </is>
      </c>
      <c r="P5" t="inlineStr">
        <is>
          <t>Mock RxCU83 ครั้งที่ 1</t>
        </is>
      </c>
      <c r="Q5" t="inlineStr">
        <is>
          <t>1. Musculoskeleton</t>
        </is>
      </c>
      <c r="R5" t="inlineStr">
        <is>
          <t>CASE_CLN_M83_GOUT_C01_Q3</t>
        </is>
      </c>
    </row>
    <row r="6" ht="28.05" customHeight="1" s="49">
      <c r="A6" t="n">
        <v>4</v>
      </c>
      <c r="B6" t="inlineStr">
        <is>
          <t>จากทางเลือกที่เหมาะสมในการใช้รักษาเกาต์เฉียบพลัน ยาที่เลือกมีกลไกการออกฤทธิ์อย่างไร</t>
        </is>
      </c>
      <c r="D6" t="inlineStr">
        <is>
          <t>ลดการสร้าง uric acid โดยตรง</t>
        </is>
      </c>
      <c r="E6" t="inlineStr">
        <is>
          <t>เพิ่มการขับ uric acid โดยยับยั้งการดูดกลับที่ proximal tubule</t>
        </is>
      </c>
      <c r="F6" t="inlineStr">
        <is>
          <t>ยับยั้งการรวม microtubule -&gt; ลดการรวมตัว/เคลื่อนไหวและกลืนกินของ neutrophil</t>
        </is>
      </c>
      <c r="G6" t="inlineStr">
        <is>
          <t>ยับยั้ง COX2 ลดการอักเสบ</t>
        </is>
      </c>
      <c r="H6" t="inlineStr">
        <is>
          <t>เพิ่มการสลาย uric acid</t>
        </is>
      </c>
      <c r="I6" t="n">
        <v>3</v>
      </c>
      <c r="J6" t="inlineStr">
        <is>
          <t>✅ คำตอบที่ถูกต้อง: ข้อ ค. ยับยั้งการรวม microtubule -&gt; ลดการรวมตัว/เคลื่อนไหวและกลืนกินของ neutrophil
💡 Background: เภสัชวิทยาและกลไกการออกฤทธิ์ระดับเซลล์ของยา Colchicine ในการระงับการอักเสบของข้อ
🎯 ทำไมข้อนี้ถึงถูก: Colchicine ออกฤทธิ์จับกับโปรตีน Tubulin ทำให้ยับยั้งกระบวนการ Microtubule polymerization ขัดขวางการเคลื่อนที่ (Chemotaxis) การเกาะกลุ่ม และ Phagocytosis ของเซลล์เม็ดเลือดขาว Neutrophil บริเวณข้อที่เกิดการสะสมของผลึกยูเรต
🔍 ข้ออื่นผิดเพราะอะไร:
- ข้อ ก. (ลดการสร้าง uric acid โดยตรง): การลดการสร้าง Uric acid เป็นกลไกของ Xanthine oxidase inhibitors เช่น Allopurinol และ Febuxostat ไม่ใช่กลไกของ Colchicine
- ข้อ ข. (เพิ่มการขับ uric acid โดยยับยั้งการดูดกลับที่ prox): การเพิ่มการขับ Uric acid ออกทางไตเป็นกลไกของยากลุ่ม Uricosuric agents เช่น Probenecid, Benzbromarone และ Sulfinpyrazone
- ข้อ ง. (ยับยั้ง COX2 ลดการอักเสบ): การยับยั้งเอนไซม์ COX-2 เป็นกลไกของยาต้านการอักเสบที่ไม่ใช่สเตียรอยด์ (NSAIDs เช่น Celecoxib, Ibuprofen)
- ข้อ จ. (เพิ่มการสลาย uric acid): การเพิ่มการสลาย Uric acid เป็นกลไกของเอนไซม์ Urate oxidase (Uricase) เช่น Pegloticase และ Rasburicase
📖 Guideline อ้างอิง: Goodman &amp; Gilman's: The Pharmacological Basis of Therapeutics (14th Edition)
📌 จุดจำก่อนสอบ: Colchicine ยับยั้ง Tubulin polymerization ขัดขวาง Neutrophil chemotaxis; ไม่ได้ลดระดับกรดยูริกในเลือดโดยตรง</t>
        </is>
      </c>
      <c r="L6" t="inlineStr">
        <is>
          <t>1.4 Gout</t>
        </is>
      </c>
      <c r="M6" t="inlineStr">
        <is>
          <t>Clinic</t>
        </is>
      </c>
      <c r="N6" t="inlineStr">
        <is>
          <t>[TEST] Quick Ingestion</t>
        </is>
      </c>
      <c r="O6" t="inlineStr">
        <is>
          <t>Mock</t>
        </is>
      </c>
      <c r="P6" t="inlineStr">
        <is>
          <t>Mock RxCU83 ครั้งที่ 1</t>
        </is>
      </c>
      <c r="Q6" t="inlineStr">
        <is>
          <t>1. Musculoskeleton</t>
        </is>
      </c>
      <c r="R6" t="inlineStr">
        <is>
          <t>CASE_CLN_M83_GOUT_C01_Q4</t>
        </is>
      </c>
    </row>
    <row r="7" ht="28.05" customHeight="1" s="49">
      <c r="A7" t="n">
        <v>5</v>
      </c>
      <c r="B7" t="inlineStr">
        <is>
          <t>ADR ของ Allopurinol ที่พบได้บ่อย/สำคัญ</t>
        </is>
      </c>
      <c r="D7" t="inlineStr">
        <is>
          <t>ตับอักเสบ</t>
        </is>
      </c>
      <c r="E7" t="inlineStr">
        <is>
          <t>Hypoglycemia</t>
        </is>
      </c>
      <c r="F7" t="inlineStr">
        <is>
          <t>ต้อกระจก</t>
        </is>
      </c>
      <c r="G7" t="inlineStr">
        <is>
          <t>บวมน้ำ</t>
        </is>
      </c>
      <c r="H7" t="inlineStr">
        <is>
          <t>SJS/TEN (รุนแรงทางผิวหนัง)</t>
        </is>
      </c>
      <c r="I7" t="n">
        <v>5</v>
      </c>
      <c r="J7" t="inlineStr">
        <is>
          <t>✅ คำตอบที่ถูกต้อง: ข้อ จ. SJS/TEN (รุนแรงทางผิวหนัง)
💡 Background: ความปลอดภัยและการเกิดอาการไม่พึงประสงค์รุนแรงจากการใช้ยา Allopurinol ในประชากรไทย
🎯 ทำไมข้อนี้ถึงถูก: Allopurinol มีความเสี่ยงสำคัญในการเกิด Severe Cutaneous Adverse Reactions (SCARs) ได้แก่ Stevens-Johnson syndrome (SJS), Toxic Epidermal Necrolysis (TEN) และ DRESS syndrome โดยสัมพันธ์อย่างมากกับยีน HLA-B58:01 ในคนไทย
🔍 ข้ออื่นผิดเพราะอะไร:
- ข้อ ก. (ตับอักเสบ): ตับอักเสบเฉียบพลันสามารถพบได้แต่เป็นอุบัติการณ์ที่น้อยกว่า และไม่ได้มีความจำเพาะทางพันธุกรรมรุนแรงเท่ากับกลุ่ม SCARs
- ข้อ ข. (Hypoglycemia): Hypoglycemia ไม่ใช่อาการไม่พึงประสงค์ของ Allopurinol เป็นผลจากยารักษาเบาหวานกลุ่ม Sulfonylureas หรือ Insulin
- ข้อ ค. (ต้อกระจก): ต้อกระจก (Cataract) ไม่ใช่อาการข้างเคียงหลักของ Allopurinol แต่มักสัมพันธ์กับการใช้ยาสเตียรอยด์ระยะยาว
- ข้อ ง. (บวมน้ำ): อาการบวมน้ำ (Peripheral edema) เป็นผลข้างเคียงเด่นของยากลุ่ม Calcium Channel Blockers (DHP-CCBs เช่น Amlodipine) หรือ NSAIDs
📖 Guideline อ้างอิง: แนวทางเวชปฏิบัติการตรวจคัดกรองยีน HLA-B58:01 ก่อนเริ่มยา Allopurinol (กรมวิทยาศาสตร์การแพทย์ กระทรวงสาธารณสุข)
📌 จุดจำก่อนสอบ: Allopurinol เสี่ยงเกิด SJS/TEN รุนแรง สัมพันธ์กับยีน HLA-B58:01 ในคนไทยสูงมาก แนะนำตรวจคัดกรองก่อนเริ่มยา</t>
        </is>
      </c>
      <c r="L7" t="inlineStr">
        <is>
          <t>1.4 Gout</t>
        </is>
      </c>
      <c r="M7" t="inlineStr">
        <is>
          <t>Clinic</t>
        </is>
      </c>
      <c r="N7" t="inlineStr">
        <is>
          <t>[TEST] Quick Ingestion</t>
        </is>
      </c>
      <c r="O7" t="inlineStr">
        <is>
          <t>Mock</t>
        </is>
      </c>
      <c r="P7" t="inlineStr">
        <is>
          <t>Mock RxCU83 ครั้งที่ 1</t>
        </is>
      </c>
      <c r="Q7" t="inlineStr">
        <is>
          <t>1. Musculoskeleton</t>
        </is>
      </c>
      <c r="R7" t="inlineStr">
        <is>
          <t>CASE_CLN_M83_GOUT_C01_Q5</t>
        </is>
      </c>
    </row>
    <row r="8" ht="28.05" customHeight="1" s="49">
      <c r="A8" t="n">
        <v>6</v>
      </c>
      <c r="B8" t="inlineStr">
        <is>
          <t>ยาเม็ดเคลือบฟิล์มที่มีตัวยาสำคัญน้อยกว่า 25 mg ใช้วิธีการผลิตใดเหมาะสมที่สุด</t>
        </is>
      </c>
      <c r="D8" t="inlineStr">
        <is>
          <t>Direct compression</t>
        </is>
      </c>
      <c r="E8" t="inlineStr">
        <is>
          <t>Extrusion and spheronization</t>
        </is>
      </c>
      <c r="F8" t="inlineStr">
        <is>
          <t>Rolling compaction</t>
        </is>
      </c>
      <c r="G8" t="inlineStr">
        <is>
          <t>Slugging</t>
        </is>
      </c>
      <c r="H8" t="inlineStr">
        <is>
          <t>Wet granulation</t>
        </is>
      </c>
      <c r="I8" t="n">
        <v>5</v>
      </c>
      <c r="J8" t="inlineStr">
        <is>
          <t>✅ คำตอบที่ถูกต้อง: ข้อ จ. Wet granulation
💡 Background: เทคโนโลยีเภสัชกรรมในการผลิตยาเม็ด: ความท้าทายของยาที่มีปริมาณตัวยาสำคัญต่ำ (Low-dose drug)
🎯 ทำไมข้อนี้ถึงถูก: ตัวยาที่มีขนาดต่ำกว่า 25 mg หรือต่ำกว่า 25% w/w จัดเป็น Low-dose drug ซึ่งมีความเสี่ยงสูงมากที่จะเกิดปัญหาความไม่สม่ำเสมอของตัวยาในแต่ละเม็ด (Content Uniformity) กระบวนการ Wet granulation อาศัยสารยึดเกาะและตัวทำละลายช่วยให้ผงยากระจายตัวเกาะบนอนุภาคสารช่วยได้อย่างทั่วถึงและสม่ำเสมอที่สุด
🔍 ข้ออื่นผิดเพราะอะไร:
- ข้อ ก. (Direct compression): Direct compression เหมาะสำหรับตัวยาที่มีปริมาณสูง มีคุณสมบัติการไหลและการตอกอัดที่ดี หากใช้กับ low dose จะเสี่ยงต่อการแยกชั้น (Segregation) สูงมาก
- ข้อ ข. (Extrusion and spheronization): Extrusion and spheronization เป็นกระบวนการผลิตเม็ด Pellets กลม สำหรับบรรจุแคปซูล ไม่ใช่วิธีทั่วไปสำหรับผลิตยาเม็ดเคลือบฟิล์ม
- ข้อ ค. (Rolling compaction): Roller compaction เป็นวิธี Dry granulation ใช้สำหรับตัวยาที่ไวต่อความชื้นและความร้อน แต่การกระจายตัวยาขนาดต่ำทำได้ไม่ดีเท่า Wet granulation
- ข้อ ง. (Slugging): Slugging เป็นการตอกเม็ดใหญ่แล้วนำมาบดหยาบ (Dry granulation แบบดั้งเดิม) มีฝุ่นมากและควบคุมความสม่ำเสมอของขนาดยาต่ำได้ยาก
📖 Guideline อ้างอิง: United States Pharmacopeia (USP-NF) General Chapter &lt;905&gt; Uniformity of Dosage Units
📌 จุดจำก่อนสอบ: ยาเม็ด Low-dose (&lt; 25 mg หรือ &lt; 25%) นิยมผลิตด้วย Wet granulation เพื่อแก้ปัญหา Content Uniformity</t>
        </is>
      </c>
      <c r="L8" t="inlineStr">
        <is>
          <t>6.1 Tablet Manufacturing</t>
        </is>
      </c>
      <c r="M8" t="inlineStr">
        <is>
          <t>Product</t>
        </is>
      </c>
      <c r="N8" t="inlineStr">
        <is>
          <t>[TEST] Quick Ingestion</t>
        </is>
      </c>
      <c r="O8" t="inlineStr">
        <is>
          <t>Mock</t>
        </is>
      </c>
      <c r="P8" t="inlineStr">
        <is>
          <t>Mock RxCU83 ครั้งที่ 1</t>
        </is>
      </c>
      <c r="Q8" t="inlineStr">
        <is>
          <t>6. Solid Dosage Forms</t>
        </is>
      </c>
      <c r="R8" t="inlineStr">
        <is>
          <t>CASE_PRD_M83_GOUT_C01_Q1</t>
        </is>
      </c>
    </row>
    <row r="9">
      <c r="A9" t="n">
        <v>7</v>
      </c>
      <c r="B9" t="inlineStr">
        <is>
          <t>ในสูตรตำรับยาเม็ด allopurinol มีส่วนประกอบ pregelatinized starch, microcrystalline cellulose, Mg stearate, Titanium oxide, PEG, Lactose monohydrate และ Sodium starch glycolate (SSG) มีหน้าที่อะไรในสูตรตำรับ</t>
        </is>
      </c>
      <c r="D9" t="inlineStr">
        <is>
          <t>เพื่อเทลงเบ้าได้ดี (Glidant)</t>
        </is>
      </c>
      <c r="E9" t="inlineStr">
        <is>
          <t>เพื่อให้ไม่ติดหน้าสาก (Anti-adherent)</t>
        </is>
      </c>
      <c r="F9" t="inlineStr">
        <is>
          <t>เพื่อให้ film เคลือบหนาเหมาะสม (Coating agent)</t>
        </is>
      </c>
      <c r="G9" t="inlineStr">
        <is>
          <t>เพื่อให้ละลายน้ำ/ลงน้ำ แล้วกระจายตัวได้เหมาะสม (Superdisintegrant)</t>
        </is>
      </c>
      <c r="H9" t="inlineStr">
        <is>
          <t>เพื่อให้ film ยืดหยุ่นได้เหมาะสม (Plasticizer)</t>
        </is>
      </c>
      <c r="I9" t="n">
        <v>4</v>
      </c>
      <c r="J9" t="inlineStr">
        <is>
          <t>✅ คำตอบที่ถูกต้อง: ข้อ ง. เพื่อให้ละลายน้ำ/ลงน้ำ แล้วกระจายตัวได้เหมาะสม (Superdisintegrant)
💡 Background: หน้าที่ของสารช่วย (Excipients) ในสูตรตำรับยาเม็ด allopurinol
🎯 ทำไมข้อนี้ถึงถูก: Sodium starch glycolate (SSG / Primojel) จัดเป็นสารช่วยแตกตัวประสิทธิภาพสูง (Superdisintegrant) ออกฤทธิ์ดูดซับน้ำเข้าสู่เม็ดยาอย่างรวดเร็วและเกิดการพองตัวหลายเท่าตัว (Rapid swelling without gelling) ทำให้เม็ดยาแตกตัวกระจายตัวได้ดีเมื่อสัมผัสน้ำ
🔍 ข้ออื่นผิดเพราะอะไร:
- ข้อ ก. (เพื่อเทลงเบ้าได้ดี (Glidant)): สารช่วยการไหล (Glidant) ในตำรับนี้คือ Colloidal silicon dioxide (Aerosil) หรือ Talcum ทำหน้าที่ลดแรงเสียดทานระหว่างอนุภาค
- ข้อ ข. (เพื่อให้ไม่ติดหน้าสาก (Anti-adherent)): สารป้องกันการติดหน้าสาก (Anti-adherent / Lubricant) คือ Magnesium stearate ช่วยไม่ให้ผงยาติดผิวหน้าสากตอก
- ข้อ ค. (เพื่อให้ film เคลือบหนาเหมาะสม (Coating agent)): สารก่อฟิล์มเคลือบเม็ดยา (Coating polymer) เช่น HPMC หรือ Titanium oxide ทำหน้าที่เคลือบผิวภายนอก ไม่ใช่ SSG ที่อยู่ในเนื้อเม็ด
- ข้อ จ. (เพื่อให้ film ยืดหยุ่นได้เหมาะสม (Plasticizer)): สารเพิ่มความยืดหยุ่นให้แผ่นฟิล์ม (Plasticizer) ได้แก่ Polyethylene glycol (PEG) หรือ Triethyl citrate ช่วยลดความเปราะของฟิล์ม
📖 Guideline อ้างอิง: Handbook of Pharmaceutical Excipients (9th Edition)
📌 จุดจำก่อนสอบ: Sodium starch glycolate (SSG), Croscarmellose sodium และ Crospovidone จัดเป็น Superdisintegrants ช่วยให้เม็ดยาแตกตัวรวดเร็ว</t>
        </is>
      </c>
      <c r="L9" t="inlineStr">
        <is>
          <t>4.1 Excipients classification</t>
        </is>
      </c>
      <c r="M9" t="inlineStr">
        <is>
          <t>Product</t>
        </is>
      </c>
      <c r="N9" t="inlineStr">
        <is>
          <t>[TEST] Quick Ingestion</t>
        </is>
      </c>
      <c r="O9" t="inlineStr">
        <is>
          <t>Mock</t>
        </is>
      </c>
      <c r="P9" t="inlineStr">
        <is>
          <t>Mock RxCU83 ครั้งที่ 1</t>
        </is>
      </c>
      <c r="Q9" t="inlineStr">
        <is>
          <t>6. Solid Dosage Forms</t>
        </is>
      </c>
      <c r="R9" t="inlineStr">
        <is>
          <t>CASE_PRD_M83_GOUT_C01_Q2</t>
        </is>
      </c>
    </row>
    <row r="10">
      <c r="A10" t="n">
        <v>8</v>
      </c>
      <c r="B10" t="inlineStr">
        <is>
          <t>การผลิตยาเคลือบฟิล์ม allopurinol มีการบันทึกลง BMR แต่ผู้ปฏิบัติงานลืมบันทึกแล้วมาบันทึกหลังจากกระบวนการเสร็จแล้ว เป็นการปฏิบัติผิด Data integrity ด้านใดตามหลัก ALCOA</t>
        </is>
      </c>
      <c r="D10" t="inlineStr">
        <is>
          <t>Accurate</t>
        </is>
      </c>
      <c r="E10" t="inlineStr">
        <is>
          <t>Contemporary</t>
        </is>
      </c>
      <c r="F10" t="inlineStr">
        <is>
          <t>Enduring</t>
        </is>
      </c>
      <c r="G10" t="inlineStr">
        <is>
          <t>Legible</t>
        </is>
      </c>
      <c r="H10" t="inlineStr">
        <is>
          <t>Original</t>
        </is>
      </c>
      <c r="I10" t="n">
        <v>2</v>
      </c>
      <c r="J10" t="inlineStr">
        <is>
          <t>✅ คำตอบที่ถูกต้อง: ข้อ ข. Contemporary
💡 Background: ปัญหาและการควบคุมคุณภาพในกระบวนการเคลือบฟิล์มยาเม็ด (Film-coating defects)
🎯 ทำไมข้อนี้ถึงถูก: ปัญหา Blistering (ฟิล์มบวมพองเป็นฟองอากาศ) เกิดจากการที่อุณหภูมิของลมร้อนที่เป่าในการอบแห้งสูงเกินไป (Overheating) ทำให้อากาศหรือไอของตัวทำละลายที่อยู่ใต้แผ่นฟิล์มระเหยออกมารวดเร็วเกินไปจนดันเนื้อฟิล์มให้โป่งพอง
🔍 ข้ออื่นผิดเพราะอะไร:
- ข้อ ก. (Accurate): การใช้ปริมาณของแข็งในน้ำยาเคลือบต่ำเกินไป จะทำให้ฟิล์มบาง แห้งช้า และอาจเกิดปัญหา Orange peel แต่ไม่ทำให้เกิด Blistering
- ข้อ ข. (Contemporary): อัตราการพ่นน้ำยาเคลือบเร็วเกินไป (High spray rate) จะทำให้ผิวเม็ดยาแฉะและเกิดปัญหาเม็ดติดกัน (Sticking / Twinning)
- ข้อ ง. (Legible): ความเร็วรอบของหม้อเคลือบต่ำเกินไป จะทำให้การผสมและการเกลี่ยเม็ดยาไม่สม่ำเสมอ ฟิล์มหนาไม่เท่ากัน
- ข้อ จ. (Original): แรงดันลมพ่น (Atomizing air pressure) สูงเกินไป จะทำให้ละอองสเปรย์แห้งก่อนถึงผิวเม็ดยา เกิดปัญหา Spray drying หรือฝุ่นผงเกาะผิวเม็ด
📖 Guideline อ้างอิง: Remington: The Science and Practice of Pharmacy (23rd Edition)
📌 จุดจำก่อนสอบ: Blistering ในการเคลือบฟิล์มเกิดจากความร้อนอบแห้งสูงเกินไป (Overheating) ดันไอระเหยใต้ฟิล์มให้พองออก</t>
        </is>
      </c>
      <c r="L10" t="inlineStr">
        <is>
          <t>4.4 Good Manufacturing Practice</t>
        </is>
      </c>
      <c r="M10" t="inlineStr">
        <is>
          <t>Product</t>
        </is>
      </c>
      <c r="N10" t="inlineStr">
        <is>
          <t>[TEST] Quick Ingestion</t>
        </is>
      </c>
      <c r="O10" t="inlineStr">
        <is>
          <t>Mock</t>
        </is>
      </c>
      <c r="P10" t="inlineStr">
        <is>
          <t>Mock RxCU83 ครั้งที่ 1</t>
        </is>
      </c>
      <c r="Q10" t="inlineStr">
        <is>
          <t>6. Solid Dosage Forms</t>
        </is>
      </c>
      <c r="R10" t="inlineStr">
        <is>
          <t>CASE_PRD_M83_GOUT_C01_Q3</t>
        </is>
      </c>
    </row>
    <row r="11">
      <c r="A11" t="n">
        <v>9</v>
      </c>
      <c r="B11" t="inlineStr">
        <is>
          <t>รูปโครงสร้าง allopurinol ข้อใดถูกต้องที่สุด: (1) purine analog ยับยั้ง xanthine oxidase (2) log P -1.8 แปลว่าชอบน้ำ (hydrophilic) สูง ผ่านเยื่อหุ้มเซลล์ได้ไม่ดี (3) pKa 10.2 ใน physiological pH 7.4 อยู่ในรูปไม่แตกตัว (unionized)</t>
        </is>
      </c>
      <c r="D11" t="n">
        <v>1</v>
      </c>
      <c r="E11" t="inlineStr">
        <is>
          <t>2 และ 3</t>
        </is>
      </c>
      <c r="F11" t="inlineStr">
        <is>
          <t>1 และ 2</t>
        </is>
      </c>
      <c r="G11" t="inlineStr">
        <is>
          <t>1 และ 3</t>
        </is>
      </c>
      <c r="H11" t="inlineStr">
        <is>
          <t>ถูกทุกข้อ</t>
        </is>
      </c>
      <c r="I11" t="n">
        <v>5</v>
      </c>
      <c r="J11" t="inlineStr">
        <is>
          <t>✅ คำตอบที่ถูกต้อง: ข้อ จ. ถูกทุกข้อ
💡 Background: เคมีทางยา (Medicinal Chemistry) ของยาลดกรดยูริก Allopurinol
🎯 ทำไมข้อนี้ถึงถูก: Allopurinol เป็นสารจำลองโครงสร้างของ Hypoxanthine (Structural isomer / Purine analog) โดยมีความแตกต่างคือสลับตำแหน่งของอะตอมคาร์บอนและไนโตรเจนที่ตำแหน่ง 7 และ 8 (Pyrazolo[3,4-d]pyrimidine ring)
🔍 ข้ออื่นผิดเพราะอะไร:
- ข้อ ก. (1): Allopurinol ไม่ใช่ Pyrimidine ring เดี่ยวๆ แต่เป็นวงแหวนหลอมรวม Pyrazolo[3,4-d]pyrimidine
- ข้อ ข. (2 และ 3): Allopurinol ไม่ได้เป็นอนุพันธ์ของ Xanthine โดยตรง แต่เป็น Purine analog ที่ยับยั้ง Xanthine oxidase โดยถูกเปลี่ยนเป็น Oxypurinol (Alloxanthine)
- ข้อ ค. (1 และ 2): Allopurinol ไม่มีหมู่อะมิโนอิสระที่ตำแหน่ง C6 เหมือน Adenine โครงสร้างมีหมู่ Carbonyl (=O) ที่ C4
- ข้อ จ. (ถูกทุกข้อ): Allopurinol ไม่มีโครงสร้าง Thiazole ring (โครงสร้างที่มีกำมะถันและไนโตรเจนเป็นลักษณะของ Febuxostat)
📖 Guideline อ้างอิง: Foye's Principles of Medicinal Chemistry (8th Edition)
📌 จุดจำก่อนสอบ: Allopurinol เป็น Purine analog มีโครงสร้างเลียนแบบ Hypoxanthine จึงเข้าแย่งจับกับเอนไซม์ Xanthine oxidase</t>
        </is>
      </c>
      <c r="L11" t="inlineStr">
        <is>
          <t>13. Medicinal Chemistry</t>
        </is>
      </c>
      <c r="M11" t="inlineStr">
        <is>
          <t>Product</t>
        </is>
      </c>
      <c r="N11" t="inlineStr">
        <is>
          <t>[TEST] Quick Ingestion</t>
        </is>
      </c>
      <c r="O11" t="inlineStr">
        <is>
          <t>Mock</t>
        </is>
      </c>
      <c r="P11" t="inlineStr">
        <is>
          <t>Mock RxCU83 ครั้งที่ 1</t>
        </is>
      </c>
      <c r="Q11" t="inlineStr">
        <is>
          <t>13. Medicinal Chemistry</t>
        </is>
      </c>
      <c r="R11" t="inlineStr">
        <is>
          <t>CASE_PRD_M83_GOUT_C01_Q4</t>
        </is>
      </c>
    </row>
    <row r="12">
      <c r="A12" t="n">
        <v>10</v>
      </c>
      <c r="B12" t="inlineStr">
        <is>
          <t>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D12" t="inlineStr">
        <is>
          <t>HPLC-UV</t>
        </is>
      </c>
      <c r="E12" t="inlineStr">
        <is>
          <t>Mass spectroscopy</t>
        </is>
      </c>
      <c r="F12" t="inlineStr">
        <is>
          <t>FT-IR spectroscopy</t>
        </is>
      </c>
      <c r="G12" t="inlineStr">
        <is>
          <t>Spectrofluorometer</t>
        </is>
      </c>
      <c r="H12" t="inlineStr">
        <is>
          <t>UV spectroscopy</t>
        </is>
      </c>
      <c r="I12" t="n">
        <v>4</v>
      </c>
      <c r="J12" t="inlineStr">
        <is>
          <t>✅ คำตอบที่ถูกต้อง: ข้อ ง. Spectrofluorometer
💡 Background: การวิเคราะห์และควบคุมคุณภาพวัตถุดิบและผลิตภัณฑ์ยา Febuxostat ตามเภสัชตำรับ
🎯 ทำไมข้อนี้ถึงถูก: Febuxostat แม้จะมีวง Aromatic หลายวง แต่ไม่ได้มีคุณสมบัติ Native fluorescence ที่เข้มข้นหรือจำเพาะเพียงพอ และเครื่อง Spectrofluorometer มีความแปรปรวนจากสภาวะแวดล้อม (pH, quenching) จึงไม่ใช่วิธีหลักตามเภสัชตำรับสากลเมื่อเทียบกับ HPLC
🔍 ข้ออื่นผิดเพราะอะไร:
- ข้อ ก. (HPLC-UV): HPLC-UV เป็นวิธีมาตรฐานหลัก (Compendial standard) ใน USP/BP สำหรับทั้ง Identification, Assay และ Impurity testing
- ข้อ ข. (Mass spectroscopy): Mass spectrometry (LC-MS) เป็นเทคนิคที่มีความไวและความจำเพาะสูงมาก ใช้สำหรับยืนยันมวลโมเลกุลและวิเคราะห์สารปนเปื้อนโครงสร้างใกล้เคียง
- ข้อ ค. (FT-IR spectroscopy): FT-IR spectroscopy เป็นเทคนิคมาตรฐานบังคับตามเภสัชตำรับสำหรับการพิสูจน์อัตลักษณ์ (Identification test)
- ข้อ จ. (UV spectroscopy): UV-Vis spectrophotometry สามารถใช้วัดการดูดกลืนแสงของ Conjugated aromatic system ของ Febuxostat ได้ดีตามมาตรฐาน
📖 Guideline อ้างอิง: United States Pharmacopeia (USP-NF) Monograph: Febuxostat
📌 จุดจำก่อนสอบ: วิธีมาตรฐานสากลในการควบคุมคุณภาพ Febuxostat คือ HPLC-UV และ FT-IR; เทคนิค Fluorescence ไม่ใช่วิธีหลักใน Pharmacopoeia</t>
        </is>
      </c>
      <c r="L12" t="inlineStr">
        <is>
          <t>Product Group 3: Spectroscopy &amp; Optics</t>
        </is>
      </c>
      <c r="M12" t="inlineStr">
        <is>
          <t>Product</t>
        </is>
      </c>
      <c r="N12" t="inlineStr">
        <is>
          <t>[TEST] Quick Ingestion</t>
        </is>
      </c>
      <c r="O12" t="inlineStr">
        <is>
          <t>Mock</t>
        </is>
      </c>
      <c r="P12" t="inlineStr">
        <is>
          <t>Mock RxCU83 ครั้งที่ 1</t>
        </is>
      </c>
      <c r="Q12" t="inlineStr">
        <is>
          <t>1. Titrations</t>
        </is>
      </c>
      <c r="R12" t="inlineStr">
        <is>
          <t>CASE_PRD_M83_GOUT_C01_Q5</t>
        </is>
      </c>
    </row>
    <row r="13">
      <c r="A13" t="n">
        <v>11</v>
      </c>
      <c r="B13" t="inlineStr">
        <is>
          <t>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D13" t="inlineStr">
        <is>
          <t>สิทธิประกันสุขภาพแห่งชาติ</t>
        </is>
      </c>
      <c r="E13" t="inlineStr">
        <is>
          <t>สิทธิประกันสังคม</t>
        </is>
      </c>
      <c r="F13" t="inlineStr">
        <is>
          <t>สิทธิข้าราชการ</t>
        </is>
      </c>
      <c r="G13" t="inlineStr">
        <is>
          <t>สิทธิ 30 บาท</t>
        </is>
      </c>
      <c r="H13" t="inlineStr">
        <is>
          <t>สิทธิบัตรทอง</t>
        </is>
      </c>
      <c r="I13" t="n">
        <v>2</v>
      </c>
      <c r="J13" t="inlineStr">
        <is>
          <t>✅ คำตอบที่ถูกต้อง: ข้อ ข. สิทธิประกันสังคม
💡 Background: หลักการบริบาลทางเภสัชกรรมและการควบคุมคุณภาพในหมวด 2. Pharmacy Administration &amp; Sy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(สิทธิประกันสุขภาพแห่งชาติ): ตัวเลือก สิทธิประกันสุขภาพแห่งชาติ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(สิทธิข้าราชการ): ตัวเลือก สิทธิข้าราชการ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(สิทธิ 30 บาท): ตัวเลือก สิทธิ 30 บาท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(สิทธิบัตรทอง): ตัวเลือก สิทธิบัตรทอง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L13" t="inlineStr">
        <is>
          <t>Pharmacy Laws &amp; Ethics</t>
        </is>
      </c>
      <c r="M13" t="inlineStr">
        <is>
          <t>SAP</t>
        </is>
      </c>
      <c r="N13" t="inlineStr">
        <is>
          <t>[TEST] Quick Ingestion</t>
        </is>
      </c>
      <c r="O13" t="inlineStr">
        <is>
          <t>Mock</t>
        </is>
      </c>
      <c r="P13" t="inlineStr">
        <is>
          <t>Mock RxCU83 ครั้งที่ 1</t>
        </is>
      </c>
      <c r="Q13" t="inlineStr">
        <is>
          <t>2. Pharmacy Administration &amp; Sy</t>
        </is>
      </c>
      <c r="R13" t="inlineStr">
        <is>
          <t>CASE_SAP_M83_GOUT_C01_Q1</t>
        </is>
      </c>
    </row>
    <row r="14">
      <c r="A14" t="n">
        <v>12</v>
      </c>
      <c r="B14" t="inlineStr">
        <is>
          <t>สมุนไพรในข้อใดมีสารออกฤทธิ์สำหรับรักษาโรค gout</t>
        </is>
      </c>
      <c r="D14" t="inlineStr">
        <is>
          <t>ระย่อม</t>
        </is>
      </c>
      <c r="E14" t="inlineStr">
        <is>
          <t>ไพล</t>
        </is>
      </c>
      <c r="F14" t="inlineStr">
        <is>
          <t>ขมิ้นชัน</t>
        </is>
      </c>
      <c r="G14" t="inlineStr">
        <is>
          <t>ดองดึง</t>
        </is>
      </c>
      <c r="H14" t="inlineStr">
        <is>
          <t>เถาวัลย์เปรียง</t>
        </is>
      </c>
      <c r="I14" t="n">
        <v>4</v>
      </c>
      <c r="J14" t="inlineStr">
        <is>
          <t>✅ คำตอบที่ถูกต้อง: ข้อ ง. ดองดึง
💡 Background: หลักการบริบาลทางเภสัชกรรมและการควบคุมคุณภาพในหมวด 11. Herbal Products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(ระย่อม): ตัวเลือก ระย่อม ไม่ใช่คำตอบที่ถูกต้อง เนื่องจากมีกลไกทางเภสัชวิทยา ข้อบ่งใช้ หรือคุณสมบัติทางเภสัชเคมีที่ไม่ตรงกับเงื่อนไขที่โจทย์กำหนด
- ข้อ ข. (ไพล): ตัวเลือก ไพล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(ขมิ้นชัน): ตัวเลือก ขมิ้นชัน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(เถาวัลย์เปรียง): ตัวเลือก เถาวัลย์เปรียง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11. Herbal Products อย่างแม่นยำก่อนสอบ</t>
        </is>
      </c>
      <c r="L14" t="inlineStr">
        <is>
          <t>Herbal Medicine</t>
        </is>
      </c>
      <c r="M14" t="inlineStr">
        <is>
          <t>Clinic</t>
        </is>
      </c>
      <c r="N14" t="inlineStr">
        <is>
          <t>[TEST] Quick Ingestion</t>
        </is>
      </c>
      <c r="O14" t="inlineStr">
        <is>
          <t>Mock</t>
        </is>
      </c>
      <c r="P14" t="inlineStr">
        <is>
          <t>Mock RxCU83 ครั้งที่ 1</t>
        </is>
      </c>
      <c r="Q14" t="inlineStr">
        <is>
          <t>11. Herbal Products</t>
        </is>
      </c>
      <c r="R14" t="inlineStr">
        <is>
          <t>CASE_CLN_M83_GOUT_C02_Q1</t>
        </is>
      </c>
    </row>
    <row r="15">
      <c r="A15" t="n">
        <v>13</v>
      </c>
      <c r="B15" t="inlineStr">
        <is>
          <t>ตาม ESC guideline 2024 คนไข้หญิงอายุ 45 ปี มีโรคความดันสูง + เบาหวาน เป้าหมายความดันในการรักษา เมื่อวัดความดันที่สถานพยาบาลต้องมีค่าเท่าไร</t>
        </is>
      </c>
      <c r="D15" t="inlineStr">
        <is>
          <t>SBP 110-119 mmHg</t>
        </is>
      </c>
      <c r="E15" t="inlineStr">
        <is>
          <t>SBP 120-129 mmHg</t>
        </is>
      </c>
      <c r="F15" t="inlineStr">
        <is>
          <t>SBP 130-139 mmHg</t>
        </is>
      </c>
      <c r="G15" t="inlineStr">
        <is>
          <t>SBP 140-149 mmHg</t>
        </is>
      </c>
      <c r="H15" t="inlineStr">
        <is>
          <t>SBP 150-159 mmHg</t>
        </is>
      </c>
      <c r="I15" t="n">
        <v>2</v>
      </c>
      <c r="J15" t="inlineStr">
        <is>
          <t>✅ คำตอบที่ถูกต้อง: ข้อ ข. SBP 120-129 mmHg
💡 Background: หลักการบริบาลทางเภสัชกรรมและการควบคุมคุณภาพในหมวด 2. Cardiovascular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(SBP 110-119 mmHg): ตัวเลือก SBP 110-119 mmHg ไม่ใช่คำตอบที่ถูกต้อง เนื่องจากมีกลไกทางเภสัชวิทยา ข้อบ่งใช้ หรือคุณสมบัติทางเภสัชเคมีที่ไม่ตรงกับเงื่อนไขที่โจทย์กำหนด
- ข้อ ค. (SBP 130-139 mmHg): ตัวเลือก SBP 130-139 mmHg ไม่ใช่คำตอบที่ถูกต้อง เนื่องจากมีกลไกทางเภสัชวิทยา ข้อบ่งใช้ หรือคุณสมบัติทางเภสัชเคมีที่ไม่ตรงกับเงื่อนไขที่โจทย์กำหนด
- ข้อ ง. (SBP 140-149 mmHg): ตัวเลือก SBP 140-149 mmHg ไม่ใช่คำตอบที่ถูกต้อง เนื่องจากมีกลไกทางเภสัชวิทยา ข้อบ่งใช้ หรือคุณสมบัติทางเภสัชเคมีที่ไม่ตรงกับเงื่อนไขที่โจทย์กำหนด
- ข้อ จ. (SBP 150-159 mmHg): ตัวเลือก SBP 150-159 mmHg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Cardiovascular อย่างแม่นยำก่อนสอบ</t>
        </is>
      </c>
      <c r="L15" t="inlineStr">
        <is>
          <t>Hypertension</t>
        </is>
      </c>
      <c r="M15" t="inlineStr">
        <is>
          <t>Clinic</t>
        </is>
      </c>
      <c r="N15" t="inlineStr">
        <is>
          <t>[TEST] Quick Ingestion</t>
        </is>
      </c>
      <c r="O15" t="inlineStr">
        <is>
          <t>Mock</t>
        </is>
      </c>
      <c r="P15" t="inlineStr">
        <is>
          <t>Mock RxCU83 ครั้งที่ 1</t>
        </is>
      </c>
      <c r="Q15" t="inlineStr">
        <is>
          <t>2. Cardiovascular</t>
        </is>
      </c>
      <c r="R15" t="inlineStr">
        <is>
          <t>CASE_CLN_M83_HTN_C01_Q1</t>
        </is>
      </c>
    </row>
    <row r="16">
      <c r="A16" t="n">
        <v>14</v>
      </c>
      <c r="B16" t="inlineStr">
        <is>
          <t>ผู้ป่วยหัวใจล้มเหลวเรื้อรังมี LVEF น้อยกว่าร้อยละ 40 (HFrEF) และมีโรคความดันโลหิตสูง พิจารณาให้ยาต่อไปนี้ยกเว้นข้อใด</t>
        </is>
      </c>
      <c r="D16" t="inlineStr">
        <is>
          <t>Carvedilol</t>
        </is>
      </c>
      <c r="E16" t="inlineStr">
        <is>
          <t>Enalapril</t>
        </is>
      </c>
      <c r="F16" t="inlineStr">
        <is>
          <t>HCTZ</t>
        </is>
      </c>
      <c r="G16" t="inlineStr">
        <is>
          <t>Spironolactone</t>
        </is>
      </c>
      <c r="H16" t="inlineStr">
        <is>
          <t>Verapamil</t>
        </is>
      </c>
      <c r="I16" t="n">
        <v>5</v>
      </c>
      <c r="J16" t="inlineStr">
        <is>
          <t>✅ คำตอบที่ถูกต้อง: ข้อ จ. Verapamil
💡 Background: หลักการบริบาลทางเภสัชกรรมและการควบคุมคุณภาพในหมวด 2. Cardiovascular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(Carvedilol): ตัวเลือก Carvedilol ไม่ใช่คำตอบที่ถูกต้อง เนื่องจากมีกลไกทางเภสัชวิทยา ข้อบ่งใช้ หรือคุณสมบัติทางเภสัชเคมีที่ไม่ตรงกับเงื่อนไขที่โจทย์กำหนด
- ข้อ ข. (Enalapril): ตัวเลือก Enalapril ไม่ใช่คำตอบที่ถูกต้อง เนื่องจากมีกลไกทางเภสัชวิทยา ข้อบ่งใช้ หรือคุณสมบัติทางเภสัชเคมีที่ไม่ตรงกับเงื่อนไขที่โจทย์กำหนด
- ข้อ ค. (HCTZ): ตัวเลือก HCTZ ไม่ใช่คำตอบที่ถูกต้อง เนื่องจากมีกลไกทางเภสัชวิทยา ข้อบ่งใช้ หรือคุณสมบัติทางเภสัชเคมีที่ไม่ตรงกับเงื่อนไขที่โจทย์กำหนด
- ข้อ ง. (Spironolactone): ตัวเลือก Spironolactone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Cardiovascular อย่างแม่นยำก่อนสอบ</t>
        </is>
      </c>
      <c r="L16" t="inlineStr">
        <is>
          <t>Stable Heart Failure</t>
        </is>
      </c>
      <c r="M16" t="inlineStr">
        <is>
          <t>Clinic</t>
        </is>
      </c>
      <c r="N16" t="inlineStr">
        <is>
          <t>[TEST] Quick Ingestion</t>
        </is>
      </c>
      <c r="O16" t="inlineStr">
        <is>
          <t>Mock</t>
        </is>
      </c>
      <c r="P16" t="inlineStr">
        <is>
          <t>Mock RxCU83 ครั้งที่ 1</t>
        </is>
      </c>
      <c r="Q16" t="inlineStr">
        <is>
          <t>2. Cardiovascular</t>
        </is>
      </c>
      <c r="R16" t="inlineStr">
        <is>
          <t>CASE_CLN_M83_HTN_C01_Q2</t>
        </is>
      </c>
    </row>
    <row r="17">
      <c r="A17" t="n">
        <v>15</v>
      </c>
      <c r="B17" t="inlineStr">
        <is>
          <t>ผู้ป่วยหญิง อายุ 45 ปี มีโรคประจำตัว HTN, DM เมื่อ 3 เดือนที่ผ่านมาได้รับยา Losartan 50 mg 1x1 pc วันนี้มาวัดความดันได้ 160/95 mmHg วิธีการใดควรหลีกเลี่ยงมากที่สุดในผู้ป่วยรายนี้</t>
        </is>
      </c>
      <c r="D17" t="inlineStr">
        <is>
          <t>เพิ่มยา Amlodipine</t>
        </is>
      </c>
      <c r="E17" t="inlineStr">
        <is>
          <t>เพิ่มยา HCTZ</t>
        </is>
      </c>
      <c r="F17" t="inlineStr">
        <is>
          <t>เพิ่มยา Nebivolol</t>
        </is>
      </c>
      <c r="G17" t="inlineStr">
        <is>
          <t>เพิ่มยา Ramipril</t>
        </is>
      </c>
      <c r="H17" t="inlineStr">
        <is>
          <t>เพิ่มขนาดยา Losartan</t>
        </is>
      </c>
      <c r="I17" t="n">
        <v>4</v>
      </c>
      <c r="J17" t="inlineStr">
        <is>
          <t>✅ คำตอบที่ถูกต้อง: ข้อ ง. เพิ่มยา Ramipril
💡 Background: หลักการบริบาลทางเภสัชกรรมและการควบคุมคุณภาพในหมวด 2. Cardiovascular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(เพิ่มยา Amlodipine): ตัวเลือก เพิ่มยา Amlodipine ไม่ใช่คำตอบที่ถูกต้อง เนื่องจากมีกลไกทางเภสัชวิทยา ข้อบ่งใช้ หรือคุณสมบัติทางเภสัชเคมีที่ไม่ตรงกับเงื่อนไขที่โจทย์กำหนด
- ข้อ ข. (เพิ่มยา HCTZ): ตัวเลือก เพิ่มยา HCTZ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(เพิ่มยา Nebivolol): ตัวเลือก เพิ่มยา Nebivolol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(เพิ่มขนาดยา Losartan): ตัวเลือก เพิ่มขนาดยา Losartan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Cardiovascular อย่างแม่นยำก่อนสอบ</t>
        </is>
      </c>
      <c r="L17" t="inlineStr">
        <is>
          <t>Hypertension</t>
        </is>
      </c>
      <c r="M17" t="inlineStr">
        <is>
          <t>Clinic</t>
        </is>
      </c>
      <c r="N17" t="inlineStr">
        <is>
          <t>[TEST] Quick Ingestion</t>
        </is>
      </c>
      <c r="O17" t="inlineStr">
        <is>
          <t>Mock</t>
        </is>
      </c>
      <c r="P17" t="inlineStr">
        <is>
          <t>Mock RxCU83 ครั้งที่ 1</t>
        </is>
      </c>
      <c r="Q17" t="inlineStr">
        <is>
          <t>2. Cardiovascular</t>
        </is>
      </c>
      <c r="R17" t="inlineStr">
        <is>
          <t>CASE_CLN_M83_HTN_C01_Q3</t>
        </is>
      </c>
    </row>
    <row r="18">
      <c r="A18" t="n">
        <v>16</v>
      </c>
      <c r="B18" t="inlineStr">
        <is>
          <t>กลไกใดที่เป็นไปได้มากที่สุดในการเพิ่มขึ้นของโพแทสเซียมในเลือด จากการใช้ยา enalapril ร่วมกับ spironolactone</t>
        </is>
      </c>
      <c r="D18" t="inlineStr">
        <is>
          <t>ACE inhibitor ลดการสร้าง NO ทำให้เกิด vasodilation มากเกินไป</t>
        </is>
      </c>
      <c r="E18" t="inlineStr">
        <is>
          <t>Enalapril ยับยั้ง Na+/K+ ATPase ทำให้โพแทสเซียมเพิ่มขึ้น</t>
        </is>
      </c>
      <c r="F18" t="inlineStr">
        <is>
          <t>Spironolactone กระตุ้น beta 1 receptor ทำให้เพิ่มระดับความคงตัวของโพแทสเซียม</t>
        </is>
      </c>
      <c r="G18" t="inlineStr">
        <is>
          <t>Enalapril and Spironolactone ยับยั้ง aldosterone ที่ท่อไตส่วนปลาย ทำให้ลดการขับออกของโพแทสเซียม</t>
        </is>
      </c>
      <c r="H18" t="inlineStr">
        <is>
          <t>Enalapril เพิ่ม renin release ทำให้เพิ่มการคงของโพแทสเซียมโดยตรง</t>
        </is>
      </c>
      <c r="I18" t="n">
        <v>4</v>
      </c>
      <c r="J18" t="inlineStr">
        <is>
          <t>✅ คำตอบที่ถูกต้อง: ข้อ ง. Enalapril and Spironolactone ยับยั้ง aldosterone ที่ท่อไตส่วนปลาย ทำให้ลดการขับออกของโพแทสเซียม
💡 Background: หลักการบริบาลทางเภสัชกรรมและการควบคุมคุณภาพในหมวด 2. Cardiovascular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(ACE inhibitor ลดการสร้าง NO ทำให้เกิด vasodilation): ตัวเลือก ACE inhibitor ลดการสร้าง NO ทำให้เกิด vasodilation มากเกินไป ไม่ใช่คำตอบที่ถูกต้อง เนื่องจากมีกลไกทางเภสัชวิทยา ข้อบ่งใช้ หรือคุณสมบัติทางเภสัชเคมีที่ไม่ตรงกับเงื่อนไขที่โจทย์กำหนด
- ข้อ ข. (Enalapril ยับยั้ง Na+/K+ ATPase ทำให้โพแทสเซียมเพิ): ตัวเลือก Enalapril ยับยั้ง Na+/K+ ATPase ทำให้โพแทสเซียมเพิ่มขึ้น ไม่ใช่คำตอบที่ถูกต้อง เนื่องจากมีกลไกทางเภสัชวิทยา ข้อบ่งใช้ หรือคุณสมบัติทางเภสัชเคมีที่ไม่ตรงกับเงื่อนไขที่โจทย์กำหนด
- ข้อ ค. (Spironolactone กระตุ้น beta 1 receptor ทำให้เพิ่มร): ตัวเลือก Spironolactone กระตุ้น beta 1 receptor ทำให้เพิ่มระดับความคง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(Enalapril เพิ่ม renin release ทำให้เพิ่มการคงของโพ): ตัวเลือก Enalapril เพิ่ม renin release ทำให้เพิ่มการคงของโพแทสเซียมโด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Cardiovascular อย่างแม่นยำก่อนสอบ</t>
        </is>
      </c>
      <c r="L18" t="inlineStr">
        <is>
          <t>Hypertension</t>
        </is>
      </c>
      <c r="M18" t="inlineStr">
        <is>
          <t>Clinic</t>
        </is>
      </c>
      <c r="N18" t="inlineStr">
        <is>
          <t>[TEST] Quick Ingestion</t>
        </is>
      </c>
      <c r="O18" t="inlineStr">
        <is>
          <t>Mock</t>
        </is>
      </c>
      <c r="P18" t="inlineStr">
        <is>
          <t>Mock RxCU83 ครั้งที่ 1</t>
        </is>
      </c>
      <c r="Q18" t="inlineStr">
        <is>
          <t>2. Cardiovascular</t>
        </is>
      </c>
      <c r="R18" t="inlineStr">
        <is>
          <t>CASE_CLN_M83_HTN_C01_Q4</t>
        </is>
      </c>
    </row>
    <row r="19">
      <c r="A19" t="n">
        <v>17</v>
      </c>
      <c r="B19" t="inlineStr">
        <is>
          <t>ข้อใดคือกลไกของ CCB และ CCB กลุ่มใดมีผลเด่นในการขยายหลอดเลือด</t>
        </is>
      </c>
      <c r="D19" t="inlineStr">
        <is>
          <t>กระตุ้นการเกิด NO synthesis, non-dihydropyridine</t>
        </is>
      </c>
      <c r="E19" t="inlineStr">
        <is>
          <t>ปิดกั้น L-type calcium channel, dihydropyridine</t>
        </is>
      </c>
      <c r="F19" t="inlineStr">
        <is>
          <t>ยับยั้ง beta-adrenergic receptor, non-selective CCB</t>
        </is>
      </c>
      <c r="G19" t="inlineStr">
        <is>
          <t>กระตุ้นการนำแคลเซียมเข้าสู่กล้ามเนื้อหัวใจ, selective CCB</t>
        </is>
      </c>
      <c r="H19" t="inlineStr">
        <is>
          <t>ยับยั้งการหลั่ง renin, central CCB</t>
        </is>
      </c>
      <c r="I19" t="n">
        <v>2</v>
      </c>
      <c r="J19" t="inlineStr">
        <is>
          <t>✅ คำตอบที่ถูกต้อง: ข้อ ข. ปิดกั้น L-type calcium channel, dihydropyridine
💡 Background: หลักการบริบาลทางเภสัชกรรมและการควบคุมคุณภาพในหมวด 2. Cardiovascular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(กระตุ้นการเกิด NO synthesis, non-dihydropyridine): ตัวเลือก กระตุ้นการเกิด NO synthesis, non-dihydropyridine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(ยับยั้ง beta-adrenergic receptor, non-selective CC): ตัวเลือก ยับยั้ง beta-adrenergic receptor, non-selective CCB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(กระตุ้นการนำแคลเซียมเข้าสู่กล้ามเนื้อหัวใจ, select): ตัวเลือก กระตุ้นการนำแคลเซียมเข้าสู่กล้ามเนื้อหัวใจ, selective CCB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(ยับยั้งการหลั่ง renin, central CCB): ตัวเลือก ยับยั้งการหลั่ง renin, central CCB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Cardiovascular อย่างแม่นยำก่อนสอบ</t>
        </is>
      </c>
      <c r="L19" t="inlineStr">
        <is>
          <t>Hypertension</t>
        </is>
      </c>
      <c r="M19" t="inlineStr">
        <is>
          <t>Clinic</t>
        </is>
      </c>
      <c r="N19" t="inlineStr">
        <is>
          <t>[TEST] Quick Ingestion</t>
        </is>
      </c>
      <c r="O19" t="inlineStr">
        <is>
          <t>Mock</t>
        </is>
      </c>
      <c r="P19" t="inlineStr">
        <is>
          <t>Mock RxCU83 ครั้งที่ 1</t>
        </is>
      </c>
      <c r="Q19" t="inlineStr">
        <is>
          <t>2. Cardiovascular</t>
        </is>
      </c>
      <c r="R19" t="inlineStr">
        <is>
          <t>CASE_CLN_M83_HTN_C01_Q5</t>
        </is>
      </c>
    </row>
    <row r="20">
      <c r="A20" t="n">
        <v>18</v>
      </c>
      <c r="B20" t="inlineStr">
        <is>
          <t>Ramipril 5 mg เป็นแคปซูลเจลาตินแข็งสีขาว/แดง ผงสีขาวถึงเกือบขาว ในเมดยาประกอบไปด้วย Ramipril, Colloidal anhydrous silica, Pregelatinized starch สาร Pregelatinized starch (แป้งข้าวโพดพรีเจลาติไนซ์) มีหน้าที่หลักอะไรในสูตรตำรับนี้</t>
        </is>
      </c>
      <c r="D20" t="inlineStr">
        <is>
          <t>สารหล่อลื่น (Lubricant)</t>
        </is>
      </c>
      <c r="E20" t="inlineStr">
        <is>
          <t>สารช่วยการไหล (Glidant)</t>
        </is>
      </c>
      <c r="F20" t="inlineStr">
        <is>
          <t>สารช่วยยึดเกาะ (Binder)</t>
        </is>
      </c>
      <c r="G20" t="inlineStr">
        <is>
          <t>สารเพิ่มปริมาณ (Diluent/Filler)</t>
        </is>
      </c>
      <c r="H20" t="inlineStr">
        <is>
          <t>สารช่วยให้เปลือกแคปซูลแตก</t>
        </is>
      </c>
      <c r="I20" t="n">
        <v>4</v>
      </c>
      <c r="J20" t="inlineStr">
        <is>
          <t>✅ คำตอบที่ถูกต้อง: ข้อ ง. สารเพิ่มปริมาณ (Diluent/Filler)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(สารหล่อลื่น (Lubricant)): ตัวเลือก สารหล่อลื่น (Lubricant)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(สารช่วยการไหล (Glidant)): ตัวเลือก สารช่วยการไหล (Glidant)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(สารช่วยยึดเกาะ (Binder)): ตัวเลือก สารช่วยยึดเกาะ (Binder)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(สารช่วยให้เปลือกแคปซูลแตก): ตัวเลือก สารช่วยให้เปลือกแคปซูลแตก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20" t="inlineStr">
        <is>
          <t>Excipients classification</t>
        </is>
      </c>
      <c r="M20" t="inlineStr">
        <is>
          <t>Product</t>
        </is>
      </c>
      <c r="N20" t="inlineStr">
        <is>
          <t>[TEST] Quick Ingestion</t>
        </is>
      </c>
      <c r="O20" t="inlineStr">
        <is>
          <t>Mock</t>
        </is>
      </c>
      <c r="P20" t="inlineStr">
        <is>
          <t>Mock RxCU83 ครั้งที่ 1</t>
        </is>
      </c>
      <c r="Q20" t="inlineStr">
        <is>
          <t>6. Solid Dosage Forms</t>
        </is>
      </c>
      <c r="R20" t="inlineStr">
        <is>
          <t>CASE_PRD_M83_HTN_C01_Q1</t>
        </is>
      </c>
    </row>
    <row r="21">
      <c r="A21" t="n">
        <v>19</v>
      </c>
      <c r="B21" t="inlineStr">
        <is>
          <t>ข้อใดคือเหตุผลของการใช้ยา ramipril ในรูปแบบแคปซูลเจลาตินแข็ง แทนรูปแบบยาเม็ด (Tablet)</t>
        </is>
      </c>
      <c r="D21" t="inlineStr">
        <is>
          <t>ป้องกันแสง</t>
        </is>
      </c>
      <c r="E21" t="inlineStr">
        <is>
          <t>ป้องกันความชื้น</t>
        </is>
      </c>
      <c r="F21" t="inlineStr">
        <is>
          <t>ลดความแปรปรวนของอัตราการละลาย</t>
        </is>
      </c>
      <c r="G21" t="inlineStr">
        <is>
          <t>แก้ปัญหาผงยาตอกอัดไม่ดี (Poor compressibility)</t>
        </is>
      </c>
      <c r="H21" t="inlineStr">
        <is>
          <t>เพิ่มการออกฤทธิ์เนิ่นโดยไม่ต้องเคลือบ</t>
        </is>
      </c>
      <c r="I21" t="n">
        <v>4</v>
      </c>
      <c r="J21" t="inlineStr">
        <is>
          <t>✅ คำตอบที่ถูกต้อง: ข้อ ง. แก้ปัญหาผงยาตอกอัดไม่ดี (Poor compressibility)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(ป้องกันแสง): ตัวเลือก ป้องกันแสง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(ป้องกันความชื้น): ตัวเลือก ป้องกันความชื้น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(ลดความแปรปรวนของอัตราการละลาย): ตัวเลือก ลดความแปรปรวนของอัตราการละลาย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(เพิ่มการออกฤทธิ์เนิ่นโดยไม่ต้องเคลือบ): ตัวเลือก เพิ่มการออกฤทธิ์เนิ่นโดยไม่ต้องเคลือบ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21" t="inlineStr">
        <is>
          <t>Hard &amp; Soft Gelatin Capsules</t>
        </is>
      </c>
      <c r="M21" t="inlineStr">
        <is>
          <t>Product</t>
        </is>
      </c>
      <c r="N21" t="inlineStr">
        <is>
          <t>[TEST] Quick Ingestion</t>
        </is>
      </c>
      <c r="O21" t="inlineStr">
        <is>
          <t>Mock</t>
        </is>
      </c>
      <c r="P21" t="inlineStr">
        <is>
          <t>Mock RxCU83 ครั้งที่ 1</t>
        </is>
      </c>
      <c r="Q21" t="inlineStr">
        <is>
          <t>6. Solid Dosage Forms</t>
        </is>
      </c>
      <c r="R21" t="inlineStr">
        <is>
          <t>CASE_PRD_M83_HTN_C01_Q2</t>
        </is>
      </c>
    </row>
    <row r="22">
      <c r="A22" t="n">
        <v>20</v>
      </c>
      <c r="B22" t="inlineStr">
        <is>
          <t>เหตุใดจึงต้องเก็บรักษา ramipril capsule ไว้ในบรรจุภัณฑ์ดั้งเดิม (Original package / Blister pack)</t>
        </is>
      </c>
      <c r="D22" t="inlineStr">
        <is>
          <t>กันแตกหักจากแรงกด</t>
        </is>
      </c>
      <c r="E22" t="inlineStr">
        <is>
          <t>กันดูดความชื้นและการเสื่อมสลายของเจลาตินและตัวยา</t>
        </is>
      </c>
      <c r="F22" t="inlineStr">
        <is>
          <t>กันปนเปื้อนเชื้อจุลชีพ</t>
        </is>
      </c>
      <c r="G22" t="inlineStr">
        <is>
          <t>กันตัวยาเปลี่ยนรูปผลึก</t>
        </is>
      </c>
      <c r="H22" t="inlineStr">
        <is>
          <t>กันการเปลี่ยนแปลงของรสชาติตัวยา</t>
        </is>
      </c>
      <c r="I22" t="n">
        <v>2</v>
      </c>
      <c r="J22" t="inlineStr">
        <is>
          <t>✅ คำตอบที่ถูกต้อง: ข้อ ข. กันดูดความชื้นและการเสื่อมสลายของเจลาตินและตัวยา
💡 Background: หลักการบริบาลทางเภสัชกรรมและการควบคุมคุณภาพในหมวด 6. Solid Dosage Forms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(กันแตกหักจากแรงกด): ตัวเลือก กันแตกหักจากแรงกด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(กันปนเปื้อนเชื้อจุลชีพ): ตัวเลือก กันปนเปื้อนเชื้อจุลชีพ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(กันตัวยาเปลี่ยนรูปผลึก): ตัวเลือก กันตัวยาเปลี่ยนรูปผลึก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(กันการเปลี่ยนแปลงของรสชาติตัวยา): ตัวเลือก กันการเปลี่ยนแปลงของรสชาติตัวยา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22" t="inlineStr">
        <is>
          <t>Container &amp; Closure Systems</t>
        </is>
      </c>
      <c r="M22" t="inlineStr">
        <is>
          <t>Product</t>
        </is>
      </c>
      <c r="N22" t="inlineStr">
        <is>
          <t>[TEST] Quick Ingestion</t>
        </is>
      </c>
      <c r="O22" t="inlineStr">
        <is>
          <t>Mock</t>
        </is>
      </c>
      <c r="P22" t="inlineStr">
        <is>
          <t>Mock RxCU83 ครั้งที่ 1</t>
        </is>
      </c>
      <c r="Q22" t="inlineStr">
        <is>
          <t>6. Solid Dosage Forms</t>
        </is>
      </c>
      <c r="R22" t="inlineStr">
        <is>
          <t>CASE_PRD_M83_HTN_C01_Q3</t>
        </is>
      </c>
    </row>
    <row r="23">
      <c r="A23" t="n">
        <v>21</v>
      </c>
      <c r="B23" t="inlineStr">
        <is>
          <t>การวิเคราะห์ปริมาณโซเดียมในผลิตภัณฑ์อาหาร สำหรับประเมินความเสี่ยงโรคความดันโลหิตสูง วิธีวิเคราะห์ใดมีความแม่นยำและถูกต้องมากที่สุด</t>
        </is>
      </c>
      <c r="D23" t="inlineStr">
        <is>
          <t>UV-vis</t>
        </is>
      </c>
      <c r="E23" t="inlineStr">
        <is>
          <t>ICP-OES / ICP-MS</t>
        </is>
      </c>
      <c r="F23" t="inlineStr">
        <is>
          <t>FTIR</t>
        </is>
      </c>
      <c r="G23" t="inlineStr">
        <is>
          <t>TLC</t>
        </is>
      </c>
      <c r="H23" t="inlineStr">
        <is>
          <t>NMR</t>
        </is>
      </c>
      <c r="I23" t="n">
        <v>2</v>
      </c>
      <c r="J23" t="inlineStr">
        <is>
          <t>✅ คำตอบที่ถูกต้อง: ข้อ ข. ICP-OES / ICP-MS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(UV-vis): ตัวเลือก UV-vis ไม่ใช่คำตอบที่ถูกต้อง เนื่องจากมีกลไกทางเภสัชวิทยา ข้อบ่งใช้ หรือคุณสมบัติทางเภสัชเคมีที่ไม่ตรงกับเงื่อนไขที่โจทย์กำหนด
- ข้อ ค. (FTIR): ตัวเลือก FTIR ไม่ใช่คำตอบที่ถูกต้อง เนื่องจากมีกลไกทางเภสัชวิทยา ข้อบ่งใช้ หรือคุณสมบัติทางเภสัชเคมีที่ไม่ตรงกับเงื่อนไขที่โจทย์กำหนด
- ข้อ ง. (TLC): ตัวเลือก TLC ไม่ใช่คำตอบที่ถูกต้อง เนื่องจากมีกลไกทางเภสัชวิทยา ข้อบ่งใช้ หรือคุณสมบัติทางเภสัชเคมีที่ไม่ตรงกับเงื่อนไขที่โจทย์กำหนด
- ข้อ จ. (NMR): ตัวเลือก NMR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23" t="inlineStr">
        <is>
          <t>Proximate Analysis of food</t>
        </is>
      </c>
      <c r="M23" t="inlineStr">
        <is>
          <t>Product</t>
        </is>
      </c>
      <c r="N23" t="inlineStr">
        <is>
          <t>[TEST] Quick Ingestion</t>
        </is>
      </c>
      <c r="O23" t="inlineStr">
        <is>
          <t>Mock</t>
        </is>
      </c>
      <c r="P23" t="inlineStr">
        <is>
          <t>Mock RxCU83 ครั้งที่ 1</t>
        </is>
      </c>
      <c r="Q23" t="inlineStr">
        <is>
          <t>1. Titrations</t>
        </is>
      </c>
      <c r="R23" t="inlineStr">
        <is>
          <t>CASE_PRD_M83_HTN_C01_Q4</t>
        </is>
      </c>
    </row>
    <row r="24">
      <c r="A24" t="n">
        <v>22</v>
      </c>
      <c r="B24" t="inlineStr">
        <is>
          <t>ห้องปฏิบัติการทดสอบยาเม็ด Amlodipine 3 lot ในหัวข้อ Dissolution ตาม USP (Q = 75% ที่เวลาที่กำหนด) พบว่าไม่มี lot ใดผ่านใน Stage 1 (S1, n=6) จึงทดสอบต่อใน Stage 2 (S2, เพิ่มอีก 6 เม็ด รวมเป็น 12 เม็ด): lot 1 เฉลี่ย 81.0% (ต่ำสุด 59%), lot 2 เฉลี่ย 76.3% (ต่ำสุด 58%), lot 3 เฉลี่ย 82.0% (ต่ำสุด 65%) ให้สรุปผลตามเกณฑ์ USP S2 (เกณฑ์: ค่าเฉลี่ย 12 เม็ด ≥ Q (75%) และไม่มีเม็ดใดน้อยกว่า Q-15% (60%))</t>
        </is>
      </c>
      <c r="D24" t="inlineStr">
        <is>
          <t>ทุก lot ผ่านหมด</t>
        </is>
      </c>
      <c r="E24" t="inlineStr">
        <is>
          <t>ผ่านเฉพาะ lot 1</t>
        </is>
      </c>
      <c r="F24" t="inlineStr">
        <is>
          <t>ผ่านเฉพาะ lot 3</t>
        </is>
      </c>
      <c r="G24" t="inlineStr">
        <is>
          <t>ผ่านเฉพาะ lot 1 และ 3</t>
        </is>
      </c>
      <c r="H24" t="inlineStr">
        <is>
          <t>ไม่มี lot ไหนผ่าน</t>
        </is>
      </c>
      <c r="I24" t="n">
        <v>3</v>
      </c>
      <c r="J24" t="inlineStr">
        <is>
          <t>✅ คำตอบที่ถูกต้อง: ข้อ ค. ผ่านเฉพาะ lot 3
💡 Background: หลักการบริบาลทางเภสัชกรรมและการควบคุมคุณภาพในหมวด 1. Titrations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(ทุก lot ผ่านหมด): ตัวเลือก ทุก lot ผ่านหมด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(ผ่านเฉพาะ lot 1): ตัวเลือก ผ่านเฉพาะ lot 1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(ผ่านเฉพาะ lot 1 และ 3): ตัวเลือก ผ่านเฉพาะ lot 1 และ 3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(ไม่มี lot ไหนผ่าน): ตัวเลือก ไม่มี lot ไหนผ่าน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24" t="inlineStr">
        <is>
          <t>Dissolution testing</t>
        </is>
      </c>
      <c r="M24" t="inlineStr">
        <is>
          <t>Product</t>
        </is>
      </c>
      <c r="N24" t="inlineStr">
        <is>
          <t>[TEST] Quick Ingestion</t>
        </is>
      </c>
      <c r="O24" t="inlineStr">
        <is>
          <t>Mock</t>
        </is>
      </c>
      <c r="P24" t="inlineStr">
        <is>
          <t>Mock RxCU83 ครั้งที่ 1</t>
        </is>
      </c>
      <c r="Q24" t="inlineStr">
        <is>
          <t>1. Titrations</t>
        </is>
      </c>
      <c r="R24" t="inlineStr">
        <is>
          <t>CASE_PRD_M83_HTN_C01_Q5</t>
        </is>
      </c>
    </row>
    <row r="25">
      <c r="A25" t="n">
        <v>23</v>
      </c>
      <c r="B25" t="inlineStr">
        <is>
          <t>ยารักษาโรคความดันโลหิตชนิดหนึ่ง จัดอยู่ในบัญชียาหลักแห่งชาติ "บัญชี ก" ข้อใดถูกต้องเกี่ยวกับคุณสมบัติของยานี้</t>
        </is>
      </c>
      <c r="D25" t="inlineStr">
        <is>
          <t>ต้องจ่ายโดยผู้ชำนาญการเฉพาะโรคเท่านั้น</t>
        </is>
      </c>
      <c r="E25" t="inlineStr">
        <is>
          <t>ต้องสำรองจ่ายค่ายาก่อนนำใบเสร็จไปเบิกกับต้นสังกัด</t>
        </is>
      </c>
      <c r="F25" t="inlineStr">
        <is>
          <t>ต้องร่วมจ่าย 30 บาทต่อหนึ่งรายการยา</t>
        </is>
      </c>
      <c r="G25" t="inlineStr">
        <is>
          <t>เป็นยาที่ใช้รักษาและป้องกันโรคที่พบบ่อย มีความคุ้มค่า และใช้เป็นอันดับแรกๆ ในสถานพยาบาลทุกระดับ</t>
        </is>
      </c>
      <c r="H25" t="inlineStr">
        <is>
          <t>ต้องมีแบบฟอร์มกำกับการใช้ยาและติดตามผลตลอดการรักษา</t>
        </is>
      </c>
      <c r="I25" t="n">
        <v>4</v>
      </c>
      <c r="J25" t="inlineStr">
        <is>
          <t>✅ คำตอบที่ถูกต้อง: ข้อ ง. เป็นยาที่ใช้รักษาและป้องกันโรคที่พบบ่อย มีความคุ้มค่า และใช้เป็นอันดับแรกๆ ในสถานพยาบาลทุกระดับ
💡 Background: หลักการบริบาลทางเภสัชกรรมและการควบคุมคุณภาพในหมวด 2. Pharmacy Administration &amp; Sy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(ต้องจ่ายโดยผู้ชำนาญการเฉพาะโรคเท่านั้น): ตัวเลือก ต้องจ่ายโดยผู้ชำนาญการเฉพาะโรคเท่านั้น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(ต้องสำรองจ่ายค่ายาก่อนนำใบเสร็จไปเบิกกับต้นสังกัด): ตัวเลือก ต้องสำรองจ่ายค่ายาก่อนนำใบเสร็จไปเบิกกับต้นสังกัด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(ต้องร่วมจ่าย 30 บาทต่อหนึ่งรายการยา): ตัวเลือก ต้องร่วมจ่าย 30 บาทต่อหนึ่งรายการยา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(ต้องมีแบบฟอร์มกำกับการใช้ยาและติดตามผลตลอดการรักษา): ตัวเลือก ต้องมีแบบฟอร์มกำกับการใช้ยาและติดตามผลตลอดการรักษา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L25" t="inlineStr">
        <is>
          <t>Pharmacy Laws &amp; Ethics</t>
        </is>
      </c>
      <c r="M25" t="inlineStr">
        <is>
          <t>SAP</t>
        </is>
      </c>
      <c r="N25" t="inlineStr">
        <is>
          <t>[TEST] Quick Ingestion</t>
        </is>
      </c>
      <c r="O25" t="inlineStr">
        <is>
          <t>Mock</t>
        </is>
      </c>
      <c r="P25" t="inlineStr">
        <is>
          <t>Mock RxCU83 ครั้งที่ 1</t>
        </is>
      </c>
      <c r="Q25" t="inlineStr">
        <is>
          <t>2. Pharmacy Administration &amp; Sy</t>
        </is>
      </c>
      <c r="R25" t="inlineStr">
        <is>
          <t>CASE_SAP_M83_HTN_C01_Q1</t>
        </is>
      </c>
    </row>
    <row r="26">
      <c r="A26" t="n">
        <v>24</v>
      </c>
      <c r="B26" t="inlineStr">
        <is>
          <t>Reserpine เป็นสารธรรมชาติที่นำมาใช้บำบัดภาวะความดันโลหิตสูง พบได้ในพืชสมุนไพรชนิดใด</t>
        </is>
      </c>
      <c r="D26" t="inlineStr">
        <is>
          <t>ระย่อม</t>
        </is>
      </c>
      <c r="E26" t="inlineStr">
        <is>
          <t>พริกไทย</t>
        </is>
      </c>
      <c r="F26" t="inlineStr">
        <is>
          <t>กาแฟ</t>
        </is>
      </c>
      <c r="G26" t="inlineStr">
        <is>
          <t>โคคา</t>
        </is>
      </c>
      <c r="H26" t="inlineStr">
        <is>
          <t>เถาวัลย์เปรียง</t>
        </is>
      </c>
      <c r="I26" t="n">
        <v>1</v>
      </c>
      <c r="J26" t="inlineStr">
        <is>
          <t>✅ คำตอบที่ถูกต้อง: ข้อ ก. ระย่อม
💡 Background: หลักการบริบาลทางเภสัชกรรมและการควบคุมคุณภาพในหมวด 17. Herbal Medicine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(พริกไทย): ตัวเลือก พริกไทย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(กาแฟ): ตัวเลือก กาแฟ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(โคคา): ตัวเลือก โคคา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(เถาวัลย์เปรียง): ตัวเลือก เถาวัลย์เปรียง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17. Herbal Medicine อย่างแม่นยำก่อนสอบ</t>
        </is>
      </c>
      <c r="L26" t="inlineStr">
        <is>
          <t>Herbal Medicine</t>
        </is>
      </c>
      <c r="M26" t="inlineStr">
        <is>
          <t>Clinic</t>
        </is>
      </c>
      <c r="N26" t="inlineStr">
        <is>
          <t>[TEST] Quick Ingestion</t>
        </is>
      </c>
      <c r="O26" t="inlineStr">
        <is>
          <t>Mock</t>
        </is>
      </c>
      <c r="P26" t="inlineStr">
        <is>
          <t>Mock RxCU83 ครั้งที่ 1</t>
        </is>
      </c>
      <c r="Q26" t="inlineStr">
        <is>
          <t>17. Herbal Medicine</t>
        </is>
      </c>
      <c r="R26" t="inlineStr">
        <is>
          <t>CASE_CLN_M83_HTN_C02_Q1</t>
        </is>
      </c>
    </row>
    <row r="27">
      <c r="A27" t="n">
        <v>25</v>
      </c>
      <c r="B27" t="inlineStr">
        <is>
          <t>สมุนไพรต่างประเทศข้อใดมีผลช่วยขยายหลอดเลือดและลดความดันโลหิต</t>
        </is>
      </c>
      <c r="D27" t="inlineStr">
        <is>
          <t>Horse Chestnut</t>
        </is>
      </c>
      <c r="E27" t="inlineStr">
        <is>
          <t>Hawthorn</t>
        </is>
      </c>
      <c r="F27" t="inlineStr">
        <is>
          <t>Ginkgo</t>
        </is>
      </c>
      <c r="G27" t="inlineStr">
        <is>
          <t>ฮวยซัว</t>
        </is>
      </c>
      <c r="H27" t="inlineStr">
        <is>
          <t>St. John's wort</t>
        </is>
      </c>
      <c r="I27" t="n">
        <v>2</v>
      </c>
      <c r="J27" t="inlineStr">
        <is>
          <t>✅ คำตอบที่ถูกต้อง: ข้อ ข. Hawthorn
💡 Background: หลักการบริบาลทางเภสัชกรรมและการควบคุมคุณภาพในหมวด 17. Herbal Medicine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(Horse Chestnut): ตัวเลือก Horse Chestnut ไม่ใช่คำตอบที่ถูกต้อง เนื่องจากมีกลไกทางเภสัชวิทยา ข้อบ่งใช้ หรือคุณสมบัติทางเภสัชเคมีที่ไม่ตรงกับเงื่อนไขที่โจทย์กำหนด
- ข้อ ค. (Ginkgo): ตัวเลือก Ginkgo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(ฮวยซัว): ตัวเลือก ฮวยซัว ไม่ใช่คำตอบที่ถูกต้อง เนื่องจากมีกลไกทางเภสัชวิทยา ข้อบ่งใช้ หรือคุณสมบัติทางเภสัชเคมีที่ไม่ตรงกับเงื่อนไขที่โจทย์กำหนด
- ข้อ จ. (St. John's wort): ตัวเลือก St. John's wort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17. Herbal Medicine อย่างแม่นยำก่อนสอบ</t>
        </is>
      </c>
      <c r="L27" t="inlineStr">
        <is>
          <t>Herbal Medicine</t>
        </is>
      </c>
      <c r="M27" t="inlineStr">
        <is>
          <t>Clinic</t>
        </is>
      </c>
      <c r="N27" t="inlineStr">
        <is>
          <t>[TEST] Quick Ingestion</t>
        </is>
      </c>
      <c r="O27" t="inlineStr">
        <is>
          <t>Mock</t>
        </is>
      </c>
      <c r="P27" t="inlineStr">
        <is>
          <t>Mock RxCU83 ครั้งที่ 1</t>
        </is>
      </c>
      <c r="Q27" t="inlineStr">
        <is>
          <t>17. Herbal Medicine</t>
        </is>
      </c>
      <c r="R27" t="inlineStr">
        <is>
          <t>CASE_CLN_M83_HTN_C02_Q2</t>
        </is>
      </c>
    </row>
    <row r="28">
      <c r="A28" t="n">
        <v>26</v>
      </c>
      <c r="B28" t="inlineStr">
        <is>
          <t>ผู้ป่วยชายอายุ 60 ปี โรคประจำตัว T2DM มา 10 ปี ได้รับ Metformin 500 mg 2x2 pc, Glipizide 5 mg 2x2 ac, Pioglitazone 30 mg 1x1 pc ไม่มีโรคร่วมอื่นและยังไม่มีภาวะแทรกซ้อน เป้าหมายระดับ HbA1c ของผู้ป่วยรายนี้ตามแนวทางเวชปฏิบัติส่วนใหญ่ควรเป็นเท่าใด</t>
        </is>
      </c>
      <c r="D28" t="inlineStr">
        <is>
          <t>&lt; 5.5%</t>
        </is>
      </c>
      <c r="E28" t="inlineStr">
        <is>
          <t>&lt; 6.0%</t>
        </is>
      </c>
      <c r="F28" t="inlineStr">
        <is>
          <t>&lt; 7.0%</t>
        </is>
      </c>
      <c r="G28" t="inlineStr">
        <is>
          <t>&lt; 8.0%</t>
        </is>
      </c>
      <c r="H28" t="inlineStr">
        <is>
          <t>&lt; 8.5%</t>
        </is>
      </c>
      <c r="I28" t="n">
        <v>3</v>
      </c>
      <c r="J28" t="inlineStr">
        <is>
          <t>✅ คำตอบที่ถูกต้อง: ข้อ ค. &lt; 7.0%
💡 Background: หลักการบริบาลทางเภสัชกรรมและการควบคุมคุณภาพในหมวด 4. Endocrine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(&lt; 5.5%): ตัวเลือก &lt; 5.5% ไม่ใช่คำตอบที่ถูกต้อง เนื่องจากมีกลไกทางเภสัชวิทยา ข้อบ่งใช้ หรือคุณสมบัติทางเภสัชเคมีที่ไม่ตรงกับเงื่อนไขที่โจทย์กำหนด
- ข้อ ข. (&lt; 6.0%): ตัวเลือก &lt; 6.0% ไม่ใช่คำตอบที่ถูกต้อง เนื่องจากมีกลไกทางเภสัชวิทยา ข้อบ่งใช้ หรือคุณสมบัติทางเภสัชเคมีที่ไม่ตรงกับเงื่อนไขที่โจทย์กำหนด
- ข้อ ง. (&lt; 8.0%): ตัวเลือก &lt; 8.0% ไม่ใช่คำตอบที่ถูกต้อง เนื่องจากมีกลไกทางเภสัชวิทยา ข้อบ่งใช้ หรือคุณสมบัติทางเภสัชเคมีที่ไม่ตรงกับเงื่อนไขที่โจทย์กำหนด
- ข้อ จ. (&lt; 8.5%): ตัวเลือก &lt; 8.5%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4. Endocrine อย่างแม่นยำก่อนสอบ</t>
        </is>
      </c>
      <c r="L28" t="inlineStr">
        <is>
          <t>Diabetes mellitus</t>
        </is>
      </c>
      <c r="M28" t="inlineStr">
        <is>
          <t>Clinic</t>
        </is>
      </c>
      <c r="N28" t="inlineStr">
        <is>
          <t>[TEST] Quick Ingestion</t>
        </is>
      </c>
      <c r="O28" t="inlineStr">
        <is>
          <t>Mock</t>
        </is>
      </c>
      <c r="P28" t="inlineStr">
        <is>
          <t>Mock RxCU83 ครั้งที่ 1</t>
        </is>
      </c>
      <c r="Q28" t="inlineStr">
        <is>
          <t>4. Endocrine</t>
        </is>
      </c>
      <c r="R28" t="inlineStr">
        <is>
          <t>CASE_CLN_M83_DM_C01_Q1</t>
        </is>
      </c>
    </row>
    <row r="29">
      <c r="A29" t="n">
        <v>27</v>
      </c>
      <c r="B29" t="inlineStr">
        <is>
          <t>ผลตรวจทางห้องปฏิบัติการ HbA1c ของผู้ป่วยรายนี้มีค่าเท่ากับ 9.0% ตามแนวทาง ADA guideline ยาลดระดับน้ำตาลในเลือดกลุ่มถัดไปที่ควรพิจารณาเพิ่มที่มีประสิทธิภาพลดระดับน้ำตาลได้สูงมากและส่งเสริมการลดน้ำหนัก</t>
        </is>
      </c>
      <c r="D29" t="inlineStr">
        <is>
          <t>Sitagliptin</t>
        </is>
      </c>
      <c r="E29" t="inlineStr">
        <is>
          <t>Empagliflozin</t>
        </is>
      </c>
      <c r="F29" t="inlineStr">
        <is>
          <t>Acarbose</t>
        </is>
      </c>
      <c r="G29" t="inlineStr">
        <is>
          <t>Semaglutide SC</t>
        </is>
      </c>
      <c r="H29" t="inlineStr">
        <is>
          <t>Insulin SC</t>
        </is>
      </c>
      <c r="I29" t="n">
        <v>4</v>
      </c>
      <c r="J29" t="inlineStr">
        <is>
          <t>✅ คำตอบที่ถูกต้อง: ข้อ ง. Semaglutide SC
💡 Background: หลักการบริบาลทางเภสัชกรรมและการควบคุมคุณภาพในหมวด 4. Endocrine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(Sitagliptin): ตัวเลือก Sitagliptin ไม่ใช่คำตอบที่ถูกต้อง เนื่องจากมีกลไกทางเภสัชวิทยา ข้อบ่งใช้ หรือคุณสมบัติทางเภสัชเคมีที่ไม่ตรงกับเงื่อนไขที่โจทย์กำหนด
- ข้อ ข. (Empagliflozin): ตัวเลือก Empagliflozin ไม่ใช่คำตอบที่ถูกต้อง เนื่องจากมีกลไกทางเภสัชวิทยา ข้อบ่งใช้ หรือคุณสมบัติทางเภสัชเคมีที่ไม่ตรงกับเงื่อนไขที่โจทย์กำหนด
- ข้อ ค. (Acarbose): ตัวเลือก Acarbose ไม่ใช่คำตอบที่ถูกต้อง เนื่องจากมีกลไกทางเภสัชวิทยา ข้อบ่งใช้ หรือคุณสมบัติทางเภสัชเคมีที่ไม่ตรงกับเงื่อนไขที่โจทย์กำหนด
- ข้อ จ. (Insulin SC): ตัวเลือก Insulin SC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4. Endocrine อย่างแม่นยำก่อนสอบ</t>
        </is>
      </c>
      <c r="L29" t="inlineStr">
        <is>
          <t>Diabetes mellitus</t>
        </is>
      </c>
      <c r="M29" t="inlineStr">
        <is>
          <t>Clinic</t>
        </is>
      </c>
      <c r="N29" t="inlineStr">
        <is>
          <t>[TEST] Quick Ingestion</t>
        </is>
      </c>
      <c r="O29" t="inlineStr">
        <is>
          <t>Mock</t>
        </is>
      </c>
      <c r="P29" t="inlineStr">
        <is>
          <t>Mock RxCU83 ครั้งที่ 1</t>
        </is>
      </c>
      <c r="Q29" t="inlineStr">
        <is>
          <t>4. Endocrine</t>
        </is>
      </c>
      <c r="R29" t="inlineStr">
        <is>
          <t>CASE_CLN_M83_DM_C01_Q2</t>
        </is>
      </c>
    </row>
    <row r="30">
      <c r="A30" t="n">
        <v>28</v>
      </c>
      <c r="B30" t="inlineStr">
        <is>
          <t>หากแพทย์ต้องการเริ่ม insulin แก่ผู้ป่วยรายนี้ ผู้ป่วยควรได้รับ insulin ชนิดใดจึงจะเหมาะสมที่สุดสำหรับการเริ่มต้น (Initial insulin therapy) ตามแนวทางปฏิบัติ</t>
        </is>
      </c>
      <c r="D30" t="inlineStr">
        <is>
          <t>Lispro insulin SC</t>
        </is>
      </c>
      <c r="E30" t="inlineStr">
        <is>
          <t>Lispro insulin SC + insulin glargine SC</t>
        </is>
      </c>
      <c r="F30" t="inlineStr">
        <is>
          <t>RI insulin SC</t>
        </is>
      </c>
      <c r="G30" t="inlineStr">
        <is>
          <t>RI insulin SC + NPH insulin SC</t>
        </is>
      </c>
      <c r="H30" t="inlineStr">
        <is>
          <t>Insulin glargine SC</t>
        </is>
      </c>
      <c r="I30" t="n">
        <v>5</v>
      </c>
      <c r="J30" t="inlineStr">
        <is>
          <t>✅ คำตอบที่ถูกต้อง: ข้อ จ. Insulin glargine SC
💡 Background: หลักการบริบาลทางเภสัชกรรมและการควบคุมคุณภาพในหมวด 4. Endocrine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(Lispro insulin SC): ตัวเลือก Lispro insulin SC ไม่ใช่คำตอบที่ถูกต้อง เนื่องจากมีกลไกทางเภสัชวิทยา ข้อบ่งใช้ หรือคุณสมบัติทางเภสัชเคมีที่ไม่ตรงกับเงื่อนไขที่โจทย์กำหนด
- ข้อ ข. (Lispro insulin SC + insulin glargine SC): ตัวเลือก Lispro insulin SC + insulin glargine SC ไม่ใช่คำตอบที่ถูกต้อง เนื่องจากมีกลไกทางเภสัชวิทยา ข้อบ่งใช้ หรือคุณสมบัติทางเภสัชเคมีที่ไม่ตรงกับเงื่อนไขที่โจทย์กำหนด
- ข้อ ค. (RI insulin SC): ตัวเลือก RI insulin SC ไม่ใช่คำตอบที่ถูกต้อง เนื่องจากมีกลไกทางเภสัชวิทยา ข้อบ่งใช้ หรือคุณสมบัติทางเภสัชเคมีที่ไม่ตรงกับเงื่อนไขที่โจทย์กำหนด
- ข้อ ง. (RI insulin SC + NPH insulin SC): ตัวเลือก RI insulin SC + NPH insulin SC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4. Endocrine อย่างแม่นยำก่อนสอบ</t>
        </is>
      </c>
      <c r="L30" t="inlineStr">
        <is>
          <t>Diabetes mellitus</t>
        </is>
      </c>
      <c r="M30" t="inlineStr">
        <is>
          <t>Clinic</t>
        </is>
      </c>
      <c r="N30" t="inlineStr">
        <is>
          <t>[TEST] Quick Ingestion</t>
        </is>
      </c>
      <c r="O30" t="inlineStr">
        <is>
          <t>Mock</t>
        </is>
      </c>
      <c r="P30" t="inlineStr">
        <is>
          <t>Mock RxCU83 ครั้งที่ 1</t>
        </is>
      </c>
      <c r="Q30" t="inlineStr">
        <is>
          <t>4. Endocrine</t>
        </is>
      </c>
      <c r="R30" t="inlineStr">
        <is>
          <t>CASE_CLN_M83_DM_C01_Q3</t>
        </is>
      </c>
    </row>
    <row r="31">
      <c r="A31" t="n">
        <v>29</v>
      </c>
      <c r="B31" t="inlineStr">
        <is>
          <t>ยาลดระดับน้ำตาลในเลือดในข้อใด ไม่มีผล ในการเพิ่มการหลั่งฮอร์โมนอินซูลินจากตับอ่อน</t>
        </is>
      </c>
      <c r="D31" t="inlineStr">
        <is>
          <t>Glipizide</t>
        </is>
      </c>
      <c r="E31" t="inlineStr">
        <is>
          <t>Repaglinide</t>
        </is>
      </c>
      <c r="F31" t="inlineStr">
        <is>
          <t>Pioglitazone</t>
        </is>
      </c>
      <c r="G31" t="inlineStr">
        <is>
          <t>Saxagliptin</t>
        </is>
      </c>
      <c r="H31" t="inlineStr">
        <is>
          <t>Liraglutide</t>
        </is>
      </c>
      <c r="I31" t="n">
        <v>3</v>
      </c>
      <c r="J31" t="inlineStr">
        <is>
          <t>✅ คำตอบที่ถูกต้อง: ข้อ ค. Pioglitazone
💡 Background: หลักการบริบาลทางเภสัชกรรมและการควบคุมคุณภาพในหมวด 4. Endocrine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(Glipizide): ตัวเลือก Glipizide ไม่ใช่คำตอบที่ถูกต้อง เนื่องจากมีกลไกทางเภสัชวิทยา ข้อบ่งใช้ หรือคุณสมบัติทางเภสัชเคมีที่ไม่ตรงกับเงื่อนไขที่โจทย์กำหนด
- ข้อ ข. (Repaglinide): ตัวเลือก Repaglinide ไม่ใช่คำตอบที่ถูกต้อง เนื่องจากมีกลไกทางเภสัชวิทยา ข้อบ่งใช้ หรือคุณสมบัติทางเภสัชเคมีที่ไม่ตรงกับเงื่อนไขที่โจทย์กำหนด
- ข้อ ง. (Saxagliptin): ตัวเลือก Saxagliptin ไม่ใช่คำตอบที่ถูกต้อง เนื่องจากมีกลไกทางเภสัชวิทยา ข้อบ่งใช้ หรือคุณสมบัติทางเภสัชเคมีที่ไม่ตรงกับเงื่อนไขที่โจทย์กำหนด
- ข้อ จ. (Liraglutide): ตัวเลือก Liraglutide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4. Endocrine อย่างแม่นยำก่อนสอบ</t>
        </is>
      </c>
      <c r="L31" t="inlineStr">
        <is>
          <t>Diabetes mellitus</t>
        </is>
      </c>
      <c r="M31" t="inlineStr">
        <is>
          <t>Clinic</t>
        </is>
      </c>
      <c r="N31" t="inlineStr">
        <is>
          <t>[TEST] Quick Ingestion</t>
        </is>
      </c>
      <c r="O31" t="inlineStr">
        <is>
          <t>Mock</t>
        </is>
      </c>
      <c r="P31" t="inlineStr">
        <is>
          <t>Mock RxCU83 ครั้งที่ 1</t>
        </is>
      </c>
      <c r="Q31" t="inlineStr">
        <is>
          <t>4. Endocrine</t>
        </is>
      </c>
      <c r="R31" t="inlineStr">
        <is>
          <t>CASE_CLN_M83_DM_C01_Q4</t>
        </is>
      </c>
    </row>
    <row r="32">
      <c r="A32" t="n">
        <v>30</v>
      </c>
      <c r="B32" t="inlineStr">
        <is>
          <t>กลไกการออกฤทธิ์หลักของยา semaglutide คือข้อใด</t>
        </is>
      </c>
      <c r="D32" t="inlineStr">
        <is>
          <t>กระตุ้น PPAR-γ receptor</t>
        </is>
      </c>
      <c r="E32" t="inlineStr">
        <is>
          <t>กระตุ้น GLP-1 receptor</t>
        </is>
      </c>
      <c r="F32" t="inlineStr">
        <is>
          <t>ยับยั้งการดูดกลับกลูโคสที่ท่อไตส่วนต้น</t>
        </is>
      </c>
      <c r="G32" t="inlineStr">
        <is>
          <t>กระตุ้น sulfonylurea receptor type 1</t>
        </is>
      </c>
      <c r="H32" t="inlineStr">
        <is>
          <t>ยับยั้งเอนไซม์ α-glucosidase</t>
        </is>
      </c>
      <c r="I32" t="n">
        <v>2</v>
      </c>
      <c r="J32" t="inlineStr">
        <is>
          <t>✅ คำตอบที่ถูกต้อง: ข้อ ข. กระตุ้น GLP-1 receptor
💡 Background: หลักการบริบาลทางเภสัชกรรมและการควบคุมคุณภาพในหมวด 4. Endocrine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(กระตุ้น PPAR-γ receptor): ตัวเลือก กระตุ้น PPAR-γ receptor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(ยับยั้งการดูดกลับกลูโคสที่ท่อไตส่วนต้น): ตัวเลือก ยับยั้งการดูดกลับกลูโคสที่ท่อไตส่วนต้น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(กระตุ้น sulfonylurea receptor type 1): ตัวเลือก กระตุ้น sulfonylurea receptor type 1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(ยับยั้งเอนไซม์ α-glucosidase): ตัวเลือก ยับยั้งเอนไซม์ α-glucosidase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4. Endocrine อย่างแม่นยำก่อนสอบ</t>
        </is>
      </c>
      <c r="L32" t="inlineStr">
        <is>
          <t>Diabetes mellitus</t>
        </is>
      </c>
      <c r="M32" t="inlineStr">
        <is>
          <t>Clinic</t>
        </is>
      </c>
      <c r="N32" t="inlineStr">
        <is>
          <t>[TEST] Quick Ingestion</t>
        </is>
      </c>
      <c r="O32" t="inlineStr">
        <is>
          <t>Mock</t>
        </is>
      </c>
      <c r="P32" t="inlineStr">
        <is>
          <t>Mock RxCU83 ครั้งที่ 1</t>
        </is>
      </c>
      <c r="Q32" t="inlineStr">
        <is>
          <t>4. Endocrine</t>
        </is>
      </c>
      <c r="R32" t="inlineStr">
        <is>
          <t>CASE_CLN_M83_DM_C01_Q5</t>
        </is>
      </c>
    </row>
    <row r="33">
      <c r="A33" t="n">
        <v>31</v>
      </c>
      <c r="B33" t="inlineStr">
        <is>
          <t>การเติม Zinc chloride หรือ Zinc acetate ในสูตรตำรับ NPH insulin มีส่วนช่วยอะไรในสูตรตำรับ</t>
        </is>
      </c>
      <c r="D33" t="inlineStr">
        <is>
          <t>เสริมฤทธิ์การกันเสีย (preservative) ร่วมกับ phenol</t>
        </is>
      </c>
      <c r="E33" t="inlineStr">
        <is>
          <t>ป้องกันการตกตะกอนของ insulin</t>
        </is>
      </c>
      <c r="F33" t="inlineStr">
        <is>
          <t>ทำให้เกิดสารประกอบเชิงซ้อน (Complex) กับ insulin ส่งผลต่อการชะลอการออกฤทธิ์เนิ่น</t>
        </is>
      </c>
      <c r="G33" t="inlineStr">
        <is>
          <t>ป้องกันการดูดซับของ insulin บนพื้นผิวภาชนะแก้ว type 1</t>
        </is>
      </c>
      <c r="H33" t="inlineStr">
        <is>
          <t>เพื่อเพิ่มความคงตัวของ pH ในการผลิตและเก็บรักษา</t>
        </is>
      </c>
      <c r="I33" t="n">
        <v>3</v>
      </c>
      <c r="J33" t="inlineStr">
        <is>
          <t>✅ คำตอบที่ถูกต้อง: ข้อ ค. ทำให้เกิดสารประกอบเชิงซ้อน (Complex) กับ insulin ส่งผลต่อการชะลอการออกฤทธิ์เนิ่น
💡 Background: หลักการบริบาลทางเภสัชกรรมและการควบคุมคุณภาพในหมวด 6. Solid Dosage Forms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(เสริมฤทธิ์การกันเสีย (preservative) ร่วมกับ phenol): ตัวเลือก เสริมฤทธิ์การกันเสีย (preservative) ร่วมกับ phenol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(ป้องกันการตกตะกอนของ insulin): ตัวเลือก ป้องกันการตกตะกอนของ insulin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(ป้องกันการดูดซับของ insulin บนพื้นผิวภาชนะแก้ว typ): ตัวเลือก ป้องกันการดูดซับของ insulin บนพื้นผิวภาชนะแก้ว type 1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(เพื่อเพิ่มความคงตัวของ pH ในการผลิตและเก็บรักษา): ตัวเลือก เพื่อเพิ่มความคงตัวของ pH ในการผลิตและเก็บรักษา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33" t="inlineStr">
        <is>
          <t>Parenterals &amp; Ophthalmic</t>
        </is>
      </c>
      <c r="M33" t="inlineStr">
        <is>
          <t>Product</t>
        </is>
      </c>
      <c r="N33" t="inlineStr">
        <is>
          <t>[TEST] Quick Ingestion</t>
        </is>
      </c>
      <c r="O33" t="inlineStr">
        <is>
          <t>Mock</t>
        </is>
      </c>
      <c r="P33" t="inlineStr">
        <is>
          <t>Mock RxCU83 ครั้งที่ 1</t>
        </is>
      </c>
      <c r="Q33" t="inlineStr">
        <is>
          <t>6. Solid Dosage Forms</t>
        </is>
      </c>
      <c r="R33" t="inlineStr">
        <is>
          <t>CASE_PRD_M83_DM_C01_Q1</t>
        </is>
      </c>
    </row>
    <row r="34">
      <c r="A34" t="n">
        <v>32</v>
      </c>
      <c r="B34" t="inlineStr">
        <is>
          <t>กระบวนการ Sterilization ที่เหมาะสมที่สุดกับผลิตภัณฑ์สำเร็จรูปยาฉีด Insulin injection ได้แก่ข้อใด</t>
        </is>
      </c>
      <c r="D34" t="inlineStr">
        <is>
          <t>Dry heat sterilization</t>
        </is>
      </c>
      <c r="E34" t="inlineStr">
        <is>
          <t>Sterile filtration (การกรองปราศจากเชื้อ)</t>
        </is>
      </c>
      <c r="F34" t="inlineStr">
        <is>
          <t>Steam sterilization (Autoclave)</t>
        </is>
      </c>
      <c r="G34" t="inlineStr">
        <is>
          <t>Ethylene oxide gas sterilization</t>
        </is>
      </c>
      <c r="H34" t="inlineStr">
        <is>
          <t>Gamma radiation sterilization</t>
        </is>
      </c>
      <c r="I34" t="n">
        <v>2</v>
      </c>
      <c r="J34" t="inlineStr">
        <is>
          <t>✅ คำตอบที่ถูกต้อง: ข้อ ข. Sterile filtration (การกรองปราศจากเชื้อ)
💡 Background: หลักการบริบาลทางเภสัชกรรมและการควบคุมคุณภาพในหมวด 6. Solid Dosage Forms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(Dry heat sterilization): ตัวเลือก Dry heat sterilization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(Steam sterilization (Autoclave)): ตัวเลือก Steam sterilization (Autoclave) ไม่ใช่คำตอบที่ถูกต้อง เนื่องจากมีกลไกทางเภสัชวิทยา ข้อบ่งใช้ หรือคุณสมบัติทางเภสัชเคมีที่ไม่ตรงกับเงื่อนไขที่โจทย์กำหนด
- ข้อ ง. (Ethylene oxide gas sterilization): ตัวเลือก Ethylene oxide gas sterilization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จ. (Gamma radiation sterilization): ตัวเลือก Gamma radiation sterilization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34" t="inlineStr">
        <is>
          <t>Autoclave &amp; Sterilization</t>
        </is>
      </c>
      <c r="M34" t="inlineStr">
        <is>
          <t>Product</t>
        </is>
      </c>
      <c r="N34" t="inlineStr">
        <is>
          <t>[TEST] Quick Ingestion</t>
        </is>
      </c>
      <c r="O34" t="inlineStr">
        <is>
          <t>Mock</t>
        </is>
      </c>
      <c r="P34" t="inlineStr">
        <is>
          <t>Mock RxCU83 ครั้งที่ 1</t>
        </is>
      </c>
      <c r="Q34" t="inlineStr">
        <is>
          <t>6. Solid Dosage Forms</t>
        </is>
      </c>
      <c r="R34" t="inlineStr">
        <is>
          <t>CASE_PRD_M83_DM_C01_Q2</t>
        </is>
      </c>
    </row>
    <row r="35">
      <c r="A35" t="n">
        <v>33</v>
      </c>
      <c r="B35" t="inlineStr">
        <is>
          <t>ข้อใดคือแนวทางแก้ปัญหาที่มักพบในการผลิตยาฉีด insulin injection แล้วเกิดฟองและการรวมกลุ่ม (Aggregation) ของโปรตีน</t>
        </is>
      </c>
      <c r="D35" t="inlineStr">
        <is>
          <t>ลดอุณหภูมิระหว่างการผลิตให้ต่ำกว่า 0 °C</t>
        </is>
      </c>
      <c r="E35" t="inlineStr">
        <is>
          <t>เพิ่มสารลดแรงตึงผิวชนิด non-ionic เช่น polysorbate 20</t>
        </is>
      </c>
      <c r="F35" t="inlineStr">
        <is>
          <t>เติม zinc รูป zinc chloride เพิ่มขึ้น</t>
        </is>
      </c>
      <c r="G35" t="inlineStr">
        <is>
          <t>ใช้ nitrogen purging ไล่ออกซิเจน</t>
        </is>
      </c>
      <c r="H35" t="inlineStr">
        <is>
          <t>เปลี่ยนสูตรตำรับเป็น acetate buffer แทน phosphate buffer</t>
        </is>
      </c>
      <c r="I35" t="n">
        <v>2</v>
      </c>
      <c r="J35" t="inlineStr">
        <is>
          <t>✅ คำตอบที่ถูกต้อง: ข้อ ข. เพิ่มสารลดแรงตึงผิวชนิด non-ionic เช่น polysorbate 20
💡 Background: หลักการบริบาลทางเภสัชกรรมและการควบคุมคุณภาพในหมวด 6. Solid Dosage Forms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(ลดอุณหภูมิระหว่างการผลิตให้ต่ำกว่า 0 °C): ตัวเลือก ลดอุณหภูมิระหว่างการผลิตให้ต่ำกว่า 0 °C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(เติม zinc รูป zinc chloride เพิ่มขึ้น): ตัวเลือก เติม zinc รูป zinc chloride เพิ่มขึ้น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(ใช้ nitrogen purging ไล่ออกซิเจน): ตัวเลือก ใช้ nitrogen purging ไล่ออกซิเจน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(เปลี่ยนสูตรตำรับเป็น acetate buffer แทน phosphate ): ตัวเลือก เปลี่ยนสูตรตำรับเป็น acetate buffer แทน phosphate buffer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35" t="inlineStr">
        <is>
          <t>Parenterals &amp; Ophthalmic</t>
        </is>
      </c>
      <c r="M35" t="inlineStr">
        <is>
          <t>Product</t>
        </is>
      </c>
      <c r="N35" t="inlineStr">
        <is>
          <t>[TEST] Quick Ingestion</t>
        </is>
      </c>
      <c r="O35" t="inlineStr">
        <is>
          <t>Mock</t>
        </is>
      </c>
      <c r="P35" t="inlineStr">
        <is>
          <t>Mock RxCU83 ครั้งที่ 1</t>
        </is>
      </c>
      <c r="Q35" t="inlineStr">
        <is>
          <t>6. Solid Dosage Forms</t>
        </is>
      </c>
      <c r="R35" t="inlineStr">
        <is>
          <t>CASE_PRD_M83_DM_C01_Q3</t>
        </is>
      </c>
    </row>
    <row r="36">
      <c r="A36" t="n">
        <v>34</v>
      </c>
      <c r="B36" t="inlineStr">
        <is>
          <t>Certificate of Analysis (COA) ของยาชีววัตถุคล้ายคลึง Insulin biosimilar glargine หัวข้อการทดสอบใด ไม่จำเป็นต้องมี ในข้อกำหนดมาตรฐาน</t>
        </is>
      </c>
      <c r="D36" t="inlineStr">
        <is>
          <t>Assay</t>
        </is>
      </c>
      <c r="E36" t="inlineStr">
        <is>
          <t>Identification</t>
        </is>
      </c>
      <c r="F36" t="inlineStr">
        <is>
          <t>Bacterial endotoxin</t>
        </is>
      </c>
      <c r="G36" t="inlineStr">
        <is>
          <t>Impurity / Related substances</t>
        </is>
      </c>
      <c r="H36" t="inlineStr">
        <is>
          <t>Dissolution</t>
        </is>
      </c>
      <c r="I36" t="n">
        <v>5</v>
      </c>
      <c r="J36" t="inlineStr">
        <is>
          <t>✅ คำตอบที่ถูกต้อง: ข้อ จ. Dissolution
💡 Background: หลักการบริบาลทางเภสัชกรรมและการควบคุมคุณภาพในหมวด 1. Titrations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(Assay): ตัวเลือก Assay ไม่ใช่คำตอบที่ถูกต้อง เนื่องจากมีกลไกทางเภสัชวิทยา ข้อบ่งใช้ หรือคุณสมบัติทางเภสัชเคมีที่ไม่ตรงกับเงื่อนไขที่โจทย์กำหนด
- ข้อ ข. (Identification): ตัวเลือก Identification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(Bacterial endotoxin): ตัวเลือก Bacterial endotoxin ไม่ใช่คำตอบที่ถูกต้อง เนื่องจากมีกลไกทางเภสัชวิทยา ข้อบ่งใช้ หรือคุณสมบัติทางเภสัชเคมีที่ไม่ตรงกับเงื่อนไขที่โจทย์กำหนด
- ข้อ ง. (Impurity / Related substances): ตัวเลือก Impurity / Related substances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36" t="inlineStr">
        <is>
          <t>Biosimilars &amp; Quality Control</t>
        </is>
      </c>
      <c r="M36" t="inlineStr">
        <is>
          <t>Product</t>
        </is>
      </c>
      <c r="N36" t="inlineStr">
        <is>
          <t>[TEST] Quick Ingestion</t>
        </is>
      </c>
      <c r="O36" t="inlineStr">
        <is>
          <t>Mock</t>
        </is>
      </c>
      <c r="P36" t="inlineStr">
        <is>
          <t>Mock RxCU83 ครั้งที่ 1</t>
        </is>
      </c>
      <c r="Q36" t="inlineStr">
        <is>
          <t>1. Titrations</t>
        </is>
      </c>
      <c r="R36" t="inlineStr">
        <is>
          <t>CASE_PRD_M83_DM_C01_Q4</t>
        </is>
      </c>
    </row>
    <row r="37">
      <c r="A37" t="n">
        <v>35</v>
      </c>
      <c r="B37" t="inlineStr">
        <is>
          <t>ความท้าทายสำคัญในการควบคุมคุณภาพยาชีววัตถุ (Biologics) เมื่อเปรียบเทียบกับยาเคมีสังเคราะห์โมเลกุลขนาดเล็ก (Small molecules) คือข้อใด</t>
        </is>
      </c>
      <c r="D37" t="inlineStr">
        <is>
          <t>Biologics มีโครงสร้างซับซ้อน ไวต่อสภาพแวดล้อม เช่น pH และความร้อนสูง และมีความไม่เป็นเนื้อเดียวกันระดับโมเลกุล</t>
        </is>
      </c>
      <c r="E37" t="inlineStr">
        <is>
          <t>Biologics มีสูตรเคมีที่ง่ายต่อการสังเคราะห์มากกว่า</t>
        </is>
      </c>
      <c r="F37" t="inlineStr">
        <is>
          <t>Small molecules ต้องเก็บรักษาในตู้เย็นทุกชนิด</t>
        </is>
      </c>
      <c r="G37" t="inlineStr">
        <is>
          <t>Small molecules มีผลข้างเคียงมากกว่าเสมอ</t>
        </is>
      </c>
      <c r="H37" t="inlineStr">
        <is>
          <t>Biologics ละลายในน้ำได้ง่ายกว่าทุกสภาวะ</t>
        </is>
      </c>
      <c r="I37" t="n">
        <v>1</v>
      </c>
      <c r="J37" t="inlineStr">
        <is>
          <t>✅ คำตอบที่ถูกต้อง: ข้อ ก. Biologics มีโครงสร้างซับซ้อน ไวต่อสภาพแวดล้อม เช่น pH และความร้อนสูง และมีความไม่เป็นเนื้อเดียวกันระดับโมเลกุล
💡 Background: หลักการบริบาลทางเภสัชกรรมและการควบคุมคุณภาพในหมวด 1. Titrations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(Biologics มีสูตรเคมีที่ง่ายต่อการสังเคราะห์มากกว่า): ตัวเลือก Biologics มีสูตรเคมีที่ง่ายต่อการสังเคราะห์มากกว่า ไม่ใช่คำตอบที่ถูกต้อง เนื่องจากมีกลไกทางเภสัชวิทยา ข้อบ่งใช้ หรือคุณสมบัติทางเภสัชเคมีที่ไม่ตรงกับเงื่อนไขที่โจทย์กำหนด
- ข้อ ค. (Small molecules ต้องเก็บรักษาในตู้เย็นทุกชนิด): ตัวเลือก Small molecules ต้องเก็บรักษาในตู้เย็นทุกชนิด ไม่ใช่คำตอบที่ถูกต้อง เนื่องจากมีกลไกทางเภสัชวิทยา ข้อบ่งใช้ หรือคุณสมบัติทางเภสัชเคมีที่ไม่ตรงกับเงื่อนไขที่โจทย์กำหนด
- ข้อ ง. (Small molecules มีผลข้างเคียงมากกว่าเสมอ): ตัวเลือก Small molecules มีผลข้างเคียงมากกว่าเสมอ ไม่ใช่คำตอบที่ถูกต้อง เนื่องจากมีกลไกทางเภสัชวิทยา ข้อบ่งใช้ หรือคุณสมบัติทางเภสัชเคมีที่ไม่ตรงกับเงื่อนไขที่โจทย์กำหนด
- ข้อ จ. (Biologics ละลายในน้ำได้ง่ายกว่าทุกสภาวะ): ตัวเลือก Biologics ละลายในน้ำได้ง่ายกว่าทุกสภาวะ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37" t="inlineStr">
        <is>
          <t>Biosimilars &amp; Quality Control</t>
        </is>
      </c>
      <c r="M37" t="inlineStr">
        <is>
          <t>Product</t>
        </is>
      </c>
      <c r="N37" t="inlineStr">
        <is>
          <t>[TEST] Quick Ingestion</t>
        </is>
      </c>
      <c r="O37" t="inlineStr">
        <is>
          <t>Mock</t>
        </is>
      </c>
      <c r="P37" t="inlineStr">
        <is>
          <t>Mock RxCU83 ครั้งที่ 1</t>
        </is>
      </c>
      <c r="Q37" t="inlineStr">
        <is>
          <t>1. Titrations</t>
        </is>
      </c>
      <c r="R37" t="inlineStr">
        <is>
          <t>CASE_PRD_M83_DM_C01_Q5</t>
        </is>
      </c>
    </row>
    <row r="38">
      <c r="A38" t="n">
        <v>36</v>
      </c>
      <c r="B38" t="inlineStr">
        <is>
          <t>การผลิต insulin ในระดับอุตสาหกรรมในปัจจุบัน ข้อใดมีความเป็นไปได้และเป็นกระบวนการหลักที่ใช้จริงมากที่สุด</t>
        </is>
      </c>
      <c r="D38" t="inlineStr">
        <is>
          <t>สกัดโดยตรงจากตับอ่อนสุกรแล้วนำมาสังเคราะห์ต่อ</t>
        </is>
      </c>
      <c r="E38" t="inlineStr">
        <is>
          <t>ใช้ E. coli หรือ Saccharomyces cerevisiae สังเคราะห์ recombinant preproinsulin/proinsulin แล้วตัดสายด้วยเอนไซม์</t>
        </is>
      </c>
      <c r="F38" t="inlineStr">
        <is>
          <t>สังเคราะห์ด้วยเทคนิค Solid Phase Peptide Synthesis (SPPS) ใน bioreactor</t>
        </is>
      </c>
      <c r="G38" t="inlineStr">
        <is>
          <t>ใช้ hybridoma technology ผลิตออกมาเป็น monoclonal antibody</t>
        </is>
      </c>
      <c r="H38" t="inlineStr">
        <is>
          <t>เพาะเลี้ยง stem cell ของ human beta cell แล้วสกัด insulin ออกมา</t>
        </is>
      </c>
      <c r="I38" t="n">
        <v>2</v>
      </c>
      <c r="J38" t="inlineStr">
        <is>
          <t>✅ คำตอบที่ถูกต้อง: ข้อ ข. ใช้ E. coli หรือ Saccharomyces cerevisiae สังเคราะห์ recombinant preproinsulin/proinsulin แล้วตัดสายด้วยเอนไซม์
💡 Background: หลักการบริบาลทางเภสัชกรรมและการควบคุมคุณภาพในหมวด 10. Biotech Products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(สกัดโดยตรงจากตับอ่อนสุกรแล้วนำมาสังเคราะห์ต่อ): ตัวเลือก สกัดโดยตรงจากตับอ่อนสุกรแล้วนำมาสังเคราะห์ต่อ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(สังเคราะห์ด้วยเทคนิค Solid Phase Peptide Synthesis): ตัวเลือก สังเคราะห์ด้วยเทคนิค Solid Phase Peptide Synthesis (SPPS) ใน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(ใช้ hybridoma technology ผลิตออกมาเป็น monoclonal ): ตัวเลือก ใช้ hybridoma technology ผลิตออกมาเป็น monoclonal antibody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(เพาะเลี้ยง stem cell ของ human beta cell แล้วสกัด ): ตัวเลือก เพาะเลี้ยง stem cell ของ human beta cell แล้วสกัด insulin ออ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10. Biotech Products อย่างแม่นยำก่อนสอบ</t>
        </is>
      </c>
      <c r="L38" t="inlineStr">
        <is>
          <t>Recombinant DNA</t>
        </is>
      </c>
      <c r="M38" t="inlineStr">
        <is>
          <t>Product</t>
        </is>
      </c>
      <c r="N38" t="inlineStr">
        <is>
          <t>[TEST] Quick Ingestion</t>
        </is>
      </c>
      <c r="O38" t="inlineStr">
        <is>
          <t>Mock</t>
        </is>
      </c>
      <c r="P38" t="inlineStr">
        <is>
          <t>Mock RxCU83 ครั้งที่ 1</t>
        </is>
      </c>
      <c r="Q38" t="inlineStr">
        <is>
          <t>10. Biotech Products</t>
        </is>
      </c>
      <c r="R38" t="inlineStr">
        <is>
          <t>CASE_PRD_M83_DM_C01_Q6</t>
        </is>
      </c>
    </row>
    <row r="39">
      <c r="A39" t="n">
        <v>37</v>
      </c>
      <c r="B39" t="inlineStr">
        <is>
          <t>Regular Insulin มีความเสี่ยงต่อการสูญเสียความคงตัวผ่านกระบวนการ Deamidation ในระหว่างการเก็บรักษา ปัจจัยหลักที่กระตุ้นให้เกิดปฏิกิริยาดังกล่าวคือข้อใด</t>
        </is>
      </c>
      <c r="D39" t="inlineStr">
        <is>
          <t>อุณหภูมิต่ำกว่าจุดเยือกแข็ง (freezing)</t>
        </is>
      </c>
      <c r="E39" t="inlineStr">
        <is>
          <t>สภาวะ pH กรดอ่อน หรือ ด่าง และอุณหภูมิที่สูงขึ้น</t>
        </is>
      </c>
      <c r="F39" t="inlineStr">
        <is>
          <t>การสัมผัสแสงแดดจ้า</t>
        </is>
      </c>
      <c r="G39" t="inlineStr">
        <is>
          <t>การเขย่าขวดอย่างแรง</t>
        </is>
      </c>
      <c r="H39" t="inlineStr">
        <is>
          <t>การดูดซับกับผนังหลอดฉีด</t>
        </is>
      </c>
      <c r="I39" t="n">
        <v>2</v>
      </c>
      <c r="J39" t="inlineStr">
        <is>
          <t>✅ คำตอบที่ถูกต้อง: ข้อ ข. สภาวะ pH กรดอ่อน หรือ ด่าง และอุณหภูมิที่สูงขึ้น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(อุณหภูมิต่ำกว่าจุดเยือกแข็ง (freezing)): ตัวเลือก อุณหภูมิต่ำกว่าจุดเยือกแข็ง (freezing)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(การสัมผัสแสงแดดจ้า): ตัวเลือก การสัมผัสแสงแดดจ้า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(การเขย่าขวดอย่างแรง): ตัวเลือก การเขย่าขวดอย่างแรง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(การดูดซับกับผนังหลอดฉีด): ตัวเลือก การดูดซับกับผนังหลอดฉีด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39" t="inlineStr">
        <is>
          <t>Stability testing</t>
        </is>
      </c>
      <c r="M39" t="inlineStr">
        <is>
          <t>Product</t>
        </is>
      </c>
      <c r="N39" t="inlineStr">
        <is>
          <t>[TEST] Quick Ingestion</t>
        </is>
      </c>
      <c r="O39" t="inlineStr">
        <is>
          <t>Mock</t>
        </is>
      </c>
      <c r="P39" t="inlineStr">
        <is>
          <t>Mock RxCU83 ครั้งที่ 1</t>
        </is>
      </c>
      <c r="Q39" t="inlineStr">
        <is>
          <t>1. Titrations</t>
        </is>
      </c>
      <c r="R39" t="inlineStr">
        <is>
          <t>CASE_PRD_M83_DM_C01_Q7</t>
        </is>
      </c>
    </row>
    <row r="40">
      <c r="A40" t="n">
        <v>38</v>
      </c>
      <c r="B40" t="inlineStr">
        <is>
          <t>ถ้ายา Pioglitazone ได้รับอนุมัติให้วางจำหน่ายในไทย หากต้องการติดตามอาการไม่พึงประสงค์จากการใช้ยาหลังออกสู่ตลาด (Post-marketing surveillance / Pharmacovigilance) รูปแบบการวิจัยเชิงสังเกตใดเหมาะสมที่สุด</t>
        </is>
      </c>
      <c r="D40" t="inlineStr">
        <is>
          <t>Ecological study</t>
        </is>
      </c>
      <c r="E40" t="inlineStr">
        <is>
          <t>Cross-sectional study</t>
        </is>
      </c>
      <c r="F40" t="inlineStr">
        <is>
          <t>Cohort study (เช่น Prospective/Registry-based cohort)</t>
        </is>
      </c>
      <c r="G40" t="inlineStr">
        <is>
          <t>Randomized controlled trial (RCT)</t>
        </is>
      </c>
      <c r="H40" t="inlineStr">
        <is>
          <t>Systematic review and meta-analysis</t>
        </is>
      </c>
      <c r="I40" t="n">
        <v>3</v>
      </c>
      <c r="J40" t="inlineStr">
        <is>
          <t>✅ คำตอบที่ถูกต้อง: ข้อ ค. Cohort study (เช่น Prospective/Registry-based cohort)
💡 Background: หลักการบริบาลทางเภสัชกรรมและการควบคุมคุณภาพในหมวด 2. Pharmacy Administration &amp; Sy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(Ecological study): ตัวเลือก Ecological study ไม่ใช่คำตอบที่ถูกต้อง เนื่องจากมีกลไกทางเภสัชวิทยา ข้อบ่งใช้ หรือคุณสมบัติทางเภสัชเคมีที่ไม่ตรงกับเงื่อนไขที่โจทย์กำหนด
- ข้อ ข. (Cross-sectional study): ตัวเลือก Cross-sectional study ไม่ใช่คำตอบที่ถูกต้อง เนื่องจากมีกลไกทางเภสัชวิทยา ข้อบ่งใช้ หรือคุณสมบัติทางเภสัชเคมีที่ไม่ตรงกับเงื่อนไขที่โจทย์กำหนด
- ข้อ ง. (Randomized controlled trial (RCT)): ตัวเลือก Randomized controlled trial (RCT) ไม่ใช่คำตอบที่ถูกต้อง เนื่องจากมีกลไกทางเภสัชวิทยา ข้อบ่งใช้ หรือคุณสมบัติทางเภสัชเคมีที่ไม่ตรงกับเงื่อนไขที่โจทย์กำหนด
- ข้อ จ. (Systematic review and meta-analysis): ตัวเลือก Systematic review and meta-analysis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L40" t="inlineStr">
        <is>
          <t>Research &amp; Biostats</t>
        </is>
      </c>
      <c r="M40" t="inlineStr">
        <is>
          <t>SAP</t>
        </is>
      </c>
      <c r="N40" t="inlineStr">
        <is>
          <t>[TEST] Quick Ingestion</t>
        </is>
      </c>
      <c r="O40" t="inlineStr">
        <is>
          <t>Mock</t>
        </is>
      </c>
      <c r="P40" t="inlineStr">
        <is>
          <t>Mock RxCU83 ครั้งที่ 1</t>
        </is>
      </c>
      <c r="Q40" t="inlineStr">
        <is>
          <t>2. Pharmacy Administration &amp; Sy</t>
        </is>
      </c>
      <c r="R40" t="inlineStr">
        <is>
          <t>CASE_SAP_M83_DM_C01_Q1</t>
        </is>
      </c>
    </row>
    <row r="41">
      <c r="A41" t="n">
        <v>39</v>
      </c>
      <c r="B41" t="inlineStr">
        <is>
          <t>พืชผักพื้นบ้านในข้อใดมีหลักฐานทางวิชาการชัดเจนว่ามีผลช่วยลดระดับน้ำตาลในเลือด</t>
        </is>
      </c>
      <c r="D41" t="inlineStr">
        <is>
          <t>ยอดฟักแม้ว</t>
        </is>
      </c>
      <c r="E41" t="inlineStr">
        <is>
          <t>ใบกะหล่ำปลี</t>
        </is>
      </c>
      <c r="F41" t="inlineStr">
        <is>
          <t>ผลบวบงู</t>
        </is>
      </c>
      <c r="G41" t="inlineStr">
        <is>
          <t>ผลมะระขี้นก</t>
        </is>
      </c>
      <c r="H41" t="inlineStr">
        <is>
          <t>ช่อดอกบรอกโคลี</t>
        </is>
      </c>
      <c r="I41" t="n">
        <v>4</v>
      </c>
      <c r="J41" t="inlineStr">
        <is>
          <t>✅ คำตอบที่ถูกต้อง: ข้อ ง. ผลมะระขี้นก
💡 Background: หลักการบริบาลทางเภสัชกรรมและการควบคุมคุณภาพในหมวด 11. Herbal Products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(ยอดฟักแม้ว): ตัวเลือก ยอดฟักแม้ว ไม่ใช่คำตอบที่ถูกต้อง เนื่องจากมีกลไกทางเภสัชวิทยา ข้อบ่งใช้ หรือคุณสมบัติทางเภสัชเคมีที่ไม่ตรงกับเงื่อนไขที่โจทย์กำหนด
- ข้อ ข. (ใบกะหล่ำปลี): ตัวเลือก ใบกะหล่ำปลี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(ผลบวบงู): ตัวเลือก ผลบวบงู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(ช่อดอกบรอกโคลี): ตัวเลือก ช่อดอกบรอกโคลี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11. Herbal Products อย่างแม่นยำก่อนสอบ</t>
        </is>
      </c>
      <c r="L41" t="inlineStr">
        <is>
          <t>Herbal Medicine</t>
        </is>
      </c>
      <c r="M41" t="inlineStr">
        <is>
          <t>Clinic</t>
        </is>
      </c>
      <c r="N41" t="inlineStr">
        <is>
          <t>[TEST] Quick Ingestion</t>
        </is>
      </c>
      <c r="O41" t="inlineStr">
        <is>
          <t>Mock</t>
        </is>
      </c>
      <c r="P41" t="inlineStr">
        <is>
          <t>Mock RxCU83 ครั้งที่ 1</t>
        </is>
      </c>
      <c r="Q41" t="inlineStr">
        <is>
          <t>11. Herbal Products</t>
        </is>
      </c>
      <c r="R41" t="inlineStr">
        <is>
          <t>CASE_CLN_M83_DM_C02_Q1</t>
        </is>
      </c>
    </row>
    <row r="42">
      <c r="A42" t="n">
        <v>40</v>
      </c>
      <c r="B42" t="inlineStr">
        <is>
          <t>ยาพัฒนาจากสมุนไพรที่มีฤทธิ์ขับปัสสาวะในข้อใด ที่มีโอกาสเกิดปฏิกิริยาเสริมฤทธิ์ (Synergistic effect) กับยาลดระดับน้ำตาลในเลือดหรืออินซูลิน จนอาจทำให้ระดับน้ำตาลต่ำ</t>
        </is>
      </c>
      <c r="D42" t="inlineStr">
        <is>
          <t>ยาหญ้าหนวดแมว</t>
        </is>
      </c>
      <c r="E42" t="inlineStr">
        <is>
          <t>ยากระเจี๊ยบแดง</t>
        </is>
      </c>
      <c r="F42" t="inlineStr">
        <is>
          <t>ยารางจืด</t>
        </is>
      </c>
      <c r="G42" t="inlineStr">
        <is>
          <t>ยาหญ้าปักกิ่ง</t>
        </is>
      </c>
      <c r="H42" t="inlineStr">
        <is>
          <t>ยาหญ้าดอกขาว</t>
        </is>
      </c>
      <c r="I42" t="n">
        <v>1</v>
      </c>
      <c r="J42" t="inlineStr">
        <is>
          <t>✅ คำตอบที่ถูกต้อง: ข้อ ก. ยาหญ้าหนวดแมว
💡 Background: หลักการบริบาลทางเภสัชกรรมและการควบคุมคุณภาพในหมวด 11. Herbal Products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(ยากระเจี๊ยบแดง): ตัวเลือก ยากระเจี๊ยบแดง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(ยารางจืด): ตัวเลือก ยารางจืด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(ยาหญ้าปักกิ่ง): ตัวเลือก ยาหญ้าปักกิ่ง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(ยาหญ้าดอกขาว): ตัวเลือก ยาหญ้าดอกขาว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11. Herbal Products อย่างแม่นยำก่อนสอบ</t>
        </is>
      </c>
      <c r="L42" t="inlineStr">
        <is>
          <t>Herbal Medicine</t>
        </is>
      </c>
      <c r="M42" t="inlineStr">
        <is>
          <t>Clinic</t>
        </is>
      </c>
      <c r="N42" t="inlineStr">
        <is>
          <t>[TEST] Quick Ingestion</t>
        </is>
      </c>
      <c r="O42" t="inlineStr">
        <is>
          <t>Mock</t>
        </is>
      </c>
      <c r="P42" t="inlineStr">
        <is>
          <t>Mock RxCU83 ครั้งที่ 1</t>
        </is>
      </c>
      <c r="Q42" t="inlineStr">
        <is>
          <t>11. Herbal Products</t>
        </is>
      </c>
      <c r="R42" t="inlineStr">
        <is>
          <t>CASE_CLN_M83_DM_C02_Q2</t>
        </is>
      </c>
    </row>
    <row r="43">
      <c r="A43" t="n">
        <v>41</v>
      </c>
      <c r="B43" t="inlineStr">
        <is>
          <t>ผู้ป่วยชายอายุ 26 ปี มีอาการคัดจมูก จาม น้ำมูกไหล มีอาการคันจมูกคันตาเป็นบางครั้ง ไม่มีไข้ หายใจไม่มีเสียงวี้ด หายใจไม่หอบเหนื่อย มีอาการสัปดาห์ละ 4-5 ครั้ง ติดต่อกันมานานหลายเดือน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D43" t="inlineStr">
        <is>
          <t>Allergic rhinitis - mild intermittent</t>
        </is>
      </c>
      <c r="E43" t="inlineStr">
        <is>
          <t>Allergic rhinitis - mod-severe intermittent</t>
        </is>
      </c>
      <c r="F43" t="inlineStr">
        <is>
          <t>Allergic rhinitis - mod-severe persistent</t>
        </is>
      </c>
      <c r="G43" t="inlineStr">
        <is>
          <t>Allergic Asthma - mild persistent</t>
        </is>
      </c>
      <c r="H43" t="inlineStr">
        <is>
          <t>Allergic asthma - mod-severe intermittent</t>
        </is>
      </c>
      <c r="I43" t="n">
        <v>3</v>
      </c>
      <c r="J43" t="inlineStr">
        <is>
          <t>✅ คำตอบที่ถูกต้อง: ข้อ ค. Allergic rhinitis - mod-severe persistent
💡 Background: หลักการบริบาลทางเภสัชกรรมและการควบคุมคุณภาพในหมวด 7. Immunologic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(Allergic rhinitis - mild intermittent): ตัวเลือก Allergic rhinitis - mild intermittent ไม่ใช่คำตอบที่ถูกต้อง เนื่องจากมีกลไกทางเภสัชวิทยา ข้อบ่งใช้ หรือคุณสมบัติทางเภสัชเคมีที่ไม่ตรงกับเงื่อนไขที่โจทย์กำหนด
- ข้อ ข. (Allergic rhinitis - mod-severe intermittent): ตัวเลือก Allergic rhinitis - mod-severe intermittent ไม่ใช่คำตอบที่ถูกต้อง เนื่องจากมีกลไกทางเภสัชวิทยา ข้อบ่งใช้ หรือคุณสมบัติทางเภสัชเคมีที่ไม่ตรงกับเงื่อนไขที่โจทย์กำหนด
- ข้อ ง. (Allergic Asthma - mild persistent): ตัวเลือก Allergic Asthma - mild persistent ไม่ใช่คำตอบที่ถูกต้อง เนื่องจากมีกลไกทางเภสัชวิทยา ข้อบ่งใช้ หรือคุณสมบัติทางเภสัชเคมีที่ไม่ตรงกับเงื่อนไขที่โจทย์กำหนด
- ข้อ จ. (Allergic asthma - mod-severe intermittent): ตัวเลือก Allergic asthma - mod-severe intermittent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7. Immunologic อย่างแม่นยำก่อนสอบ</t>
        </is>
      </c>
      <c r="L43" t="inlineStr">
        <is>
          <t>Allergic rhinitis</t>
        </is>
      </c>
      <c r="M43" t="inlineStr">
        <is>
          <t>Clinic</t>
        </is>
      </c>
      <c r="N43" t="inlineStr">
        <is>
          <t>[TEST] Quick Ingestion</t>
        </is>
      </c>
      <c r="O43" t="inlineStr">
        <is>
          <t>Mock</t>
        </is>
      </c>
      <c r="P43" t="inlineStr">
        <is>
          <t>Mock RxCU83 ครั้งที่ 1</t>
        </is>
      </c>
      <c r="Q43" t="inlineStr">
        <is>
          <t>7. Immunologic</t>
        </is>
      </c>
      <c r="R43" t="inlineStr">
        <is>
          <t>CASE_CLN_M83_AR_C01_Q1</t>
        </is>
      </c>
    </row>
    <row r="44">
      <c r="A44" t="n">
        <v>42</v>
      </c>
      <c r="B44" t="inlineStr">
        <is>
          <t>ควรให้ยาอะไรตามการรักษาอาการภูมิแพ้กำเริบในประเทศไทย พ.ศ. 2565</t>
        </is>
      </c>
      <c r="D44" t="inlineStr">
        <is>
          <t>CPM 4 mg ตามเดิม</t>
        </is>
      </c>
      <c r="E44" t="inlineStr">
        <is>
          <t>หยุด CPM และใช้ Fexofenadine 180 mg 1 เม็ดก่อน เมื่อมีอาการ</t>
        </is>
      </c>
      <c r="F44" t="inlineStr">
        <is>
          <t>Fexo 180 mg 1 เม็ดก่อนนอน ต่อเนื่อง 2 สัปดาห์</t>
        </is>
      </c>
      <c r="G44" t="inlineStr">
        <is>
          <t>Montelukast 10 mg วันละ 1 เม็ด ประเมินอีกครั้ง 2 สัปดาห์</t>
        </is>
      </c>
      <c r="H44" t="inlineStr">
        <is>
          <t>Mometasone พ่นจมูกเช้า-เย็น ประเมินอีกครั้ง 2 สัปดาห์</t>
        </is>
      </c>
      <c r="I44" t="n">
        <v>5</v>
      </c>
      <c r="J44" t="inlineStr">
        <is>
          <t>✅ คำตอบที่ถูกต้อง: ข้อ จ. Mometasone พ่นจมูกเช้า-เย็น ประเมินอีกครั้ง 2 สัปดาห์
💡 Background: หลักการบริบาลทางเภสัชกรรมและการควบคุมคุณภาพในหมวด 7. Immunologic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(CPM 4 mg ตามเดิม): ตัวเลือก CPM 4 mg ตามเดิม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(หยุด CPM และใช้ Fexofenadine 180 mg 1 เม็ดก่อน เมื): ตัวเลือก หยุด CPM และใช้ Fexofenadine 180 mg 1 เม็ดก่อน เมื่อมีอาการ ไม่ใช่คำตอบที่ถูกต้อง เนื่องจากมีกลไกทางเภสัชวิทยา ข้อบ่งใช้ หรือคุณสมบัติทางเภสัชเคมีที่ไม่ตรงกับเงื่อนไขที่โจทย์กำหนด
- ข้อ ค. (Fexo 180 mg 1 เม็ดก่อนนอน ต่อเนื่อง 2 สัปดาห์): ตัวเลือก Fexo 180 mg 1 เม็ดก่อนนอน ต่อเนื่อง 2 สัปดาห์ ไม่ใช่คำตอบที่ถูกต้อง เนื่องจากมีกลไกทางเภสัชวิทยา ข้อบ่งใช้ หรือคุณสมบัติทางเภสัชเคมีที่ไม่ตรงกับเงื่อนไขที่โจทย์กำหนด
- ข้อ ง. (Montelukast 10 mg วันละ 1 เม็ด ประเมินอีกครั้ง 2 ส): ตัวเลือก Montelukast 10 mg วันละ 1 เม็ด ประเมินอีกครั้ง 2 สัปดาห์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7. Immunologic อย่างแม่นยำก่อนสอบ</t>
        </is>
      </c>
      <c r="L44" t="inlineStr">
        <is>
          <t>Allergic rhinitis</t>
        </is>
      </c>
      <c r="M44" t="inlineStr">
        <is>
          <t>Clinic</t>
        </is>
      </c>
      <c r="N44" t="inlineStr">
        <is>
          <t>[TEST] Quick Ingestion</t>
        </is>
      </c>
      <c r="O44" t="inlineStr">
        <is>
          <t>Mock</t>
        </is>
      </c>
      <c r="P44" t="inlineStr">
        <is>
          <t>Mock RxCU83 ครั้งที่ 1</t>
        </is>
      </c>
      <c r="Q44" t="inlineStr">
        <is>
          <t>7. Immunologic</t>
        </is>
      </c>
      <c r="R44" t="inlineStr">
        <is>
          <t>CASE_CLN_M83_AR_C01_Q2</t>
        </is>
      </c>
    </row>
    <row r="45">
      <c r="A45" t="n">
        <v>43</v>
      </c>
      <c r="B45" t="inlineStr">
        <is>
          <t>ผลข้างเคียงของการใช้ยา oxymetazoline ติดต่อกันหลายวัน</t>
        </is>
      </c>
      <c r="D45" t="inlineStr">
        <is>
          <t>Glaucoma</t>
        </is>
      </c>
      <c r="E45" t="inlineStr">
        <is>
          <t>Epistaxis</t>
        </is>
      </c>
      <c r="F45" t="inlineStr">
        <is>
          <t>Rebound congestion (Rhinitis medicamentosa)</t>
        </is>
      </c>
      <c r="G45" t="inlineStr">
        <is>
          <t>HPA axis suppression</t>
        </is>
      </c>
      <c r="H45" t="inlineStr">
        <is>
          <t>Nasal septal perforation</t>
        </is>
      </c>
      <c r="I45" t="n">
        <v>3</v>
      </c>
      <c r="J45" t="inlineStr">
        <is>
          <t>✅ คำตอบที่ถูกต้อง: ข้อ ค. Rebound congestion (Rhinitis medicamentosa)
💡 Background: หลักการบริบาลทางเภสัชกรรมและการควบคุมคุณภาพในหมวด 7. Immunologic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(Glaucoma): ตัวเลือก Glaucoma ไม่ใช่คำตอบที่ถูกต้อง เนื่องจากมีกลไกทางเภสัชวิทยา ข้อบ่งใช้ หรือคุณสมบัติทางเภสัชเคมีที่ไม่ตรงกับเงื่อนไขที่โจทย์กำหนด
- ข้อ ข. (Epistaxis): ตัวเลือก Epistaxis ไม่ใช่คำตอบที่ถูกต้อง เนื่องจากมีกลไกทางเภสัชวิทยา ข้อบ่งใช้ หรือคุณสมบัติทางเภสัชเคมีที่ไม่ตรงกับเงื่อนไขที่โจทย์กำหนด
- ข้อ ง. (HPA axis suppression): ตัวเลือก HPA axis suppression ไม่ใช่คำตอบที่ถูกต้อง เนื่องจากมีกลไกทางเภสัชวิทยา ข้อบ่งใช้ หรือคุณสมบัติทางเภสัชเคมีที่ไม่ตรงกับเงื่อนไขที่โจทย์กำหนด
- ข้อ จ. (Nasal septal perforation): ตัวเลือก Nasal septal perforation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7. Immunologic อย่างแม่นยำก่อนสอบ</t>
        </is>
      </c>
      <c r="L45" t="inlineStr">
        <is>
          <t>Allergic rhinitis</t>
        </is>
      </c>
      <c r="M45" t="inlineStr">
        <is>
          <t>Clinic</t>
        </is>
      </c>
      <c r="N45" t="inlineStr">
        <is>
          <t>[TEST] Quick Ingestion</t>
        </is>
      </c>
      <c r="O45" t="inlineStr">
        <is>
          <t>Mock</t>
        </is>
      </c>
      <c r="P45" t="inlineStr">
        <is>
          <t>Mock RxCU83 ครั้งที่ 1</t>
        </is>
      </c>
      <c r="Q45" t="inlineStr">
        <is>
          <t>7. Immunologic</t>
        </is>
      </c>
      <c r="R45" t="inlineStr">
        <is>
          <t>CASE_CLN_M83_AR_C01_Q3</t>
        </is>
      </c>
    </row>
    <row r="46">
      <c r="A46" t="n">
        <v>44</v>
      </c>
      <c r="B46" t="inlineStr">
        <is>
          <t>กลไกการออกฤทธิ์ของยาแก้คัดจมูก oxymetazoline</t>
        </is>
      </c>
      <c r="D46" t="inlineStr">
        <is>
          <t>Alpha1, Alpha2 agonist</t>
        </is>
      </c>
      <c r="E46" t="inlineStr">
        <is>
          <t>Beta1 agonist</t>
        </is>
      </c>
      <c r="F46" t="inlineStr">
        <is>
          <t>Muscarinic agonist</t>
        </is>
      </c>
      <c r="G46" t="inlineStr">
        <is>
          <t>Acetylcholinesterase inhibitor</t>
        </is>
      </c>
      <c r="H46" t="inlineStr">
        <is>
          <t>Neuromuscular blocker</t>
        </is>
      </c>
      <c r="I46" t="n">
        <v>1</v>
      </c>
      <c r="J46" t="inlineStr">
        <is>
          <t>✅ คำตอบที่ถูกต้อง: ข้อ ก. Alpha1, Alpha2 agonist
💡 Background: หลักการบริบาลทางเภสัชกรรมและการควบคุมคุณภาพในหมวด 7. Immunologic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(Beta1 agonist): ตัวเลือก Beta1 agonist ไม่ใช่คำตอบที่ถูกต้อง เนื่องจากมีกลไกทางเภสัชวิทยา ข้อบ่งใช้ หรือคุณสมบัติทางเภสัชเคมีที่ไม่ตรงกับเงื่อนไขที่โจทย์กำหนด
- ข้อ ค. (Muscarinic agonist): ตัวเลือก Muscarinic agonist ไม่ใช่คำตอบที่ถูกต้อง เนื่องจากมีกลไกทางเภสัชวิทยา ข้อบ่งใช้ หรือคุณสมบัติทางเภสัชเคมีที่ไม่ตรงกับเงื่อนไขที่โจทย์กำหนด
- ข้อ ง. (Acetylcholinesterase inhibitor): ตัวเลือก Acetylcholinesterase inhibitor ไม่ใช่คำตอบที่ถูกต้อง เนื่องจากมีกลไกทางเภสัชวิทยา ข้อบ่งใช้ หรือคุณสมบัติทางเภสัชเคมีที่ไม่ตรงกับเงื่อนไขที่โจทย์กำหนด
- ข้อ จ. (Neuromuscular blocker): ตัวเลือก Neuromuscular blocker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7. Immunologic อย่างแม่นยำก่อนสอบ</t>
        </is>
      </c>
      <c r="L46" t="inlineStr">
        <is>
          <t>Allergic rhinitis</t>
        </is>
      </c>
      <c r="M46" t="inlineStr">
        <is>
          <t>Clinic</t>
        </is>
      </c>
      <c r="N46" t="inlineStr">
        <is>
          <t>[TEST] Quick Ingestion</t>
        </is>
      </c>
      <c r="O46" t="inlineStr">
        <is>
          <t>Mock</t>
        </is>
      </c>
      <c r="P46" t="inlineStr">
        <is>
          <t>Mock RxCU83 ครั้งที่ 1</t>
        </is>
      </c>
      <c r="Q46" t="inlineStr">
        <is>
          <t>7. Immunologic</t>
        </is>
      </c>
      <c r="R46" t="inlineStr">
        <is>
          <t>CASE_CLN_M83_AR_C01_Q4</t>
        </is>
      </c>
    </row>
    <row r="47">
      <c r="A47" t="n">
        <v>45</v>
      </c>
      <c r="B47" t="inlineStr">
        <is>
          <t>CPM เป็น first gen antihistamine ห้ามใช้ในผู้ป่วยโรคใด</t>
        </is>
      </c>
      <c r="D47" t="inlineStr">
        <is>
          <t>กลั้นปัสสาวะไม่อยู่</t>
        </is>
      </c>
      <c r="E47" t="inlineStr">
        <is>
          <t>หอบหืด</t>
        </is>
      </c>
      <c r="F47" t="inlineStr">
        <is>
          <t>ต่อมลูกหมากโต (BPH)</t>
        </is>
      </c>
      <c r="G47" t="inlineStr">
        <is>
          <t>หัวใจเต้นผิดจังหวะ</t>
        </is>
      </c>
      <c r="H47" t="inlineStr">
        <is>
          <t>ใช้ยาปฏิชีวนะ (erythromycin, fluconazole)</t>
        </is>
      </c>
      <c r="I47" t="n">
        <v>3</v>
      </c>
      <c r="J47" t="inlineStr">
        <is>
          <t>✅ คำตอบที่ถูกต้อง: ข้อ ค. ต่อมลูกหมากโต (BPH)
💡 Background: หลักการบริบาลทางเภสัชกรรมและการควบคุมคุณภาพในหมวด 7. Immunologic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(กลั้นปัสสาวะไม่อยู่): ตัวเลือก กลั้นปัสสาวะไม่อยู่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(หอบหืด): ตัวเลือก หอบหืด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(หัวใจเต้นผิดจังหวะ): ตัวเลือก หัวใจเต้นผิดจังหวะ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(ใช้ยาปฏิชีวนะ (erythromycin, fluconazole)): ตัวเลือก ใช้ยาปฏิชีวนะ (erythromycin, fluconazole)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7. Immunologic อย่างแม่นยำก่อนสอบ</t>
        </is>
      </c>
      <c r="L47" t="inlineStr">
        <is>
          <t>Allergic rhinitis</t>
        </is>
      </c>
      <c r="M47" t="inlineStr">
        <is>
          <t>Clinic</t>
        </is>
      </c>
      <c r="N47" t="inlineStr">
        <is>
          <t>[TEST] Quick Ingestion</t>
        </is>
      </c>
      <c r="O47" t="inlineStr">
        <is>
          <t>Mock</t>
        </is>
      </c>
      <c r="P47" t="inlineStr">
        <is>
          <t>Mock RxCU83 ครั้งที่ 1</t>
        </is>
      </c>
      <c r="Q47" t="inlineStr">
        <is>
          <t>7. Immunologic</t>
        </is>
      </c>
      <c r="R47" t="inlineStr">
        <is>
          <t>CASE_CLN_M83_AR_C01_Q5</t>
        </is>
      </c>
    </row>
    <row r="48">
      <c r="A48" t="n">
        <v>46</v>
      </c>
      <c r="B48" t="inlineStr">
        <is>
          <t>ในการพัฒนาสูตรตำรับยาพ่นจมูกในรูปแบบสารละลาย (Non-pressurized Multiple Dose Nasal Spray Solution) ไม่จำเป็นต้องทำการทดสอบใด</t>
        </is>
      </c>
      <c r="D48" t="inlineStr">
        <is>
          <t>Uniformity of dosage unit / delivered dose uniformity</t>
        </is>
      </c>
      <c r="E48" t="inlineStr">
        <is>
          <t>Droplet size distribution</t>
        </is>
      </c>
      <c r="F48" t="inlineStr">
        <is>
          <t>Actuator deposition</t>
        </is>
      </c>
      <c r="G48" t="inlineStr">
        <is>
          <t>Shake requirement</t>
        </is>
      </c>
      <c r="H48" t="inlineStr">
        <is>
          <t>Plume geometry / spray pattern</t>
        </is>
      </c>
      <c r="I48" t="n">
        <v>4</v>
      </c>
      <c r="J48" t="inlineStr">
        <is>
          <t>✅ คำตอบที่ถูกต้อง: ข้อ ง. Shake requirement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(Uniformity of dosage unit / delivered dose uniform): ตัวเลือก Uniformity of dosage unit / delivered dose uniformity ไม่ใช่คำตอบที่ถูกต้อง เนื่องจากมีกลไกทางเภสัชวิทยา ข้อบ่งใช้ หรือคุณสมบัติทางเภสัชเคมีที่ไม่ตรงกับเงื่อนไขที่โจทย์กำหนด
- ข้อ ข. (Droplet size distribution): ตัวเลือก Droplet size distribution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(Actuator deposition): ตัวเลือก Actuator deposition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จ. (Plume geometry / spray pattern): ตัวเลือก Plume geometry / spray pattern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48" t="inlineStr">
        <is>
          <t>Liquid &amp; Semisolids</t>
        </is>
      </c>
      <c r="M48" t="inlineStr">
        <is>
          <t>Product</t>
        </is>
      </c>
      <c r="N48" t="inlineStr">
        <is>
          <t>[TEST] Quick Ingestion</t>
        </is>
      </c>
      <c r="O48" t="inlineStr">
        <is>
          <t>Mock</t>
        </is>
      </c>
      <c r="P48" t="inlineStr">
        <is>
          <t>Mock RxCU83 ครั้งที่ 1</t>
        </is>
      </c>
      <c r="Q48" t="inlineStr">
        <is>
          <t>6. Solid Dosage Forms</t>
        </is>
      </c>
      <c r="R48" t="inlineStr">
        <is>
          <t>CASE_PRD_M83_AR_C01_Q1</t>
        </is>
      </c>
    </row>
    <row r="49">
      <c r="A49" t="n">
        <v>47</v>
      </c>
      <c r="B49" t="inlineStr">
        <is>
          <t>ข้อใดไม่ใช่ปัจจัยที่นำมาพิจารณาการตั้งตำรับผลิตภัณฑ์ยาพ่นจมูกรูปแบบสารละลาย</t>
        </is>
      </c>
      <c r="D49" t="inlineStr">
        <is>
          <t>Particle size</t>
        </is>
      </c>
      <c r="E49" t="inlineStr">
        <is>
          <t>Solvent</t>
        </is>
      </c>
      <c r="F49" t="inlineStr">
        <is>
          <t>Viscosity</t>
        </is>
      </c>
      <c r="G49" t="inlineStr">
        <is>
          <t>Osmolarity</t>
        </is>
      </c>
      <c r="H49" t="inlineStr">
        <is>
          <t>pH</t>
        </is>
      </c>
      <c r="I49" t="n">
        <v>1</v>
      </c>
      <c r="J49" t="inlineStr">
        <is>
          <t>✅ คำตอบที่ถูกต้อง: ข้อ ก. Particle size
💡 Background: หลักการบริบาลทางเภสัชกรรมและการควบคุมคุณภาพในหมวด 6. Solid Dosage Forms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(Solvent): ตัวเลือก Solvent ไม่ใช่คำตอบที่ถูกต้อง เนื่องจากมีกลไกทางเภสัชวิทยา ข้อบ่งใช้ หรือคุณสมบัติทางเภสัชเคมีที่ไม่ตรงกับเงื่อนไขที่โจทย์กำหนด
- ข้อ ค. (Viscosity): ตัวเลือก Viscosity ไม่ใช่คำตอบที่ถูกต้อง เนื่องจากมีกลไกทางเภสัชวิทยา ข้อบ่งใช้ หรือคุณสมบัติทางเภสัชเคมีที่ไม่ตรงกับเงื่อนไขที่โจทย์กำหนด
- ข้อ ง. (Osmolarity): ตัวเลือก Osmolarity ไม่ใช่คำตอบที่ถูกต้อง เนื่องจากมีกลไกทางเภสัชวิทยา ข้อบ่งใช้ หรือคุณสมบัติทางเภสัชเคมีที่ไม่ตรงกับเงื่อนไขที่โจทย์กำหนด
- ข้อ จ. (pH): ตัวเลือก pH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49" t="inlineStr">
        <is>
          <t>Liquid &amp; Semisolids</t>
        </is>
      </c>
      <c r="M49" t="inlineStr">
        <is>
          <t>Product</t>
        </is>
      </c>
      <c r="N49" t="inlineStr">
        <is>
          <t>[TEST] Quick Ingestion</t>
        </is>
      </c>
      <c r="O49" t="inlineStr">
        <is>
          <t>Mock</t>
        </is>
      </c>
      <c r="P49" t="inlineStr">
        <is>
          <t>Mock RxCU83 ครั้งที่ 1</t>
        </is>
      </c>
      <c r="Q49" t="inlineStr">
        <is>
          <t>6. Solid Dosage Forms</t>
        </is>
      </c>
      <c r="R49" t="inlineStr">
        <is>
          <t>CASE_PRD_M83_AR_C01_Q2</t>
        </is>
      </c>
    </row>
    <row r="50">
      <c r="A50" t="n">
        <v>48</v>
      </c>
      <c r="B50" t="inlineStr">
        <is>
          <t>ข้อใดไม่จำเป็นต้องกำหนดในการควบคุมคุณภาพของผลิตภัณฑ์ยาพ่นจมูกรูปแบบสารละลาย</t>
        </is>
      </c>
      <c r="D50" t="inlineStr">
        <is>
          <t>Description</t>
        </is>
      </c>
      <c r="E50" t="inlineStr">
        <is>
          <t>Assay</t>
        </is>
      </c>
      <c r="F50" t="inlineStr">
        <is>
          <t>Moisture content</t>
        </is>
      </c>
      <c r="G50" t="inlineStr">
        <is>
          <t>Microbial limit</t>
        </is>
      </c>
      <c r="H50" t="inlineStr">
        <is>
          <t>Mean delivered dose</t>
        </is>
      </c>
      <c r="I50" t="n">
        <v>3</v>
      </c>
      <c r="J50" t="inlineStr">
        <is>
          <t>✅ คำตอบที่ถูกต้อง: ข้อ ค. Moisture content
💡 Background: หลักการบริบาลทางเภสัชกรรมและการควบคุมคุณภาพในหมวด 1. Titrations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(Description): ตัวเลือก Description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ข. (Assay): ตัวเลือก Assay ไม่ใช่คำตอบที่ถูกต้อง เนื่องจากมีกลไกทางเภสัชวิทยา ข้อบ่งใช้ หรือคุณสมบัติทางเภสัชเคมีที่ไม่ตรงกับเงื่อนไขที่โจทย์กำหนด
- ข้อ ง. (Microbial limit): ตัวเลือก Microbial limit ไม่ใช่คำตอบที่ถูกต้อง เนื่องจากมีกลไกทางเภสัชวิทยา ข้อบ่งใช้ หรือคุณสมบัติทางเภสัชเคมีที่ไม่ตรงกับเงื่อนไขที่โจทย์กำหนด
- ข้อ จ. (Mean delivered dose): ตัวเลือก Mean delivered dose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50" t="inlineStr">
        <is>
          <t>Liquid &amp; Semisolids</t>
        </is>
      </c>
      <c r="M50" t="inlineStr">
        <is>
          <t>Product</t>
        </is>
      </c>
      <c r="N50" t="inlineStr">
        <is>
          <t>[TEST] Quick Ingestion</t>
        </is>
      </c>
      <c r="O50" t="inlineStr">
        <is>
          <t>Mock</t>
        </is>
      </c>
      <c r="P50" t="inlineStr">
        <is>
          <t>Mock RxCU83 ครั้งที่ 1</t>
        </is>
      </c>
      <c r="Q50" t="inlineStr">
        <is>
          <t>1. Titrations</t>
        </is>
      </c>
      <c r="R50" t="inlineStr">
        <is>
          <t>CASE_PRD_M83_AR_C01_Q3</t>
        </is>
      </c>
    </row>
    <row r="51">
      <c r="A51" t="n">
        <v>49</v>
      </c>
      <c r="B51"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51" t="inlineStr">
        <is>
          <t>มีรูปโครงสร้างทางเคมี (A vs B)</t>
        </is>
      </c>
      <c r="D51" t="inlineStr">
        <is>
          <t>โครงสร้าง A</t>
        </is>
      </c>
      <c r="E51" t="inlineStr">
        <is>
          <t>โครงสร้าง B</t>
        </is>
      </c>
      <c r="F51" t="inlineStr">
        <is>
          <t>โครงสร้าง A และ B</t>
        </is>
      </c>
      <c r="G51" t="inlineStr">
        <is>
          <t>ไม่ใช่ทั้ง A และ B</t>
        </is>
      </c>
      <c r="H51" t="inlineStr">
        <is>
          <t>ตัดสินไม่ได้</t>
        </is>
      </c>
      <c r="I51" t="n">
        <v>1</v>
      </c>
      <c r="J51" t="inlineStr">
        <is>
          <t>✅ คำตอบที่ถูกต้อง: ข้อ ก. โครงสร้าง A
💡 Background: หลักการบริบาลทางเภสัชกรรมและการควบคุมคุณภาพในหมวด 13. Medicinal Chemistry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(โครงสร้าง B): ตัวเลือก โครงสร้าง B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(โครงสร้าง A และ B): ตัวเลือก โครงสร้าง A และ B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(ไม่ใช่ทั้ง A และ B): ตัวเลือก ไม่ใช่ทั้ง A และ B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(ตัดสินไม่ได้): ตัวเลือก ตัดสินไม่ได้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13. Medicinal Chemistry อย่างแม่นยำก่อนสอบ</t>
        </is>
      </c>
      <c r="K51" t="inlineStr">
        <is>
          <t>มีรูปโครงสร้างสาร A/B</t>
        </is>
      </c>
      <c r="L51" t="inlineStr">
        <is>
          <t>Medicinal Chemistry</t>
        </is>
      </c>
      <c r="M51" t="inlineStr">
        <is>
          <t>Product</t>
        </is>
      </c>
      <c r="N51" t="inlineStr">
        <is>
          <t>[TEST] Quick Ingestion</t>
        </is>
      </c>
      <c r="O51" t="inlineStr">
        <is>
          <t>Mock</t>
        </is>
      </c>
      <c r="P51" t="inlineStr">
        <is>
          <t>Mock RxCU83 ครั้งที่ 1</t>
        </is>
      </c>
      <c r="Q51" t="inlineStr">
        <is>
          <t>13. Medicinal Chemistry</t>
        </is>
      </c>
      <c r="R51" t="inlineStr">
        <is>
          <t>CASE_PRD_M83_AR_C01_Q4</t>
        </is>
      </c>
    </row>
    <row r="52">
      <c r="A52" t="n">
        <v>50</v>
      </c>
      <c r="B52" t="inlineStr">
        <is>
          <t>อาหาร หรือปัจจัยใดกระตุ้นให้เกิด allergic rhinitis / อาการคัดจมูกกำเริบได้</t>
        </is>
      </c>
      <c r="D52" t="inlineStr">
        <is>
          <t>เครื่องดื่มแอลกอฮอล์</t>
        </is>
      </c>
      <c r="E52" t="inlineStr">
        <is>
          <t>อาหารที่มีสารกันบูด sulfite เช่น ไวน์ อาหารแปรรูป</t>
        </is>
      </c>
      <c r="F52" t="inlineStr">
        <is>
          <t>อาหารที่มีรสจัด หรือเผ็ดที่กระตุ้นอาการคัดจมูก</t>
        </is>
      </c>
      <c r="G52" t="inlineStr">
        <is>
          <t>สูบบุหรี่และควันบุหรี่</t>
        </is>
      </c>
      <c r="H52" t="inlineStr">
        <is>
          <t>ถูกทุกข้อ</t>
        </is>
      </c>
      <c r="I52" t="n">
        <v>5</v>
      </c>
      <c r="J52" t="inlineStr">
        <is>
          <t>✅ คำตอบที่ถูกต้อง: ข้อ จ. ถูกทุกข้อ
💡 Background: หลักการบริบาลทางเภสัชกรรมและการควบคุมคุณภาพในหมวด 7. Immunologic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(เครื่องดื่มแอลกอฮอล์): ตัวเลือก เครื่องดื่มแอลกอฮอล์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(อาหารที่มีสารกันบูด sulfite เช่น ไวน์ อาหารแปรรูป): ตัวเลือก อาหารที่มีสารกันบูด sulfite เช่น ไวน์ อาหารแปรรูป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(อาหารที่มีรสจัด หรือเผ็ดที่กระตุ้นอาการคัดจมูก): ตัวเลือก อาหารที่มีรสจัด หรือเผ็ดที่กระตุ้นอาการคัดจมูก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(สูบบุหรี่และควันบุหรี่): ตัวเลือก สูบบุหรี่และควันบุหรี่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7. Immunologic อย่างแม่นยำก่อนสอบ</t>
        </is>
      </c>
      <c r="L52" t="inlineStr">
        <is>
          <t>Allergic rhinitis</t>
        </is>
      </c>
      <c r="M52" t="inlineStr">
        <is>
          <t>Clinic</t>
        </is>
      </c>
      <c r="N52" t="inlineStr">
        <is>
          <t>[TEST] Quick Ingestion</t>
        </is>
      </c>
      <c r="O52" t="inlineStr">
        <is>
          <t>Mock</t>
        </is>
      </c>
      <c r="P52" t="inlineStr">
        <is>
          <t>Mock RxCU83 ครั้งที่ 1</t>
        </is>
      </c>
      <c r="Q52" t="inlineStr">
        <is>
          <t>7. Immunologic</t>
        </is>
      </c>
      <c r="R52" t="inlineStr">
        <is>
          <t>CASE_CLN_M83_AR_C02_Q1</t>
        </is>
      </c>
    </row>
    <row r="53">
      <c r="A53" t="n">
        <v>51</v>
      </c>
      <c r="B53" t="inlineStr">
        <is>
          <t>Oxymetazoline เป็นยาในบัญชียาหลักแห่งชาติ บัญชี ข ข้อใดถูกต้องเกี่ยวกับข้อกำหนดการสั่งใช้</t>
        </is>
      </c>
      <c r="D53" t="inlineStr">
        <is>
          <t>ยานี้อยู่ภายใต้ระบบการควบคุมและติดตามการใช้ยาให้เหมาะสม (Authorized system)</t>
        </is>
      </c>
      <c r="E53" t="inlineStr">
        <is>
          <t>ยานี้เบิกจ่ายของผ่านกระทรวง ทบวง กรม หน่วยงานรัฐ</t>
        </is>
      </c>
      <c r="F53" t="inlineStr">
        <is>
          <t>ยานี้มีการใช้งานที่ซับซ้อน ต้องใช้ร่วมกับยาในบัญชียาหลักแห่งชาติตัวอื่น อย่างน้อย 2 ชนิดขึ้นไป</t>
        </is>
      </c>
      <c r="G53" t="inlineStr">
        <is>
          <t>ยานี้ต้องสั่งใช้โดยผู้เชี่ยวชาญเฉพาะทาง ENT เท่านั้น</t>
        </is>
      </c>
      <c r="H53" t="inlineStr">
        <is>
          <t>ยาที่เบิกจ่ายได้ในโรงพยาบาลชุมชนขึ้นไป และเบิกจ่ายได้ทุกสิทธิการรักษา</t>
        </is>
      </c>
      <c r="I53" t="n">
        <v>5</v>
      </c>
      <c r="J53" t="inlineStr">
        <is>
          <t>✅ คำตอบที่ถูกต้อง: ข้อ จ. ยาที่เบิกจ่ายได้ในโรงพยาบาลชุมชนขึ้นไป และเบิกจ่ายได้ทุกสิทธิการรักษา
💡 Background: หลักการบริบาลทางเภสัชกรรมและการควบคุมคุณภาพในหมวด 2. Pharmacy Administration &amp; Sy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(ยานี้อยู่ภายใต้ระบบการควบคุมและติดตามการใช้ยาให้เห): ตัวเลือก ยานี้อยู่ภายใต้ระบบการควบคุมและติดตามการใช้ยาให้เหมาะสม (Aut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(ยานี้เบิกจ่ายของผ่านกระทรวง ทบวง กรม หน่วยงานรัฐ): ตัวเลือก ยานี้เบิกจ่ายของผ่านกระทรวง ทบวง กรม หน่วยงานรัฐ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(ยานี้มีการใช้งานที่ซับซ้อน ต้องใช้ร่วมกับยาในบัญชี): ตัวเลือก ยานี้มีการใช้งานที่ซับซ้อน ต้องใช้ร่วมกับยาในบัญชียาหลักแห่ง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(ยานี้ต้องสั่งใช้โดยผู้เชี่ยวชาญเฉพาะทาง ENT เท่านั): ตัวเลือก ยานี้ต้องสั่งใช้โดยผู้เชี่ยวชาญเฉพาะทาง ENT เท่านั้น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L53" t="inlineStr">
        <is>
          <t>Pharmacy Laws &amp; Ethics</t>
        </is>
      </c>
      <c r="M53" t="inlineStr">
        <is>
          <t>SAP</t>
        </is>
      </c>
      <c r="N53" t="inlineStr">
        <is>
          <t>[TEST] Quick Ingestion</t>
        </is>
      </c>
      <c r="O53" t="inlineStr">
        <is>
          <t>Mock</t>
        </is>
      </c>
      <c r="P53" t="inlineStr">
        <is>
          <t>Mock RxCU83 ครั้งที่ 1</t>
        </is>
      </c>
      <c r="Q53" t="inlineStr">
        <is>
          <t>2. Pharmacy Administration &amp; Sy</t>
        </is>
      </c>
      <c r="R53" t="inlineStr">
        <is>
          <t>CASE_SAP_M83_AR_C01_Q1</t>
        </is>
      </c>
    </row>
    <row r="54">
      <c r="A54" t="n">
        <v>52</v>
      </c>
      <c r="B54" t="inlineStr">
        <is>
          <t>ผู้ป่วยเด็กหญิงอายุ 3 ปี 6 เดือน มาพบแพทย์ที่ OPD CC: ซึม เบื่ออาหาร ผิวซีด HPI: 1 year PTA มารดารู้สึกว่าไม่ค่อยเล่น นั่งเล่นของเล่น ไม่ค่อยวิ่ง กินน้อย 1 month PTA เริ่มซึม เบื่ออาหาร 3 days PTA ซึม บ่นง่วงนอนบ่อย ประวัติคลอด: Prematurity 35 week, BW 2300 g และมี Celiac disease ได้รับ Multivitamin syrup (Lysine, Vit B1,2,3,6, Nicotinamide, D-panthenol, Calcium) น้ำหนัก 11 kg ส่วนสูง 83 cm, Lab: Hb 10.1 g/dL, HCT 29%, MCV 69 fL, MCHC 34.1 g/dL, MCH 33 pg, %RDW 18%, reticulocyte count 1.4% PE: ผิวซีด เยื่อบุตาซีด แพทย์วินิจฉัย IDA สั่ง Ferrous sulphate syrup (25mg/5mL) PO BID PC ค่าแล็ปตัวใด ไม่ได้ใช้ ในการช่วยวินิจฉัยภาวะโลหิตจางในรายนี้</t>
        </is>
      </c>
      <c r="D54" t="inlineStr">
        <is>
          <t>Hb / HCT</t>
        </is>
      </c>
      <c r="E54" t="inlineStr">
        <is>
          <t>MCV</t>
        </is>
      </c>
      <c r="F54" t="inlineStr">
        <is>
          <t>MCHC</t>
        </is>
      </c>
      <c r="G54" t="inlineStr">
        <is>
          <t>RDW</t>
        </is>
      </c>
      <c r="H54" t="inlineStr">
        <is>
          <t>WBC (White blood cell count)</t>
        </is>
      </c>
      <c r="I54" t="n">
        <v>5</v>
      </c>
      <c r="J54" t="inlineStr">
        <is>
          <t>✅ คำตอบที่ถูกต้อง: ข้อ จ. WBC (White blood cell count)
💡 Background: หลักการบริบาลทางเภสัชกรรมและการควบคุมคุณภาพในหมวด 6. Hematologic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(Hb / HCT): ตัวเลือก Hb / HCT ไม่ใช่คำตอบที่ถูกต้อง เนื่องจากมีกลไกทางเภสัชวิทยา ข้อบ่งใช้ หรือคุณสมบัติทางเภสัชเคมีที่ไม่ตรงกับเงื่อนไขที่โจทย์กำหนด
- ข้อ ข. (MCV): ตัวเลือก MCV ไม่ใช่คำตอบที่ถูกต้อง เนื่องจากมีกลไกทางเภสัชวิทยา ข้อบ่งใช้ หรือคุณสมบัติทางเภสัชเคมีที่ไม่ตรงกับเงื่อนไขที่โจทย์กำหนด
- ข้อ ค. (MCHC): ตัวเลือก MCHC ไม่ใช่คำตอบที่ถูกต้อง เนื่องจากมีกลไกทางเภสัชวิทยา ข้อบ่งใช้ หรือคุณสมบัติทางเภสัชเคมีที่ไม่ตรงกับเงื่อนไขที่โจทย์กำหนด
- ข้อ ง. (RDW): ตัวเลือก RDW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L54" t="inlineStr">
        <is>
          <t>Anemia</t>
        </is>
      </c>
      <c r="M54" t="inlineStr">
        <is>
          <t>Clinic</t>
        </is>
      </c>
      <c r="N54" t="inlineStr">
        <is>
          <t>[TEST] Quick Ingestion</t>
        </is>
      </c>
      <c r="O54" t="inlineStr">
        <is>
          <t>Mock</t>
        </is>
      </c>
      <c r="P54" t="inlineStr">
        <is>
          <t>Mock RxCU83 ครั้งที่ 1</t>
        </is>
      </c>
      <c r="Q54" t="inlineStr">
        <is>
          <t>6. Hematologic</t>
        </is>
      </c>
      <c r="R54" t="inlineStr">
        <is>
          <t>CASE_CLN_M83_IDA_C01_Q1</t>
        </is>
      </c>
    </row>
    <row r="55">
      <c r="A55" t="n">
        <v>53</v>
      </c>
      <c r="B55" t="inlineStr">
        <is>
          <t>ส่วนประกอบใน Multivitamin syrup ในข้อใด มีอันตรกิริยา (Drug Interaction) กับยา Ferrous sulphate syrup ทำให้การดูดซึมธาตุเหล็กลดลง</t>
        </is>
      </c>
      <c r="D55" t="inlineStr">
        <is>
          <t>Lysine</t>
        </is>
      </c>
      <c r="E55" t="inlineStr">
        <is>
          <t>Nicotinamide</t>
        </is>
      </c>
      <c r="F55" t="inlineStr">
        <is>
          <t>D-panthenol</t>
        </is>
      </c>
      <c r="G55" t="inlineStr">
        <is>
          <t>Vitamin D</t>
        </is>
      </c>
      <c r="H55" t="inlineStr">
        <is>
          <t>Calcium</t>
        </is>
      </c>
      <c r="I55" t="n">
        <v>5</v>
      </c>
      <c r="J55" t="inlineStr">
        <is>
          <t>✅ คำตอบที่ถูกต้อง: ข้อ จ. Calcium
💡 Background: หลักการบริบาลทางเภสัชกรรมและการควบคุมคุณภาพในหมวด 6. Hematologic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(Lysine): ตัวเลือก Lysine ไม่ใช่คำตอบที่ถูกต้อง เนื่องจากมีกลไกทางเภสัชวิทยา ข้อบ่งใช้ หรือคุณสมบัติทางเภสัชเคมีที่ไม่ตรงกับเงื่อนไขที่โจทย์กำหนด
- ข้อ ข. (Nicotinamide): ตัวเลือก Nicotinamide ไม่ใช่คำตอบที่ถูกต้อง เนื่องจากมีกลไกทางเภสัชวิทยา ข้อบ่งใช้ หรือคุณสมบัติทางเภสัชเคมีที่ไม่ตรงกับเงื่อนไขที่โจทย์กำหนด
- ข้อ ค. (D-panthenol): ตัวเลือก D-panthenol ไม่ใช่คำตอบที่ถูกต้อง เนื่องจากมีกลไกทางเภสัชวิทยา ข้อบ่งใช้ หรือคุณสมบัติทางเภสัชเคมีที่ไม่ตรงกับเงื่อนไขที่โจทย์กำหนด
- ข้อ ง. (Vitamin D): ตัวเลือก Vitamin D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L55" t="inlineStr">
        <is>
          <t>Anemia</t>
        </is>
      </c>
      <c r="M55" t="inlineStr">
        <is>
          <t>Clinic</t>
        </is>
      </c>
      <c r="N55" t="inlineStr">
        <is>
          <t>[TEST] Quick Ingestion</t>
        </is>
      </c>
      <c r="O55" t="inlineStr">
        <is>
          <t>Mock</t>
        </is>
      </c>
      <c r="P55" t="inlineStr">
        <is>
          <t>Mock RxCU83 ครั้งที่ 1</t>
        </is>
      </c>
      <c r="Q55" t="inlineStr">
        <is>
          <t>6. Hematologic</t>
        </is>
      </c>
      <c r="R55" t="inlineStr">
        <is>
          <t>CASE_CLN_M83_IDA_C01_Q2</t>
        </is>
      </c>
    </row>
    <row r="56">
      <c r="A56" t="n">
        <v>54</v>
      </c>
      <c r="B56" t="inlineStr">
        <is>
          <t>ข้อใดคืออาการไม่พึงประสงค์ (ADR) ที่พบบ่อยจากการรับประทานยาเสริมธาตุเหล็ก (Ferrous sulfate)</t>
        </is>
      </c>
      <c r="D56" t="inlineStr">
        <is>
          <t>ขาดวิตามินบี 12</t>
        </is>
      </c>
      <c r="E56" t="inlineStr">
        <is>
          <t>ท้องผูก (Constipation) และอุจจาระมีสีดำ</t>
        </is>
      </c>
      <c r="F56" t="inlineStr">
        <is>
          <t>ปัสสาวะมีสีดำคล้ำ</t>
        </is>
      </c>
      <c r="G56" t="inlineStr">
        <is>
          <t>ปวดศีรษะไมเกรนรุนแรง</t>
        </is>
      </c>
      <c r="H56" t="inlineStr">
        <is>
          <t>เป็นแผลในกระเพาะปัสสาวะ</t>
        </is>
      </c>
      <c r="I56" t="n">
        <v>2</v>
      </c>
      <c r="J56" t="inlineStr">
        <is>
          <t>✅ คำตอบที่ถูกต้อง: ข้อ ข. ท้องผูก (Constipation) และอุจจาระมีสีดำ
💡 Background: หลักการบริบาลทางเภสัชกรรมและการควบคุมคุณภาพในหมวด 6. Hematologic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(ขาดวิตามินบี 12): ตัวเลือก ขาดวิตามินบี 12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(ปัสสาวะมีสีดำคล้ำ): ตัวเลือก ปัสสาวะมีสีดำคล้ำ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(ปวดศีรษะไมเกรนรุนแรง): ตัวเลือก ปวดศีรษะไมเกรนรุนแรง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(เป็นแผลในกระเพาะปัสสาวะ): ตัวเลือก เป็นแผลในกระเพาะปัสสาวะ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L56" t="inlineStr">
        <is>
          <t>Anemia</t>
        </is>
      </c>
      <c r="M56" t="inlineStr">
        <is>
          <t>Clinic</t>
        </is>
      </c>
      <c r="N56" t="inlineStr">
        <is>
          <t>[TEST] Quick Ingestion</t>
        </is>
      </c>
      <c r="O56" t="inlineStr">
        <is>
          <t>Mock</t>
        </is>
      </c>
      <c r="P56" t="inlineStr">
        <is>
          <t>Mock RxCU83 ครั้งที่ 1</t>
        </is>
      </c>
      <c r="Q56" t="inlineStr">
        <is>
          <t>6. Hematologic</t>
        </is>
      </c>
      <c r="R56" t="inlineStr">
        <is>
          <t>CASE_CLN_M83_IDA_C01_Q3</t>
        </is>
      </c>
    </row>
    <row r="57">
      <c r="A57" t="n">
        <v>55</v>
      </c>
      <c r="B57" t="inlineStr">
        <is>
          <t>กลไกทางเภสัชวิทยาที่สำคัญของ ferrous sulphate syrup ที่ใช้รักษาภาวะโลหิตจางจากการขาดธาตุเหล็กคือข้อใด</t>
        </is>
      </c>
      <c r="D57" t="inlineStr">
        <is>
          <t>เพิ่มการสร้าง erythropoietin จากไต</t>
        </is>
      </c>
      <c r="E57" t="inlineStr">
        <is>
          <t>เพิ่มการสร้าง intrinsic factor จากกระเพาะอาหาร</t>
        </is>
      </c>
      <c r="F57" t="inlineStr">
        <is>
          <t>จัดหาธาตุเหล็กในรูป ferrous (Fe2+) สำหรับการสร้าง heme และ hemoglobin ในเม็ดเลือดแดง</t>
        </is>
      </c>
      <c r="G57" t="inlineStr">
        <is>
          <t>ยับยั้งการทำลายเม็ดเลือดแดงจากม้าม</t>
        </is>
      </c>
      <c r="H57" t="inlineStr">
        <is>
          <t>เพิ่มการสร้าง transferrin โดยตรงในกระแสเลือด</t>
        </is>
      </c>
      <c r="I57" t="n">
        <v>3</v>
      </c>
      <c r="J57" t="inlineStr">
        <is>
          <t>✅ คำตอบที่ถูกต้อง: ข้อ ค. จัดหาธาตุเหล็กในรูป ferrous (Fe2+) สำหรับการสร้าง heme และ hemoglobin ในเม็ดเลือดแดง
💡 Background: หลักการบริบาลทางเภสัชกรรมและการควบคุมคุณภาพในหมวด 6. Hematologic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(เพิ่มการสร้าง erythropoietin จากไต): ตัวเลือก เพิ่มการสร้าง erythropoietin จากไต ไม่ใช่คำตอบที่ถูกต้อง เนื่องจากมีกลไกทางเภสัชวิทยา ข้อบ่งใช้ หรือคุณสมบัติทางเภสัชเคมีที่ไม่ตรงกับเงื่อนไขที่โจทย์กำหนด
- ข้อ ข. (เพิ่มการสร้าง intrinsic factor จากกระเพาะอาหาร): ตัวเลือก เพิ่มการสร้าง intrinsic factor จากกระเพาะอาหาร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(ยับยั้งการทำลายเม็ดเลือดแดงจากม้าม): ตัวเลือก ยับยั้งการทำลายเม็ดเลือดแดงจากม้าม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(เพิ่มการสร้าง transferrin โดยตรงในกระแสเลือด): ตัวเลือก เพิ่มการสร้าง transferrin โดยตรงในกระแสเลือด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L57" t="inlineStr">
        <is>
          <t>Anemia</t>
        </is>
      </c>
      <c r="M57" t="inlineStr">
        <is>
          <t>Clinic</t>
        </is>
      </c>
      <c r="N57" t="inlineStr">
        <is>
          <t>[TEST] Quick Ingestion</t>
        </is>
      </c>
      <c r="O57" t="inlineStr">
        <is>
          <t>Mock</t>
        </is>
      </c>
      <c r="P57" t="inlineStr">
        <is>
          <t>Mock RxCU83 ครั้งที่ 1</t>
        </is>
      </c>
      <c r="Q57" t="inlineStr">
        <is>
          <t>6. Hematologic</t>
        </is>
      </c>
      <c r="R57" t="inlineStr">
        <is>
          <t>CASE_CLN_M83_IDA_C01_Q4</t>
        </is>
      </c>
    </row>
    <row r="58">
      <c r="A58" t="n">
        <v>56</v>
      </c>
      <c r="B58" t="inlineStr">
        <is>
          <t>หากผู้ป่วยไม่ได้เป็น iron deficiency anemia แต่ตรวจยืนยันพบว่าเป็น Megaloblastic anemia จากการขาดวิตามินบี 12 การรักษาควรเปลี่ยนเป็นข้อใด</t>
        </is>
      </c>
      <c r="D58" t="inlineStr">
        <is>
          <t>Ferrous Sulfate syrup PO</t>
        </is>
      </c>
      <c r="E58" t="inlineStr">
        <is>
          <t>Hydroxocobalamin / Cyanocobalamin</t>
        </is>
      </c>
      <c r="F58" t="inlineStr">
        <is>
          <t>Folic acid เพียงอย่างเดียว</t>
        </is>
      </c>
      <c r="G58" t="inlineStr">
        <is>
          <t>Ascorbic acid PO</t>
        </is>
      </c>
      <c r="H58" t="inlineStr">
        <is>
          <t>Deferasirox PO</t>
        </is>
      </c>
      <c r="I58" t="n">
        <v>2</v>
      </c>
      <c r="J58" t="inlineStr">
        <is>
          <t>✅ คำตอบที่ถูกต้อง: ข้อ ข. Hydroxocobalamin / Cyanocobalamin
💡 Background: หลักการบริบาลทางเภสัชกรรมและการควบคุมคุณภาพในหมวด 6. Hematologic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(Ferrous Sulfate syrup PO): ตัวเลือก Ferrous Sulfate syrup PO ไม่ใช่คำตอบที่ถูกต้อง เนื่องจากมีกลไกทางเภสัชวิทยา ข้อบ่งใช้ หรือคุณสมบัติทางเภสัชเคมีที่ไม่ตรงกับเงื่อนไขที่โจทย์กำหนด
- ข้อ ค. (Folic acid เพียงอย่างเดียว): ตัวเลือก Folic acid เพียงอย่างเดียว ไม่ใช่คำตอบที่ถูกต้อง เนื่องจากมีกลไกทางเภสัชวิทยา ข้อบ่งใช้ หรือคุณสมบัติทางเภสัชเคมีที่ไม่ตรงกับเงื่อนไขที่โจทย์กำหนด
- ข้อ ง. (Ascorbic acid PO): ตัวเลือก Ascorbic acid PO ไม่ใช่คำตอบที่ถูกต้อง เนื่องจากมีกลไกทางเภสัชวิทยา ข้อบ่งใช้ หรือคุณสมบัติทางเภสัชเคมีที่ไม่ตรงกับเงื่อนไขที่โจทย์กำหนด
- ข้อ จ. (Deferasirox PO): ตัวเลือก Deferasirox PO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L58" t="inlineStr">
        <is>
          <t>Anemia</t>
        </is>
      </c>
      <c r="M58" t="inlineStr">
        <is>
          <t>Clinic</t>
        </is>
      </c>
      <c r="N58" t="inlineStr">
        <is>
          <t>[TEST] Quick Ingestion</t>
        </is>
      </c>
      <c r="O58" t="inlineStr">
        <is>
          <t>Mock</t>
        </is>
      </c>
      <c r="P58" t="inlineStr">
        <is>
          <t>Mock RxCU83 ครั้งที่ 1</t>
        </is>
      </c>
      <c r="Q58" t="inlineStr">
        <is>
          <t>6. Hematologic</t>
        </is>
      </c>
      <c r="R58" t="inlineStr">
        <is>
          <t>CASE_CLN_M83_IDA_C01_Q5</t>
        </is>
      </c>
    </row>
    <row r="59">
      <c r="A59" t="n">
        <v>57</v>
      </c>
      <c r="B59" t="inlineStr">
        <is>
          <t>สารช่วยในข้อใด ไม่จำเป็น สำหรับการตั้งตำรับยาน้ำเชื่อม ferrous sulfate syrup</t>
        </is>
      </c>
      <c r="D59" t="inlineStr">
        <is>
          <t>Citric acid</t>
        </is>
      </c>
      <c r="E59" t="inlineStr">
        <is>
          <t>Disodium EDTA</t>
        </is>
      </c>
      <c r="F59" t="inlineStr">
        <is>
          <t>Paraben (Methyl/Propyl paraben)</t>
        </is>
      </c>
      <c r="G59" t="inlineStr">
        <is>
          <t>Sodium metabisulfite</t>
        </is>
      </c>
      <c r="H59" t="inlineStr">
        <is>
          <t>Sucrose</t>
        </is>
      </c>
      <c r="I59" t="n">
        <v>2</v>
      </c>
      <c r="J59" t="inlineStr">
        <is>
          <t>✅ คำตอบที่ถูกต้อง: ข้อ ข. Disodium EDTA
💡 Background: หลักการบริบาลทางเภสัชกรรมและการควบคุมคุณภาพในหมวด 6. Solid Dosage Forms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(Citric acid): ตัวเลือก Citric acid ไม่ใช่คำตอบที่ถูกต้อง เนื่องจากมีกลไกทางเภสัชวิทยา ข้อบ่งใช้ หรือคุณสมบัติทางเภสัชเคมีที่ไม่ตรงกับเงื่อนไขที่โจทย์กำหนด
- ข้อ ค. (Paraben (Methyl/Propyl paraben)): ตัวเลือก Paraben (Methyl/Propyl paraben) ไม่ใช่คำตอบที่ถูกต้อง เนื่องจากมีกลไกทางเภสัชวิทยา ข้อบ่งใช้ หรือคุณสมบัติทางเภสัชเคมีที่ไม่ตรงกับเงื่อนไขที่โจทย์กำหนด
- ข้อ ง. (Sodium metabisulfite): ตัวเลือก Sodium metabisulfite ไม่ใช่คำตอบที่ถูกต้อง เนื่องจากมีกลไกทางเภสัชวิทยา ข้อบ่งใช้ หรือคุณสมบัติทางเภสัชเคมีที่ไม่ตรงกับเงื่อนไขที่โจทย์กำหนด
- ข้อ จ. (Sucrose): ตัวเลือก Sucrose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59" t="inlineStr">
        <is>
          <t>Solutions, Syrups &amp; Elixirs</t>
        </is>
      </c>
      <c r="M59" t="inlineStr">
        <is>
          <t>Product</t>
        </is>
      </c>
      <c r="N59" t="inlineStr">
        <is>
          <t>[TEST] Quick Ingestion</t>
        </is>
      </c>
      <c r="O59" t="inlineStr">
        <is>
          <t>Mock</t>
        </is>
      </c>
      <c r="P59" t="inlineStr">
        <is>
          <t>Mock RxCU83 ครั้งที่ 1</t>
        </is>
      </c>
      <c r="Q59" t="inlineStr">
        <is>
          <t>6. Solid Dosage Forms</t>
        </is>
      </c>
      <c r="R59" t="inlineStr">
        <is>
          <t>CASE_PRD_M83_IDA_C01_Q1</t>
        </is>
      </c>
    </row>
    <row r="60">
      <c r="A60" t="n">
        <v>58</v>
      </c>
      <c r="B60" t="inlineStr">
        <is>
          <t>ภาชนะบรรจุชนิดใดเหมาะสมที่สุดแก่การบรรจุยาน้ำเชื่อม ferrous sulfate syrup เพื่อรักษาความคงตัวของตัวยา</t>
        </is>
      </c>
      <c r="D60" t="inlineStr">
        <is>
          <t>Tight container ทั่วไป</t>
        </is>
      </c>
      <c r="E60" t="inlineStr">
        <is>
          <t>Children resistant container</t>
        </is>
      </c>
      <c r="F60" t="inlineStr">
        <is>
          <t>Glass container แบบใส</t>
        </is>
      </c>
      <c r="G60" t="inlineStr">
        <is>
          <t>Amber glass container (ขวดแก้วสีชา)</t>
        </is>
      </c>
      <c r="H60" t="inlineStr">
        <is>
          <t>Opaque plastic container แบบโปร่งแสง</t>
        </is>
      </c>
      <c r="I60" t="n">
        <v>4</v>
      </c>
      <c r="J60" t="inlineStr">
        <is>
          <t>✅ คำตอบที่ถูกต้อง: ข้อ ง. Amber glass container (ขวดแก้วสีชา)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(Tight container ทั่วไป): ตัวเลือก Tight container ทั่วไป ไม่ใช่คำตอบที่ถูกต้อง เนื่องจากมีกลไกทางเภสัชวิทยา ข้อบ่งใช้ หรือคุณสมบัติทางเภสัชเคมีที่ไม่ตรงกับเงื่อนไขที่โจทย์กำหนด
- ข้อ ข. (Children resistant container): ตัวเลือก Children resistant container ไม่ใช่คำตอบที่ถูกต้อง เนื่องจากมีกลไกทางเภสัชวิทยา ข้อบ่งใช้ หรือคุณสมบัติทางเภสัชเคมีที่ไม่ตรงกับเงื่อนไขที่โจทย์กำหนด
- ข้อ ค. (Glass container แบบใส): ตัวเลือก Glass container แบบใส ไม่ใช่คำตอบที่ถูกต้อง เนื่องจากมีกลไกทางเภสัชวิทยา ข้อบ่งใช้ หรือคุณสมบัติทางเภสัชเคมีที่ไม่ตรงกับเงื่อนไขที่โจทย์กำหนด
- ข้อ จ. (Opaque plastic container แบบโปร่งแสง): ตัวเลือก Opaque plastic container แบบโปร่งแสง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60" t="inlineStr">
        <is>
          <t>Container &amp; Closure Systems</t>
        </is>
      </c>
      <c r="M60" t="inlineStr">
        <is>
          <t>Product</t>
        </is>
      </c>
      <c r="N60" t="inlineStr">
        <is>
          <t>[TEST] Quick Ingestion</t>
        </is>
      </c>
      <c r="O60" t="inlineStr">
        <is>
          <t>Mock</t>
        </is>
      </c>
      <c r="P60" t="inlineStr">
        <is>
          <t>Mock RxCU83 ครั้งที่ 1</t>
        </is>
      </c>
      <c r="Q60" t="inlineStr">
        <is>
          <t>6. Solid Dosage Forms</t>
        </is>
      </c>
      <c r="R60" t="inlineStr">
        <is>
          <t>CASE_PRD_M83_IDA_C01_Q2</t>
        </is>
      </c>
    </row>
    <row r="61">
      <c r="A61" t="n">
        <v>59</v>
      </c>
      <c r="B61" t="inlineStr">
        <is>
          <t>ผลิตภัณฑ์สารละลาย 4% w/v Ferrous sulphate (Heptahydrate, MW = 278) หากรับประทานปริมาณ 100 mg จะได้รับปริมาณ Elemental iron (Fe, MW = 56) คิดเป็นกี่มิลลิกรัม</t>
        </is>
      </c>
      <c r="D61" t="inlineStr">
        <is>
          <t>10.1 mg</t>
        </is>
      </c>
      <c r="E61" t="inlineStr">
        <is>
          <t>14.2 mg</t>
        </is>
      </c>
      <c r="F61" t="inlineStr">
        <is>
          <t>20.1 mg</t>
        </is>
      </c>
      <c r="G61" t="inlineStr">
        <is>
          <t>25.0 mg</t>
        </is>
      </c>
      <c r="H61" t="inlineStr">
        <is>
          <t>30.0 mg</t>
        </is>
      </c>
      <c r="I61" t="n">
        <v>3</v>
      </c>
      <c r="J61" t="inlineStr">
        <is>
          <t>✅ คำตอบที่ถูกต้อง: ข้อ ค. 20.1 mg
💡 Background: หลักการบริบาลทางเภสัชกรรมและการควบคุมคุณภาพในหมวด 6. Solid Dosage Forms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(10.1 mg): ตัวเลือก 10.1 mg ไม่ใช่คำตอบที่ถูกต้อง เนื่องจากมีกลไกทางเภสัชวิทยา ข้อบ่งใช้ หรือคุณสมบัติทางเภสัชเคมีที่ไม่ตรงกับเงื่อนไขที่โจทย์กำหนด
- ข้อ ข. (14.2 mg): ตัวเลือก 14.2 mg ไม่ใช่คำตอบที่ถูกต้อง เนื่องจากมีกลไกทางเภสัชวิทยา ข้อบ่งใช้ หรือคุณสมบัติทางเภสัชเคมีที่ไม่ตรงกับเงื่อนไขที่โจทย์กำหนด
- ข้อ ง. (25.0 mg): ตัวเลือก 25.0 mg ไม่ใช่คำตอบที่ถูกต้อง เนื่องจากมีกลไกทางเภสัชวิทยา ข้อบ่งใช้ หรือคุณสมบัติทางเภสัชเคมีที่ไม่ตรงกับเงื่อนไขที่โจทย์กำหนด
- ข้อ จ. (30.0 mg): ตัวเลือก 30.0 mg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61" t="inlineStr">
        <is>
          <t>Compounding adjustments</t>
        </is>
      </c>
      <c r="M61" t="inlineStr">
        <is>
          <t>Product</t>
        </is>
      </c>
      <c r="N61" t="inlineStr">
        <is>
          <t>[TEST] Quick Ingestion</t>
        </is>
      </c>
      <c r="O61" t="inlineStr">
        <is>
          <t>Mock</t>
        </is>
      </c>
      <c r="P61" t="inlineStr">
        <is>
          <t>Mock RxCU83 ครั้งที่ 1</t>
        </is>
      </c>
      <c r="Q61" t="inlineStr">
        <is>
          <t>6. Solid Dosage Forms</t>
        </is>
      </c>
      <c r="R61" t="inlineStr">
        <is>
          <t>CASE_PRD_M83_IDA_C01_Q3</t>
        </is>
      </c>
    </row>
    <row r="62">
      <c r="A62" t="n">
        <v>60</v>
      </c>
      <c r="B62" t="inlineStr">
        <is>
          <t>คำถาม: ผลการตรวจเลือดในข้อใด จำเป็นต้องมีเพิ่มเติม เพื่อช่วยในการยืนยันและวินิจฉัยภาวะ Iron Deficiency Anemia (IDA) ให้แม่นยำที่สุด</t>
        </is>
      </c>
      <c r="D62" t="inlineStr">
        <is>
          <t>Serum levels of folate and vitamin B12</t>
        </is>
      </c>
      <c r="E62" t="inlineStr">
        <is>
          <t>WBC differential count</t>
        </is>
      </c>
      <c r="F62" t="inlineStr">
        <is>
          <t>Serum Albumin</t>
        </is>
      </c>
      <c r="G62" t="inlineStr">
        <is>
          <t>Serum Ferritin และ Transferrin Saturation (TSAT)</t>
        </is>
      </c>
      <c r="H62" t="inlineStr">
        <is>
          <t>Serum Ferritin และ Vitamin C level</t>
        </is>
      </c>
      <c r="I62" t="n">
        <v>4</v>
      </c>
      <c r="J62" t="inlineStr">
        <is>
          <t>✅ คำตอบที่ถูกต้อง: ข้อ ง. Serum Ferritin และ Transferrin Saturation (TSAT)
💡 Background: หลักการบริบาลทางเภสัชกรรมและการควบคุมคุณภาพในหมวด 6. Hematologic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(Serum levels of folate and vitamin B12): ตัวเลือก Serum levels of folate and vitamin B12 ไม่ใช่คำตอบที่ถูกต้อง เนื่องจากมีกลไกทางเภสัชวิทยา ข้อบ่งใช้ หรือคุณสมบัติทางเภสัชเคมีที่ไม่ตรงกับเงื่อนไขที่โจทย์กำหนด
- ข้อ ข. (WBC differential count): ตัวเลือก WBC differential count ไม่ใช่คำตอบที่ถูกต้อง เนื่องจากมีกลไกทางเภสัชวิทยา ข้อบ่งใช้ หรือคุณสมบัติทางเภสัชเคมีที่ไม่ตรงกับเงื่อนไขที่โจทย์กำหนด
- ข้อ ค. (Serum Albumin): ตัวเลือก Serum Albumin ไม่ใช่คำตอบที่ถูกต้อง เนื่องจากมีกลไกทางเภสัชวิทยา ข้อบ่งใช้ หรือคุณสมบัติทางเภสัชเคมีที่ไม่ตรงกับเงื่อนไขที่โจทย์กำหนด
- ข้อ จ. (Serum Ferritin และ Vitamin C level): ตัวเลือก Serum Ferritin และ Vitamin C level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L62" t="inlineStr">
        <is>
          <t>Anemia</t>
        </is>
      </c>
      <c r="M62" t="inlineStr">
        <is>
          <t>Clinic</t>
        </is>
      </c>
      <c r="N62" t="inlineStr">
        <is>
          <t>[TEST] Quick Ingestion</t>
        </is>
      </c>
      <c r="O62" t="inlineStr">
        <is>
          <t>Mock</t>
        </is>
      </c>
      <c r="P62" t="inlineStr">
        <is>
          <t>Mock RxCU83 ครั้งที่ 1</t>
        </is>
      </c>
      <c r="Q62" t="inlineStr">
        <is>
          <t>6. Hematologic</t>
        </is>
      </c>
      <c r="R62" t="inlineStr">
        <is>
          <t>CASE_CLN_M83_IDA_C02_Q1</t>
        </is>
      </c>
    </row>
    <row r="63">
      <c r="A63" t="n">
        <v>61</v>
      </c>
      <c r="B63" t="inlineStr">
        <is>
          <t>ข้อใดถูกต้องเกี่ยวกับการให้คำแนะนำการปฏิบัติตัวและการรับประทานอาหารในผู้ป่วยโลหิตจางจากการขาดธาตุเหล็ก</t>
        </is>
      </c>
      <c r="D63" t="inlineStr">
        <is>
          <t>กินผักโฟลิกสูง</t>
        </is>
      </c>
      <c r="E63" t="inlineStr">
        <is>
          <t>กินผลไม้วิตามินซีสูง</t>
        </is>
      </c>
      <c r="F63" t="inlineStr">
        <is>
          <t>กินวิตามินบี 12 เสริมเป็นหลัก</t>
        </is>
      </c>
      <c r="G63" t="inlineStr">
        <is>
          <t>กินอาหารที่มีกรดออกซาลิกสูงเป็นประจำ</t>
        </is>
      </c>
      <c r="H63" t="inlineStr">
        <is>
          <t>ดื่มชากาแฟ หรือนมถั่วเหลืองพร้อมยา</t>
        </is>
      </c>
      <c r="I63" t="n">
        <v>2</v>
      </c>
      <c r="J63" t="inlineStr">
        <is>
          <t>✅ คำตอบที่ถูกต้อง: ข้อ ข. กินผลไม้วิตามินซีสูง
💡 Background: หลักการบริบาลทางเภสัชกรรมและการควบคุมคุณภาพในหมวด 6. Hematologic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(กินผักโฟลิกสูง): ตัวเลือก กินผักโฟลิกสูง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(กินวิตามินบี 12 เสริมเป็นหลัก): ตัวเลือก กินวิตามินบี 12 เสริมเป็นหลัก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(กินอาหารที่มีกรดออกซาลิกสูงเป็นประจำ): ตัวเลือก กินอาหารที่มีกรดออกซาลิกสูงเป็นประจำ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(ดื่มชากาแฟ หรือนมถั่วเหลืองพร้อมยา): ตัวเลือก ดื่มชากาแฟ หรือนมถั่วเหลืองพร้อมยา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L63" t="inlineStr">
        <is>
          <t>Anemia</t>
        </is>
      </c>
      <c r="M63" t="inlineStr">
        <is>
          <t>Clinic</t>
        </is>
      </c>
      <c r="N63" t="inlineStr">
        <is>
          <t>[TEST] Quick Ingestion</t>
        </is>
      </c>
      <c r="O63" t="inlineStr">
        <is>
          <t>Mock</t>
        </is>
      </c>
      <c r="P63" t="inlineStr">
        <is>
          <t>Mock RxCU83 ครั้งที่ 1</t>
        </is>
      </c>
      <c r="Q63" t="inlineStr">
        <is>
          <t>6. Hematologic</t>
        </is>
      </c>
      <c r="R63" t="inlineStr">
        <is>
          <t>CASE_CLN_M83_IDA_C02_Q2</t>
        </is>
      </c>
    </row>
    <row r="64">
      <c r="A64" t="n">
        <v>62</v>
      </c>
      <c r="B64" t="inlineStr">
        <is>
          <t>วิธีคำนวณหาปริมาณธาตุเหล็กของ ferrous fumarate / ferrous sulfate ที่แนะนำตามมาตรฐาน Pharmacopoeia มักใช้วิธีการไทเทรตแบบใด</t>
        </is>
      </c>
      <c r="D64" t="inlineStr">
        <is>
          <t>Acid-base titration</t>
        </is>
      </c>
      <c r="E64" t="inlineStr">
        <is>
          <t>Redox titration (Permanganometry / Cerimetry)</t>
        </is>
      </c>
      <c r="F64" t="inlineStr">
        <is>
          <t>Complexometric titration</t>
        </is>
      </c>
      <c r="G64" t="inlineStr">
        <is>
          <t>Gravimetric titration</t>
        </is>
      </c>
      <c r="H64" t="inlineStr">
        <is>
          <t>Colorimetric titration</t>
        </is>
      </c>
      <c r="I64" t="n">
        <v>2</v>
      </c>
      <c r="J64" t="inlineStr">
        <is>
          <t>✅ คำตอบที่ถูกต้อง: ข้อ ข. Redox titration (Permanganometry / Cerimetry)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(Acid-base titration): ตัวเลือก Acid-base titration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(Complexometric titration): ตัวเลือก Complexometric titration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ง. (Gravimetric titration): ตัวเลือก Gravimetric titration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จ. (Colorimetric titration): ตัวเลือก Colorimetric titration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64" t="inlineStr">
        <is>
          <t>Redox titration</t>
        </is>
      </c>
      <c r="M64" t="inlineStr">
        <is>
          <t>Product</t>
        </is>
      </c>
      <c r="N64" t="inlineStr">
        <is>
          <t>[TEST] Quick Ingestion</t>
        </is>
      </c>
      <c r="O64" t="inlineStr">
        <is>
          <t>Mock</t>
        </is>
      </c>
      <c r="P64" t="inlineStr">
        <is>
          <t>Mock RxCU83 ครั้งที่ 1</t>
        </is>
      </c>
      <c r="Q64" t="inlineStr">
        <is>
          <t>1. Titrations</t>
        </is>
      </c>
      <c r="R64" t="inlineStr">
        <is>
          <t>CASE_PRD_M83_IDA_C01_Q4</t>
        </is>
      </c>
    </row>
    <row r="65">
      <c r="A65" t="n">
        <v>63</v>
      </c>
      <c r="B65" t="inlineStr">
        <is>
          <t>คำแนะนำทั่วไปในการรับประทานยาเสริมธาตุเหล็ก เช่น ferrous fumarate ข้อใดถูกต้อง</t>
        </is>
      </c>
      <c r="D65" t="inlineStr">
        <is>
          <t>ควรรับประทานพร้อมกับ calcium เพื่อเพิ่มการดูดซึม</t>
        </is>
      </c>
      <c r="E65" t="inlineStr">
        <is>
          <t>ควรรับประทานพร้อมกับนม เพื่อลดการระคายเคืองกระเพาะอาหาร</t>
        </is>
      </c>
      <c r="F65" t="inlineStr">
        <is>
          <t>ควรรับประทานพร้อม vitamin c หรือน้ำส้ม เพื่อเพิ่มการดูดซึม</t>
        </is>
      </c>
      <c r="G65" t="inlineStr">
        <is>
          <t>ควรรับประทานร่วมกับยาลดกรด เพื่อเพิ่มประสิทธิภาพการรักษา</t>
        </is>
      </c>
      <c r="H65" t="inlineStr">
        <is>
          <t>ควรรับประทานร่วมกับชา/กาแฟ เพื่อช่วยเรื่องการดูดซึม</t>
        </is>
      </c>
      <c r="I65" t="n">
        <v>3</v>
      </c>
      <c r="J65" t="inlineStr">
        <is>
          <t>✅ คำตอบที่ถูกต้อง: ข้อ ค. ควรรับประทานพร้อม vitamin c หรือน้ำส้ม เพื่อเพิ่มการดูดซึม
💡 Background: หลักการบริบาลทางเภสัชกรรมและการควบคุมคุณภาพในหมวด 6. Hematologic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(ควรรับประทานพร้อมกับ calcium เพื่อเพิ่มการดูดซึม): ตัวเลือก ควรรับประทานพร้อมกับ calcium เพื่อเพิ่มการดูดซึม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(ควรรับประทานพร้อมกับนม เพื่อลดการระคายเคืองกระเพาะ): ตัวเลือก ควรรับประทานพร้อมกับนม เพื่อลดการระคายเคืองกระเพาะอาหาร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(ควรรับประทานร่วมกับยาลดกรด เพื่อเพิ่มประสิทธิภาพกา): ตัวเลือก ควรรับประทานร่วมกับยาลดกรด เพื่อเพิ่มประสิทธิภาพการรักษา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(ควรรับประทานร่วมกับชา/กาแฟ เพื่อช่วยเรื่องการดูดซึ): ตัวเลือก ควรรับประทานร่วมกับชา/กาแฟ เพื่อช่วยเรื่องการดูดซึม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Hematologic อย่างแม่นยำก่อนสอบ</t>
        </is>
      </c>
      <c r="L65" t="inlineStr">
        <is>
          <t>Anemia</t>
        </is>
      </c>
      <c r="M65" t="inlineStr">
        <is>
          <t>Clinic</t>
        </is>
      </c>
      <c r="N65" t="inlineStr">
        <is>
          <t>[TEST] Quick Ingestion</t>
        </is>
      </c>
      <c r="O65" t="inlineStr">
        <is>
          <t>Mock</t>
        </is>
      </c>
      <c r="P65" t="inlineStr">
        <is>
          <t>Mock RxCU83 ครั้งที่ 1</t>
        </is>
      </c>
      <c r="Q65" t="inlineStr">
        <is>
          <t>6. Hematologic</t>
        </is>
      </c>
      <c r="R65" t="inlineStr">
        <is>
          <t>CASE_CLN_M83_IDA_C02_Q3</t>
        </is>
      </c>
    </row>
    <row r="66">
      <c r="A66" t="n">
        <v>64</v>
      </c>
      <c r="B66" t="inlineStr">
        <is>
          <t>ข้อใด ไม่ใช่ ปัจจัยที่ส่งผลต่อการเกิด Biological Immunogenicity (การกระตุ้นภูมิคุ้มกันต้านยาชีววัตถุ)</t>
        </is>
      </c>
      <c r="D66" t="inlineStr">
        <is>
          <t>โครงสร้างโปรตีนที่ไม่คล้ายกับ Human endogenous protein</t>
        </is>
      </c>
      <c r="E66" t="inlineStr">
        <is>
          <t>การเกิดการเสื่อมสลายหรือจับกลุ่มของโปรตีน (Aggregation)</t>
        </is>
      </c>
      <c r="F66" t="inlineStr">
        <is>
          <t>Excipient ในตำรับที่ส่งผลต่อ conformational change</t>
        </is>
      </c>
      <c r="G66" t="inlineStr">
        <is>
          <t>ขนาดยาและความถี่ในการบริหารยา</t>
        </is>
      </c>
      <c r="H66" t="inlineStr">
        <is>
          <t>อัตราการให้ยาเข้าสู่ systematic circulation น้อยกว่า IV bolus โดยตรง</t>
        </is>
      </c>
      <c r="I66" t="n">
        <v>5</v>
      </c>
      <c r="J66" t="inlineStr">
        <is>
          <t>✅ คำตอบที่ถูกต้อง: ข้อ จ. อัตราการให้ยาเข้าสู่ systematic circulation น้อยกว่า IV bolus โดยตรง
💡 Background: หลักการบริบาลทางเภสัชกรรมและการควบคุมคุณภาพในหมวด 1. Titrations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(โครงสร้างโปรตีนที่ไม่คล้ายกับ Human endogenous pro): ตัวเลือก โครงสร้างโปรตีนที่ไม่คล้ายกับ Human endogenous protein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(การเกิดการเสื่อมสลายหรือจับกลุ่มของโปรตีน (Aggrega): ตัวเลือก การเกิดการเสื่อมสลายหรือจับกลุ่มของโปรตีน (Aggregation)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(Excipient ในตำรับที่ส่งผลต่อ conformational change): ตัวเลือก Excipient ในตำรับที่ส่งผลต่อ conformational change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(ขนาดยาและความถี่ในการบริหารยา): ตัวเลือก ขนาดยาและความถี่ในการบริหารยา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66" t="inlineStr">
        <is>
          <t>Biosimilars &amp; Quality Control</t>
        </is>
      </c>
      <c r="M66" t="inlineStr">
        <is>
          <t>Product</t>
        </is>
      </c>
      <c r="N66" t="inlineStr">
        <is>
          <t>[TEST] Quick Ingestion</t>
        </is>
      </c>
      <c r="O66" t="inlineStr">
        <is>
          <t>Mock</t>
        </is>
      </c>
      <c r="P66" t="inlineStr">
        <is>
          <t>Mock RxCU83 ครั้งที่ 1</t>
        </is>
      </c>
      <c r="Q66" t="inlineStr">
        <is>
          <t>1. Titrations</t>
        </is>
      </c>
      <c r="R66" t="inlineStr">
        <is>
          <t>CASE_PRD_M83_IDA_C01_Q5</t>
        </is>
      </c>
    </row>
    <row r="67">
      <c r="A67" t="n">
        <v>65</v>
      </c>
      <c r="B67" t="inlineStr">
        <is>
          <t>การศึกษาในผู้ป่วย 500 คนที่สงสัยว่าเป็นโรคโลหิตจาง (anemia) นักวิจัยได้วัดระดับ Hemoglobin (Hb, g/dL) ของผู้ป่วย และแบ่งกลุ่มผู้ป่วยตามเพศ (ชาย/หญิง) เพื่อศึกษาระดับ Hb ที่แตกต่างกันระหว่างเพศ ข้อใดถูกต้องเกี่ยวกับชนิดของตัวแปรและการเลือกใช้การวิเคราะห์ทางสถิติ</t>
        </is>
      </c>
      <c r="D67" t="inlineStr">
        <is>
          <t>Hb เป็นตัวแปรเชิงกลุ่ม (categorical variable) เสมอ จึงควรใช้ Chi-square test ในการเปรียบเทียบระหว่างเพศ</t>
        </is>
      </c>
      <c r="E67" t="inlineStr">
        <is>
          <t>Hb เป็นตัวแปรเชิงจำนวนต่อเนื่อง (continuous variable) หากมีการกระจายแบบปกติ ควรใช้ Independent t-test (หากไม่ปกติใช้ Mann-Whitney U test)</t>
        </is>
      </c>
      <c r="F67" t="inlineStr">
        <is>
          <t>หากจำแนก Hb เป็นกลุ่ม สามารถใช้ Chi-square test ในการหาความสัมพันธ์ระหว่างเพศได้</t>
        </is>
      </c>
      <c r="G67" t="inlineStr">
        <is>
          <t>Hb เป็นข้อมูลเชิงจำนวน แต่ควรใช้ Mann-Whitney U Test ในการวิเคราะห์เสมอเนื่องจากข้อมูลชีววิทยามักไม่ปกติ</t>
        </is>
      </c>
      <c r="H67" t="inlineStr">
        <is>
          <t>Hb เป็นตัวแปร ordinal เนื่องจากมีค่าจากต่ำไปสูง</t>
        </is>
      </c>
      <c r="I67" t="n">
        <v>2</v>
      </c>
      <c r="J67" t="inlineStr">
        <is>
          <t>✅ คำตอบที่ถูกต้อง: ข้อ ข. Hb เป็นตัวแปรเชิงจำนวนต่อเนื่อง (continuous variable) หากมีการกระจายแบบปกติ ควรใช้ Independent t-test (หากไม่ปกติใช้ Mann-Whitney U test)
💡 Background: หลักการบริบาลทางเภสัชกรรมและการควบคุมคุณภาพในหมวด 2. Pharmacy Administration &amp; Sy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(Hb เป็นตัวแปรเชิงกลุ่ม (categorical variable) เสมอ): ตัวเลือก Hb เป็นตัวแปรเชิงกลุ่ม (categorical variable) เสมอ จึงควรใช้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(หากจำแนก Hb เป็นกลุ่ม สามารถใช้ Chi-square test ใน): ตัวเลือก หากจำแนก Hb เป็นกลุ่ม สามารถใช้ Chi-square test ในการหาความส ไม่ใช่คำตอบที่ถูกต้อง เนื่องจากมีกลไกทางเภสัชวิทยา ข้อบ่งใช้ หรือคุณสมบัติทางเภสัชเคมีที่ไม่ตรงกับเงื่อนไขที่โจทย์กำหนด
- ข้อ ง. (Hb เป็นข้อมูลเชิงจำนวน แต่ควรใช้ Mann-Whitney U Te): ตัวเลือก Hb เป็นข้อมูลเชิงจำนวน แต่ควรใช้ Mann-Whitney U Test ในการวิ ไม่ใช่คำตอบที่ถูกต้อง เนื่องจากมีกลไกทางเภสัชวิทยา ข้อบ่งใช้ หรือคุณสมบัติทางเภสัชเคมีที่ไม่ตรงกับเงื่อนไขที่โจทย์กำหนด
- ข้อ จ. (Hb เป็นตัวแปร ordinal เนื่องจากมีค่าจากต่ำไปสูง): ตัวเลือก Hb เป็นตัวแปร ordinal เนื่องจากมีค่าจากต่ำไปสูง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L67" t="inlineStr">
        <is>
          <t>Research &amp; Biostats</t>
        </is>
      </c>
      <c r="M67" t="inlineStr">
        <is>
          <t>SAP</t>
        </is>
      </c>
      <c r="N67" t="inlineStr">
        <is>
          <t>[TEST] Quick Ingestion</t>
        </is>
      </c>
      <c r="O67" t="inlineStr">
        <is>
          <t>Mock</t>
        </is>
      </c>
      <c r="P67" t="inlineStr">
        <is>
          <t>Mock RxCU83 ครั้งที่ 1</t>
        </is>
      </c>
      <c r="Q67" t="inlineStr">
        <is>
          <t>2. Pharmacy Administration &amp; Sy</t>
        </is>
      </c>
      <c r="R67" t="inlineStr">
        <is>
          <t>CASE_SAP_M83_IDA_C01_Q1</t>
        </is>
      </c>
    </row>
    <row r="68">
      <c r="A68" t="n">
        <v>66</v>
      </c>
      <c r="B68" t="inlineStr">
        <is>
          <t>ผู้ป่วยหญิง 58 ปี นน. 66 กก. สส. 163 ซม. ECOG 1 มาด้วยไอเรื้อรัง กินยากดไอไม่หาย ได้รับ amlodipine สูบบุหรี่ 20 pack-year ดื่มแอลกอฮอล์สัปดาห์ละ 2 ครั้ง ตรวจพบ: EGFR mutation: negative, PD-L1 tumor proportion score (TPS) 80% (High); Dx: Non-small cell lung cancer (adenocarcinoma) stage IV metastasis to liver ควรให้ยาใดเป็น First-line immunotherapy</t>
        </is>
      </c>
      <c r="D68" t="inlineStr">
        <is>
          <t>Atezolizumab + Bevacizumab</t>
        </is>
      </c>
      <c r="E68" t="inlineStr">
        <is>
          <t>Amivantamab + Lazertinib</t>
        </is>
      </c>
      <c r="F68" t="inlineStr">
        <is>
          <t>Carboplatin + Paclitaxel</t>
        </is>
      </c>
      <c r="G68" t="inlineStr">
        <is>
          <t>Osimertinib + Pemetrexed</t>
        </is>
      </c>
      <c r="H68" t="inlineStr">
        <is>
          <t>Pembrolizumab monotherapy</t>
        </is>
      </c>
      <c r="I68" t="n">
        <v>5</v>
      </c>
      <c r="J68" t="inlineStr">
        <is>
          <t>✅ คำตอบที่ถูกต้อง: ข้อ จ. Pembrolizumab monotherapy
💡 Background: หลักการบริบาลทางเภสัชกรรมและการควบคุมคุณภาพในหมวด 14. Oncologic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(Atezolizumab + Bevacizumab): ตัวเลือก Atezolizumab + Bevacizumab ไม่ใช่คำตอบที่ถูกต้อง เนื่องจากมีกลไกทางเภสัชวิทยา ข้อบ่งใช้ หรือคุณสมบัติทางเภสัชเคมีที่ไม่ตรงกับเงื่อนไขที่โจทย์กำหนด
- ข้อ ข. (Amivantamab + Lazertinib): ตัวเลือก Amivantamab + Lazertinib ไม่ใช่คำตอบที่ถูกต้อง เนื่องจากมีกลไกทางเภสัชวิทยา ข้อบ่งใช้ หรือคุณสมบัติทางเภสัชเคมีที่ไม่ตรงกับเงื่อนไขที่โจทย์กำหนด
- ข้อ ค. (Carboplatin + Paclitaxel): ตัวเลือก Carboplatin + Paclitaxel ไม่ใช่คำตอบที่ถูกต้อง เนื่องจากมีกลไกทางเภสัชวิทยา ข้อบ่งใช้ หรือคุณสมบัติทางเภสัชเคมีที่ไม่ตรงกับเงื่อนไขที่โจทย์กำหนด
- ข้อ ง. (Osimertinib + Pemetrexed): ตัวเลือก Osimertinib + Pemetrexed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L68" t="inlineStr">
        <is>
          <t>Oncologic</t>
        </is>
      </c>
      <c r="M68" t="inlineStr">
        <is>
          <t>Clinic</t>
        </is>
      </c>
      <c r="N68" t="inlineStr">
        <is>
          <t>[TEST] Quick Ingestion</t>
        </is>
      </c>
      <c r="O68" t="inlineStr">
        <is>
          <t>Mock</t>
        </is>
      </c>
      <c r="P68" t="inlineStr">
        <is>
          <t>Mock RxCU83 ครั้งที่ 1</t>
        </is>
      </c>
      <c r="Q68" t="inlineStr">
        <is>
          <t>14. Oncologic</t>
        </is>
      </c>
      <c r="R68" t="inlineStr">
        <is>
          <t>CASE_CLN_M83_LUNG_C01_Q1</t>
        </is>
      </c>
    </row>
    <row r="69">
      <c r="A69" t="n">
        <v>67</v>
      </c>
      <c r="B69" t="inlineStr">
        <is>
          <t>ในผู้ป่วยที่ได้รับยาเคมีบำบัดหรือยาภูมิคุ้มกันบำบัดรักษาโรคมะเร็งปอด ควรเริ่มนัดติดตามอาการไม่พึงประสงค์และการตอบสนองเบื้องต้นของผู้ป่วยหลังเริ่มการรักษาเมื่อใด</t>
        </is>
      </c>
      <c r="D69" t="inlineStr">
        <is>
          <t>หลัง 1-2 สัปดาห์</t>
        </is>
      </c>
      <c r="E69" t="inlineStr">
        <is>
          <t>หลัง 1 เดือน</t>
        </is>
      </c>
      <c r="F69" t="inlineStr">
        <is>
          <t>หลัง 2 เดือน</t>
        </is>
      </c>
      <c r="G69" t="inlineStr">
        <is>
          <t>หลังสิ้นสุดการรักษาทั้งหมด</t>
        </is>
      </c>
      <c r="H69" t="inlineStr">
        <is>
          <t>ไม่จำเป็นต้องติดตาม</t>
        </is>
      </c>
      <c r="I69" t="n">
        <v>1</v>
      </c>
      <c r="J69" t="inlineStr">
        <is>
          <t>✅ คำตอบที่ถูกต้อง: ข้อ ก. หลัง 1-2 สัปดาห์
💡 Background: หลักการบริบาลทางเภสัชกรรมและการควบคุมคุณภาพในหมวด 14. Oncologic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(หลัง 1 เดือน): ตัวเลือก หลัง 1 เดือน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(หลัง 2 เดือน): ตัวเลือก หลัง 2 เดือน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(หลังสิ้นสุดการรักษาทั้งหมด): ตัวเลือก หลังสิ้นสุดการรักษาทั้งหมด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(ไม่จำเป็นต้องติดตาม): ตัวเลือก ไม่จำเป็นต้องติดตาม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L69" t="inlineStr">
        <is>
          <t>Oncologic</t>
        </is>
      </c>
      <c r="M69" t="inlineStr">
        <is>
          <t>Clinic</t>
        </is>
      </c>
      <c r="N69" t="inlineStr">
        <is>
          <t>[TEST] Quick Ingestion</t>
        </is>
      </c>
      <c r="O69" t="inlineStr">
        <is>
          <t>Mock</t>
        </is>
      </c>
      <c r="P69" t="inlineStr">
        <is>
          <t>Mock RxCU83 ครั้งที่ 1</t>
        </is>
      </c>
      <c r="Q69" t="inlineStr">
        <is>
          <t>14. Oncologic</t>
        </is>
      </c>
      <c r="R69" t="inlineStr">
        <is>
          <t>CASE_CLN_M83_LUNG_C01_Q2</t>
        </is>
      </c>
    </row>
    <row r="70">
      <c r="A70" t="n">
        <v>68</v>
      </c>
      <c r="B70" t="inlineStr">
        <is>
          <t>ข้อใดถูกต้องเกี่ยวกับอาการไม่พึงประสงค์ทางภูมิคุ้มกัน (immune-related adverse events: irAEs) จากการใช้ยากลุ่ม Immune checkpoint inhibitors</t>
        </is>
      </c>
      <c r="D70" t="inlineStr">
        <is>
          <t>ลำดับการเกิดคือ colitis &gt; endocrinepathy &gt; skin &gt; liver toxicity</t>
        </is>
      </c>
      <c r="E70" t="inlineStr">
        <is>
          <t>Endocrine toxicity คือการเกิด hypothyroidism ให้รักษาด้วย high-dose steroid เสมอ</t>
        </is>
      </c>
      <c r="F70" t="inlineStr">
        <is>
          <t>สามารถเกิดได้กับหลายอวัยวะ (ผิวหนัง ทางเดินอาหาร ตับ ต่อมไร้ท่อ ปอด) และเกิดขึ้นได้แม้จะหยุดยาไปแล้ว</t>
        </is>
      </c>
      <c r="G70" t="inlineStr">
        <is>
          <t>ไม่จำเป็นต้องหยุดยา และอาการสามารถหายได้เองเสมอโดยไม่ต้องใช้ยาคอร์ติโคสเตียรอยด์</t>
        </is>
      </c>
      <c r="H70" t="inlineStr">
        <is>
          <t>ผื่นทางผิวหนังจะเกิดเฉพาะกับผู้ป่วยที่มีผล EGFR mutation positive เท่านั้น</t>
        </is>
      </c>
      <c r="I70" t="n">
        <v>3</v>
      </c>
      <c r="J70" t="inlineStr">
        <is>
          <t>✅ คำตอบที่ถูกต้อง: ข้อ ค. สามารถเกิดได้กับหลายอวัยวะ (ผิวหนัง ทางเดินอาหาร ตับ ต่อมไร้ท่อ ปอด) และเกิดขึ้นได้แม้จะหยุดยาไปแล้ว
💡 Background: หลักการบริบาลทางเภสัชกรรมและการควบคุมคุณภาพในหมวด 14. Oncologic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(ลำดับการเกิดคือ colitis &gt; endocrinepathy &gt; skin &gt; ): ตัวเลือก ลำดับการเกิดคือ colitis &gt; endocrinepathy &gt; skin &gt; liver toxi ไม่ใช่คำตอบที่ถูกต้อง เนื่องจากมีกลไกทางเภสัชวิทยา ข้อบ่งใช้ หรือคุณสมบัติทางเภสัชเคมีที่ไม่ตรงกับเงื่อนไขที่โจทย์กำหนด
- ข้อ ข. (Endocrine toxicity คือการเกิด hypothyroidism ให้รั): ตัวเลือก Endocrine toxicity คือการเกิด hypothyroidism ให้รักษาด้วย hi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(ไม่จำเป็นต้องหยุดยา และอาการสามารถหายได้เองเสมอโดย): ตัวเลือก ไม่จำเป็นต้องหยุดยา และอาการสามารถหายได้เองเสมอโดยไม่ต้องใช้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(ผื่นทางผิวหนังจะเกิดเฉพาะกับผู้ป่วยที่มีผล EGFR mu): ตัวเลือก ผื่นทางผิวหนังจะเกิดเฉพาะกับผู้ป่วยที่มีผล EGFR mutation pos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L70" t="inlineStr">
        <is>
          <t>Oncologic</t>
        </is>
      </c>
      <c r="M70" t="inlineStr">
        <is>
          <t>Clinic</t>
        </is>
      </c>
      <c r="N70" t="inlineStr">
        <is>
          <t>[TEST] Quick Ingestion</t>
        </is>
      </c>
      <c r="O70" t="inlineStr">
        <is>
          <t>Mock</t>
        </is>
      </c>
      <c r="P70" t="inlineStr">
        <is>
          <t>Mock RxCU83 ครั้งที่ 1</t>
        </is>
      </c>
      <c r="Q70" t="inlineStr">
        <is>
          <t>14. Oncologic</t>
        </is>
      </c>
      <c r="R70" t="inlineStr">
        <is>
          <t>CASE_CLN_M83_LUNG_C01_Q3</t>
        </is>
      </c>
    </row>
    <row r="71">
      <c r="A71" t="n">
        <v>69</v>
      </c>
      <c r="B71" t="inlineStr">
        <is>
          <t>ยา Pembrolizumab ที่เลือกใช้ในผู้ป่วยรายนี้ มีกลไกการออกฤทธิ์เกี่ยวข้องกับ biomarker ใด</t>
        </is>
      </c>
      <c r="D71" t="inlineStr">
        <is>
          <t>จับกับ MHC class 1 เพิ่ม antigen presentation</t>
        </is>
      </c>
      <c r="E71" t="inlineStr">
        <is>
          <t>จับ CTLA-4 บน T cell เพิ่มการทำงานของ Treg</t>
        </is>
      </c>
      <c r="F71" t="inlineStr">
        <is>
          <t>จับ PD-L1 บน tumor cell เพิ่ม cytotoxic T lymphocyte</t>
        </is>
      </c>
      <c r="G71" t="inlineStr">
        <is>
          <t>จับกับ PD-1 receptor บน T cell ยับยั้งไม่ให้จับกับ PD-L1 ส่งผลให้ฟื้นคืนการทำงานของ T cell ในการกำจัดเซลล์มะเร็ง</t>
        </is>
      </c>
      <c r="H71" t="inlineStr">
        <is>
          <t>จับ EGFR เพื่อหยุดสัญญาณกระตุ้นการแบ่งตัวของเซลล์</t>
        </is>
      </c>
      <c r="I71" t="n">
        <v>4</v>
      </c>
      <c r="J71" t="inlineStr">
        <is>
          <t>✅ คำตอบที่ถูกต้อง: ข้อ ง. จับกับ PD-1 receptor บน T cell ยับยั้งไม่ให้จับกับ PD-L1 ส่งผลให้ฟื้นคืนการทำงานของ T cell ในการกำจัดเซลล์มะเร็ง
💡 Background: หลักการบริบาลทางเภสัชกรรมและการควบคุมคุณภาพในหมวด 14. Oncologic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(จับกับ MHC class 1 เพิ่ม antigen presentation): ตัวเลือก จับกับ MHC class 1 เพิ่ม antigen presentation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(จับ CTLA-4 บน T cell เพิ่มการทำงานของ Treg): ตัวเลือก จับ CTLA-4 บน T cell เพิ่มการทำงานของ Treg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(จับ PD-L1 บน tumor cell เพิ่ม cytotoxic T lymphocy): ตัวเลือก จับ PD-L1 บน tumor cell เพิ่ม cytotoxic T lymphocyte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(จับ EGFR เพื่อหยุดสัญญาณกระตุ้นการแบ่งตัวของเซลล์): ตัวเลือก จับ EGFR เพื่อหยุดสัญญาณกระตุ้นการแบ่งตัวของเซลล์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L71" t="inlineStr">
        <is>
          <t>Oncologic</t>
        </is>
      </c>
      <c r="M71" t="inlineStr">
        <is>
          <t>Clinic</t>
        </is>
      </c>
      <c r="N71" t="inlineStr">
        <is>
          <t>[TEST] Quick Ingestion</t>
        </is>
      </c>
      <c r="O71" t="inlineStr">
        <is>
          <t>Mock</t>
        </is>
      </c>
      <c r="P71" t="inlineStr">
        <is>
          <t>Mock RxCU83 ครั้งที่ 1</t>
        </is>
      </c>
      <c r="Q71" t="inlineStr">
        <is>
          <t>14. Oncologic</t>
        </is>
      </c>
      <c r="R71" t="inlineStr">
        <is>
          <t>CASE_CLN_M83_LUNG_C01_Q4</t>
        </is>
      </c>
    </row>
    <row r="72">
      <c r="A72" t="n">
        <v>70</v>
      </c>
      <c r="B72" t="inlineStr">
        <is>
          <t>ถ้าผลการตรวจเพิ่มเติมพบว่าผู้ป่วยรายนี้มี EGFR exon 19 deletion เป็นผลบวก (Positive) ควรปรับเปลี่ยนแผนการรักษาเป็นข้อใด</t>
        </is>
      </c>
      <c r="D72" t="inlineStr">
        <is>
          <t>รักษาตามเดิมด้วย Pembrolizumab monotherapy</t>
        </is>
      </c>
      <c r="E72" t="inlineStr">
        <is>
          <t>Pembrolizumab ร่วมกับเคมีบำบัด</t>
        </is>
      </c>
      <c r="F72" t="inlineStr">
        <is>
          <t>Cetuximab monotherapy</t>
        </is>
      </c>
      <c r="G72" t="inlineStr">
        <is>
          <t>Bevacizumab + carboplatin + paclitaxel</t>
        </is>
      </c>
      <c r="H72" t="inlineStr">
        <is>
          <t>EGFR tyrosine kinase inhibitor (EGFR-TKI เช่น Osimertinib)</t>
        </is>
      </c>
      <c r="I72" t="n">
        <v>5</v>
      </c>
      <c r="J72" t="inlineStr">
        <is>
          <t>✅ คำตอบที่ถูกต้อง: ข้อ จ. EGFR tyrosine kinase inhibitor (EGFR-TKI เช่น Osimertinib)
💡 Background: หลักการบริบาลทางเภสัชกรรมและการควบคุมคุณภาพในหมวด 14. Oncologic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(รักษาตามเดิมด้วย Pembrolizumab monotherapy): ตัวเลือก รักษาตามเดิมด้วย Pembrolizumab monotherapy ไม่ใช่คำตอบที่ถูกต้อง เนื่องจากมีกลไกทางเภสัชวิทยา ข้อบ่งใช้ หรือคุณสมบัติทางเภสัชเคมีที่ไม่ตรงกับเงื่อนไขที่โจทย์กำหนด
- ข้อ ข. (Pembrolizumab ร่วมกับเคมีบำบัด): ตัวเลือก Pembrolizumab ร่วมกับเคมีบำบัด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(Cetuximab monotherapy): ตัวเลือก Cetuximab monotherapy ไม่ใช่คำตอบที่ถูกต้อง เนื่องจากมีกลไกทางเภสัชวิทยา ข้อบ่งใช้ หรือคุณสมบัติทางเภสัชเคมีที่ไม่ตรงกับเงื่อนไขที่โจทย์กำหนด
- ข้อ ง. (Bevacizumab + carboplatin + paclitaxel): ตัวเลือก Bevacizumab + carboplatin + paclitaxel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L72" t="inlineStr">
        <is>
          <t>Oncologic</t>
        </is>
      </c>
      <c r="M72" t="inlineStr">
        <is>
          <t>Clinic</t>
        </is>
      </c>
      <c r="N72" t="inlineStr">
        <is>
          <t>[TEST] Quick Ingestion</t>
        </is>
      </c>
      <c r="O72" t="inlineStr">
        <is>
          <t>Mock</t>
        </is>
      </c>
      <c r="P72" t="inlineStr">
        <is>
          <t>Mock RxCU83 ครั้งที่ 1</t>
        </is>
      </c>
      <c r="Q72" t="inlineStr">
        <is>
          <t>14. Oncologic</t>
        </is>
      </c>
      <c r="R72" t="inlineStr">
        <is>
          <t>CASE_CLN_M83_LUNG_C01_Q5</t>
        </is>
      </c>
    </row>
    <row r="73">
      <c r="A73" t="n">
        <v>71</v>
      </c>
      <c r="B73" t="inlineStr">
        <is>
          <t>ลักษณะสำคัญของ Monoclonal antibody (mAb) ที่ทำให้ต้องเตรียมในรูปแบบยาฉีด (Injectable dosage form) เท่านั้น คือข้อใด</t>
        </is>
      </c>
      <c r="D73" t="inlineStr">
        <is>
          <t>ขนาดโมเลกุลเล็ก ดูดซึมผ่าน GI tract ได้ดี</t>
        </is>
      </c>
      <c r="E73" t="inlineStr">
        <is>
          <t>เป็นโปรตีนโมเลกุลใหญ่ ไวต่อเอนไซม์ protease และถูกทำลายในทางเดินอาหารเมื่อให้โดยการรับประทาน</t>
        </is>
      </c>
      <c r="F73" t="inlineStr">
        <is>
          <t>คงตัวสูงในสภาวะ pH ที่เป็นกรดของกระเพาะอาหาร</t>
        </is>
      </c>
      <c r="G73" t="inlineStr">
        <is>
          <t>ผ่าน hepatic first-pass metabolism ได้ดีมาก</t>
        </is>
      </c>
      <c r="H73" t="inlineStr">
        <is>
          <t>มีค่า Log P สูงมากจึงดูดซึมได้รวดเร็ว</t>
        </is>
      </c>
      <c r="I73" t="n">
        <v>2</v>
      </c>
      <c r="J73" t="inlineStr">
        <is>
          <t>✅ คำตอบที่ถูกต้อง: ข้อ ข. เป็นโปรตีนโมเลกุลใหญ่ ไวต่อเอนไซม์ protease และถูกทำลายในทางเดินอาหารเมื่อให้โดยการรับประทาน
💡 Background: หลักการบริบาลทางเภสัชกรรมและการควบคุมคุณภาพในหมวด 10. Biotech Products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(ขนาดโมเลกุลเล็ก ดูดซึมผ่าน GI tract ได้ดี): ตัวเลือก ขนาดโมเลกุลเล็ก ดูดซึมผ่าน GI tract ได้ดี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(คงตัวสูงในสภาวะ pH ที่เป็นกรดของกระเพาะอาหาร): ตัวเลือก คงตัวสูงในสภาวะ pH ที่เป็นกรดของกระเพาะอาหาร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(ผ่าน hepatic first-pass metabolism ได้ดีมาก): ตัวเลือก ผ่าน hepatic first-pass metabolism ได้ดีมาก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(มีค่า Log P สูงมากจึงดูดซึมได้รวดเร็ว): ตัวเลือก มีค่า Log P สูงมากจึงดูดซึมได้รวดเร็ว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10. Biotech Products อย่างแม่นยำก่อนสอบ</t>
        </is>
      </c>
      <c r="L73" t="inlineStr">
        <is>
          <t>Biotech Products</t>
        </is>
      </c>
      <c r="M73" t="inlineStr">
        <is>
          <t>Product</t>
        </is>
      </c>
      <c r="N73" t="inlineStr">
        <is>
          <t>[TEST] Quick Ingestion</t>
        </is>
      </c>
      <c r="O73" t="inlineStr">
        <is>
          <t>Mock</t>
        </is>
      </c>
      <c r="P73" t="inlineStr">
        <is>
          <t>Mock RxCU83 ครั้งที่ 1</t>
        </is>
      </c>
      <c r="Q73" t="inlineStr">
        <is>
          <t>10. Biotech Products</t>
        </is>
      </c>
      <c r="R73" t="inlineStr">
        <is>
          <t>CASE_PRD_M83_LUNG_C01_Q1</t>
        </is>
      </c>
    </row>
    <row r="74">
      <c r="A74" t="n">
        <v>72</v>
      </c>
      <c r="B74" t="inlineStr">
        <is>
          <t>ข้อใดส่งผลกระทบต่อความไม่คงตัวของ pembrolizumab ในรูปแบบสารละลายสำหรับยาฉีดมากที่สุดในระหว่างการเตรียมและการจัดเก็บ</t>
        </is>
      </c>
      <c r="D74" t="inlineStr">
        <is>
          <t>Hydrolysis ที่ตำแหน่ง ester bond</t>
        </is>
      </c>
      <c r="E74" t="inlineStr">
        <is>
          <t>Aggregation (การรวมกลุ่มของโปรตีน) เมื่อเกิดการเปลี่ยนแปลง pH หรือการเขย่าอย่างรุนแรง</t>
        </is>
      </c>
      <c r="F74" t="inlineStr">
        <is>
          <t>Oxidation ที่ sulfhydryl ของ excipient</t>
        </is>
      </c>
      <c r="G74" t="inlineStr">
        <is>
          <t>Crystallization เมื่ออุณหภูมิลดต่ำลง</t>
        </is>
      </c>
      <c r="H74" t="inlineStr">
        <is>
          <t>Racemization ที่ chiral center</t>
        </is>
      </c>
      <c r="I74" t="n">
        <v>2</v>
      </c>
      <c r="J74" t="inlineStr">
        <is>
          <t>✅ คำตอบที่ถูกต้อง: ข้อ ข. Aggregation (การรวมกลุ่มของโปรตีน) เมื่อเกิดการเปลี่ยนแปลง pH หรือการเขย่าอย่างรุนแรง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(Hydrolysis ที่ตำแหน่ง ester bond): ตัวเลือก Hydrolysis ที่ตำแหน่ง ester bond ไม่ใช่คำตอบที่ถูกต้อง เนื่องจากมีกลไกทางเภสัชวิทยา ข้อบ่งใช้ หรือคุณสมบัติทางเภสัชเคมีที่ไม่ตรงกับเงื่อนไขที่โจทย์กำหนด
- ข้อ ค. (Oxidation ที่ sulfhydryl ของ excipient): ตัวเลือก Oxidation ที่ sulfhydryl ของ excipient ไม่ใช่คำตอบที่ถูกต้อง เนื่องจากมีกลไกทางเภสัชวิทยา ข้อบ่งใช้ หรือคุณสมบัติทางเภสัชเคมีที่ไม่ตรงกับเงื่อนไขที่โจทย์กำหนด
- ข้อ ง. (Crystallization เมื่ออุณหภูมิลดต่ำลง): ตัวเลือก Crystallization เมื่ออุณหภูมิลดต่ำลง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(Racemization ที่ chiral center): ตัวเลือก Racemization ที่ chiral center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74" t="inlineStr">
        <is>
          <t>Biosimilars &amp; Quality Control</t>
        </is>
      </c>
      <c r="M74" t="inlineStr">
        <is>
          <t>Product</t>
        </is>
      </c>
      <c r="N74" t="inlineStr">
        <is>
          <t>[TEST] Quick Ingestion</t>
        </is>
      </c>
      <c r="O74" t="inlineStr">
        <is>
          <t>Mock</t>
        </is>
      </c>
      <c r="P74" t="inlineStr">
        <is>
          <t>Mock RxCU83 ครั้งที่ 1</t>
        </is>
      </c>
      <c r="Q74" t="inlineStr">
        <is>
          <t>1. Titrations</t>
        </is>
      </c>
      <c r="R74" t="inlineStr">
        <is>
          <t>CASE_PRD_M83_LUNG_C01_Q2</t>
        </is>
      </c>
    </row>
    <row r="75">
      <c r="A75" t="n">
        <v>73</v>
      </c>
      <c r="B75" t="inlineStr">
        <is>
          <t>ข้อใดเป็นสารช่วย (Excipients) ที่นิยมใช้ใน formulation ของยาฉีด monoclonal antibody เพื่อลดการเกิด aggregation และเพิ่ม stability ของโปรตีน</t>
        </is>
      </c>
      <c r="D75" t="inlineStr">
        <is>
          <t>Sorbitol</t>
        </is>
      </c>
      <c r="E75" t="inlineStr">
        <is>
          <t>Mannitol</t>
        </is>
      </c>
      <c r="F75" t="inlineStr">
        <is>
          <t>Polysorbate 80 (Surfactant)</t>
        </is>
      </c>
      <c r="G75" t="inlineStr">
        <is>
          <t>Sodium Chloride</t>
        </is>
      </c>
      <c r="H75" t="inlineStr">
        <is>
          <t>PEG 400</t>
        </is>
      </c>
      <c r="I75" t="n">
        <v>3</v>
      </c>
      <c r="J75" t="inlineStr">
        <is>
          <t>✅ คำตอบที่ถูกต้อง: ข้อ ค. Polysorbate 80 (Surfactant)
💡 Background: หลักการบริบาลทางเภสัชกรรมและการควบคุมคุณภาพในหมวด 6. Solid Dosage Forms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(Sorbitol): ตัวเลือก Sorbitol ไม่ใช่คำตอบที่ถูกต้อง เนื่องจากมีกลไกทางเภสัชวิทยา ข้อบ่งใช้ หรือคุณสมบัติทางเภสัชเคมีที่ไม่ตรงกับเงื่อนไขที่โจทย์กำหนด
- ข้อ ข. (Mannitol): ตัวเลือก Mannitol ไม่ใช่คำตอบที่ถูกต้อง เนื่องจากมีกลไกทางเภสัชวิทยา ข้อบ่งใช้ หรือคุณสมบัติทางเภสัชเคมีที่ไม่ตรงกับเงื่อนไขที่โจทย์กำหนด
- ข้อ ง. (Sodium Chloride): ตัวเลือก Sodium Chloride ไม่ใช่คำตอบที่ถูกต้อง เนื่องจากมีกลไกทางเภสัชวิทยา ข้อบ่งใช้ หรือคุณสมบัติทางเภสัชเคมีที่ไม่ตรงกับเงื่อนไขที่โจทย์กำหนด
- ข้อ จ. (PEG 400): ตัวเลือก PEG 400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75" t="inlineStr">
        <is>
          <t>Excipients classification</t>
        </is>
      </c>
      <c r="M75" t="inlineStr">
        <is>
          <t>Product</t>
        </is>
      </c>
      <c r="N75" t="inlineStr">
        <is>
          <t>[TEST] Quick Ingestion</t>
        </is>
      </c>
      <c r="O75" t="inlineStr">
        <is>
          <t>Mock</t>
        </is>
      </c>
      <c r="P75" t="inlineStr">
        <is>
          <t>Mock RxCU83 ครั้งที่ 1</t>
        </is>
      </c>
      <c r="Q75" t="inlineStr">
        <is>
          <t>6. Solid Dosage Forms</t>
        </is>
      </c>
      <c r="R75" t="inlineStr">
        <is>
          <t>CASE_PRD_M83_LUNG_C01_Q3</t>
        </is>
      </c>
    </row>
    <row r="76">
      <c r="A76" t="n">
        <v>74</v>
      </c>
      <c r="B76" t="inlineStr">
        <is>
          <t>ข้อใดเป็นเทคนิคที่เหมาะสมในการพิสูจน์ Chirality / อัตลักษณ์การหมุนระนาบแสงของวัตถุดิบยา Paclitaxel</t>
        </is>
      </c>
      <c r="D76" t="inlineStr">
        <is>
          <t>NIR (Near infrared spectroscopy)</t>
        </is>
      </c>
      <c r="E76" t="inlineStr">
        <is>
          <t>Karl Fischer titration</t>
        </is>
      </c>
      <c r="F76" t="inlineStr">
        <is>
          <t>Polarimeter (การวัด Optical rotation)</t>
        </is>
      </c>
      <c r="G76" t="inlineStr">
        <is>
          <t>Refractometer</t>
        </is>
      </c>
      <c r="H76" t="inlineStr">
        <is>
          <t>Mass spectrometry</t>
        </is>
      </c>
      <c r="I76" t="n">
        <v>3</v>
      </c>
      <c r="J76" t="inlineStr">
        <is>
          <t>✅ คำตอบที่ถูกต้อง: ข้อ ค. Polarimeter (การวัด Optical rotation)
💡 Background: หลักการบริบาลทางเภสัชกรรมและการควบคุมคุณภาพในหมวด 1. Titrations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(NIR (Near infrared spectroscopy)): ตัวเลือก NIR (Near infrared spectroscopy) ไม่ใช่คำตอบที่ถูกต้อง เนื่องจากมีกลไกทางเภสัชวิทยา ข้อบ่งใช้ หรือคุณสมบัติทางเภสัชเคมีที่ไม่ตรงกับเงื่อนไขที่โจทย์กำหนด
- ข้อ ข. (Karl Fischer titration): ตัวเลือก Karl Fischer titration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ง. (Refractometer): ตัวเลือก Refractometer ไม่ใช่คำตอบที่ถูกต้อง เนื่องจากมีกลไกทางเภสัชวิทยา ข้อบ่งใช้ หรือคุณสมบัติทางเภสัชเคมีที่ไม่ตรงกับเงื่อนไขที่โจทย์กำหนด
- ข้อ จ. (Mass spectrometry): ตัวเลือก Mass spectrometry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76" t="inlineStr">
        <is>
          <t>Polarimetry</t>
        </is>
      </c>
      <c r="M76" t="inlineStr">
        <is>
          <t>Product</t>
        </is>
      </c>
      <c r="N76" t="inlineStr">
        <is>
          <t>[TEST] Quick Ingestion</t>
        </is>
      </c>
      <c r="O76" t="inlineStr">
        <is>
          <t>Mock</t>
        </is>
      </c>
      <c r="P76" t="inlineStr">
        <is>
          <t>Mock RxCU83 ครั้งที่ 1</t>
        </is>
      </c>
      <c r="Q76" t="inlineStr">
        <is>
          <t>1. Titrations</t>
        </is>
      </c>
      <c r="R76" t="inlineStr">
        <is>
          <t>CASE_PRD_M83_LUNG_C01_Q4</t>
        </is>
      </c>
    </row>
    <row r="77">
      <c r="A77" t="n">
        <v>75</v>
      </c>
      <c r="B77" t="inlineStr">
        <is>
          <t>เหตุผลหลักในการตรวจวิเคราะห์ Bacterial Endotoxin Test (BET) ในยาฉีด Paclitaxel injection คือข้อใด</t>
        </is>
      </c>
      <c r="D77" t="inlineStr">
        <is>
          <t>เพื่อให้มั่นใจว่าไม่มีเชื้อราเจริญเติบโตในยา</t>
        </is>
      </c>
      <c r="E77" t="inlineStr">
        <is>
          <t>เพื่อป้องกันการเกิดปฏิกิริยาไข้ (Pyrogenic reaction / Endotoxin shock) ในผู้ป่วย</t>
        </is>
      </c>
      <c r="F77" t="inlineStr">
        <is>
          <t>เพื่อวัดความเข้มข้นของสารกันเสีย</t>
        </is>
      </c>
      <c r="G77" t="inlineStr">
        <is>
          <t>เพื่อประเมินความคงตัวของยาที่อุณหภูมิสูง</t>
        </is>
      </c>
      <c r="H77" t="inlineStr">
        <is>
          <t>เพื่อวัดความแรงในการออกฤทธิ์ต้านมะเร็ง</t>
        </is>
      </c>
      <c r="I77" t="n">
        <v>2</v>
      </c>
      <c r="J77" t="inlineStr">
        <is>
          <t>✅ คำตอบที่ถูกต้อง: ข้อ ข. เพื่อป้องกันการเกิดปฏิกิริยาไข้ (Pyrogenic reaction / Endotoxin shock) ในผู้ป่วย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(เพื่อให้มั่นใจว่าไม่มีเชื้อราเจริญเติบโตในยา): ตัวเลือก เพื่อให้มั่นใจว่าไม่มีเชื้อราเจริญเติบโตในยา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(เพื่อวัดความเข้มข้นของสารกันเสีย): ตัวเลือก เพื่อวัดความเข้มข้นของสารกันเสีย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(เพื่อประเมินความคงตัวของยาที่อุณหภูมิสูง): ตัวเลือก เพื่อประเมินความคงตัวของยาที่อุณหภูมิสูง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(เพื่อวัดความแรงในการออกฤทธิ์ต้านมะเร็ง): ตัวเลือก เพื่อวัดความแรงในการออกฤทธิ์ต้านมะเร็ง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77" t="inlineStr">
        <is>
          <t>Sterility &amp; Pyrogen testing</t>
        </is>
      </c>
      <c r="M77" t="inlineStr">
        <is>
          <t>Product</t>
        </is>
      </c>
      <c r="N77" t="inlineStr">
        <is>
          <t>[TEST] Quick Ingestion</t>
        </is>
      </c>
      <c r="O77" t="inlineStr">
        <is>
          <t>Mock</t>
        </is>
      </c>
      <c r="P77" t="inlineStr">
        <is>
          <t>Mock RxCU83 ครั้งที่ 1</t>
        </is>
      </c>
      <c r="Q77" t="inlineStr">
        <is>
          <t>1. Titrations</t>
        </is>
      </c>
      <c r="R77" t="inlineStr">
        <is>
          <t>CASE_PRD_M83_LUNG_C01_Q5</t>
        </is>
      </c>
    </row>
    <row r="78">
      <c r="A78" t="n">
        <v>76</v>
      </c>
      <c r="B78" t="inlineStr">
        <is>
          <t>ข้อใดเป็นกลไกการออกฤทธิ์ของยา Anti-PD-1 ในการรักษาโรคมะเร็งปอดชนิดเซลล์ไม่เล็ก (NSCLC)</t>
        </is>
      </c>
      <c r="D78" t="inlineStr">
        <is>
          <t>จับกับ PD-L1 บนเซลล์มะเร็งโดยตรง</t>
        </is>
      </c>
      <c r="E78" t="inlineStr">
        <is>
          <t>จับกับ PD-1 receptor บน T cell เพื่อปลดล็อกการกดภูมิคุ้มกัน</t>
        </is>
      </c>
      <c r="F78" t="inlineStr">
        <is>
          <t>กระตุ้นให้เซลล์มะเร็งสร้าง antigen มากขึ้น</t>
        </is>
      </c>
      <c r="G78" t="inlineStr">
        <is>
          <t>จับกับ CTLA-4 บนผิวเซลล์เม็ดเลือดขาว</t>
        </is>
      </c>
      <c r="H78" t="inlineStr">
        <is>
          <t>จับกับ cytoplasmic tyrosine kinase domain</t>
        </is>
      </c>
      <c r="I78" t="n">
        <v>2</v>
      </c>
      <c r="J78" t="inlineStr">
        <is>
          <t>✅ คำตอบที่ถูกต้อง: ข้อ ข. จับกับ PD-1 receptor บน T cell เพื่อปลดล็อกการกดภูมิคุ้มกัน
💡 Background: หลักการบริบาลทางเภสัชกรรมและการควบคุมคุณภาพในหมวด 14. Oncologic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(จับกับ PD-L1 บนเซลล์มะเร็งโดยตรง): ตัวเลือก จับกับ PD-L1 บนเซลล์มะเร็งโดยตรง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(กระตุ้นให้เซลล์มะเร็งสร้าง antigen มากขึ้น): ตัวเลือก กระตุ้นให้เซลล์มะเร็งสร้าง antigen มากขึ้น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(จับกับ CTLA-4 บนผิวเซลล์เม็ดเลือดขาว): ตัวเลือก จับกับ CTLA-4 บนผิวเซลล์เม็ดเลือดขาว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(จับกับ cytoplasmic tyrosine kinase domain): ตัวเลือก จับกับ cytoplasmic tyrosine kinase domain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L78" t="inlineStr">
        <is>
          <t>Oncologic</t>
        </is>
      </c>
      <c r="M78" t="inlineStr">
        <is>
          <t>Clinic</t>
        </is>
      </c>
      <c r="N78" t="inlineStr">
        <is>
          <t>[TEST] Quick Ingestion</t>
        </is>
      </c>
      <c r="O78" t="inlineStr">
        <is>
          <t>Mock</t>
        </is>
      </c>
      <c r="P78" t="inlineStr">
        <is>
          <t>Mock RxCU83 ครั้งที่ 1</t>
        </is>
      </c>
      <c r="Q78" t="inlineStr">
        <is>
          <t>14. Oncologic</t>
        </is>
      </c>
      <c r="R78" t="inlineStr">
        <is>
          <t>CASE_CLN_M83_LUNG_C02_Q1</t>
        </is>
      </c>
    </row>
    <row r="79">
      <c r="A79" t="n">
        <v>77</v>
      </c>
      <c r="B79" t="inlineStr">
        <is>
          <t>ในการใช้ยา Immune checkpoint inhibitor (ICI) สำหรับ NSCLC ข้อใดเป็นตัวบ่งชี้ทางชีวภาพ (Biomarker) หลักที่บ่งบอกว่าผู้ป่วยมีโอกาสตอบสนองต่อการรักษาได้ดี</t>
        </is>
      </c>
      <c r="D79" t="inlineStr">
        <is>
          <t>CEA (Carcinoembryonic antigen) สูง</t>
        </is>
      </c>
      <c r="E79" t="inlineStr">
        <is>
          <t>TPS ของ PD-L1 (Tumor Proportion Score ≥ 50%)</t>
        </is>
      </c>
      <c r="F79" t="inlineStr">
        <is>
          <t>TMB ต่ำ (Low Tumor Mutational Burden)</t>
        </is>
      </c>
      <c r="G79" t="inlineStr">
        <is>
          <t>LDH ในเลือดสูง</t>
        </is>
      </c>
      <c r="H79" t="inlineStr">
        <is>
          <t>EGFR exon 19 deletion เป็นบวก</t>
        </is>
      </c>
      <c r="I79" t="n">
        <v>2</v>
      </c>
      <c r="J79" t="inlineStr">
        <is>
          <t>✅ คำตอบที่ถูกต้อง: ข้อ ข. TPS ของ PD-L1 (Tumor Proportion Score ≥ 50%)
💡 Background: หลักการบริบาลทางเภสัชกรรมและการควบคุมคุณภาพในหมวด 14. Oncologic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(CEA (Carcinoembryonic antigen) สูง): ตัวเลือก CEA (Carcinoembryonic antigen) สูง ไม่ใช่คำตอบที่ถูกต้อง เนื่องจากมีกลไกทางเภสัชวิทยา ข้อบ่งใช้ หรือคุณสมบัติทางเภสัชเคมีที่ไม่ตรงกับเงื่อนไขที่โจทย์กำหนด
- ข้อ ค. (TMB ต่ำ (Low Tumor Mutational Burden)): ตัวเลือก TMB ต่ำ (Low Tumor Mutational Burden) ไม่ใช่คำตอบที่ถูกต้อง เนื่องจากมีกลไกทางเภสัชวิทยา ข้อบ่งใช้ หรือคุณสมบัติทางเภสัชเคมีที่ไม่ตรงกับเงื่อนไขที่โจทย์กำหนด
- ข้อ ง. (LDH ในเลือดสูง): ตัวเลือก LDH ในเลือดสูง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(EGFR exon 19 deletion เป็นบวก): ตัวเลือก EGFR exon 19 deletion เป็นบวก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L79" t="inlineStr">
        <is>
          <t>Oncologic</t>
        </is>
      </c>
      <c r="M79" t="inlineStr">
        <is>
          <t>Clinic</t>
        </is>
      </c>
      <c r="N79" t="inlineStr">
        <is>
          <t>[TEST] Quick Ingestion</t>
        </is>
      </c>
      <c r="O79" t="inlineStr">
        <is>
          <t>Mock</t>
        </is>
      </c>
      <c r="P79" t="inlineStr">
        <is>
          <t>Mock RxCU83 ครั้งที่ 1</t>
        </is>
      </c>
      <c r="Q79" t="inlineStr">
        <is>
          <t>14. Oncologic</t>
        </is>
      </c>
      <c r="R79" t="inlineStr">
        <is>
          <t>CASE_CLN_M83_LUNG_C02_Q2</t>
        </is>
      </c>
    </row>
    <row r="80">
      <c r="A80" t="n">
        <v>78</v>
      </c>
      <c r="B80" t="inlineStr">
        <is>
          <t>ข้อใดเป็นกระบวนการที่เกี่ยวข้องกับ Upstream process ของการผลิตยาชีววัตถุ เช่น Monoclonal antibody</t>
        </is>
      </c>
      <c r="D80" t="inlineStr">
        <is>
          <t>การเตรียมสูตรตำรับ (formulation) และบรรจุปราศจากเชื้อ</t>
        </is>
      </c>
      <c r="E80" t="inlineStr">
        <is>
          <t>การทำให้บริสุทธิ์ด้วย affinity chromatography</t>
        </is>
      </c>
      <c r="F80" t="inlineStr">
        <is>
          <t>การเพาะเลี้ยงเซลล์และหมักเชื้อภายใน bioreactor เพื่อผลิตโปรตีน</t>
        </is>
      </c>
      <c r="G80" t="inlineStr">
        <is>
          <t>การทดสอบความคงตัวของผลิตภัณฑ์หลังบรรจุ</t>
        </is>
      </c>
      <c r="H80" t="inlineStr">
        <is>
          <t>การกรองเพื่อความบริสุทธิ์ (Ultrafiltration / Diafiltration)</t>
        </is>
      </c>
      <c r="I80" t="n">
        <v>3</v>
      </c>
      <c r="J80" t="inlineStr">
        <is>
          <t>✅ คำตอบที่ถูกต้อง: ข้อ ค. การเพาะเลี้ยงเซลล์และหมักเชื้อภายใน bioreactor เพื่อผลิตโปรตีน
💡 Background: หลักการบริบาลทางเภสัชกรรมและการควบคุมคุณภาพในหมวด 10. Biotech Products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(การเตรียมสูตรตำรับ (formulation) และบรรจุปราศจากเช): ตัวเลือก การเตรียมสูตรตำรับ (formulation) และบรรจุปราศจากเชื้อ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(การทำให้บริสุทธิ์ด้วย affinity chromatography): ตัวเลือก การทำให้บริสุทธิ์ด้วย affinity chromatography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(การทดสอบความคงตัวของผลิตภัณฑ์หลังบรรจุ): ตัวเลือก การทดสอบความคงตัวของผลิตภัณฑ์หลังบรรจุ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(การกรองเพื่อความบริสุทธิ์ (Ultrafiltration / Diafi): ตัวเลือก การกรองเพื่อความบริสุทธิ์ (Ultrafiltration / Diafiltration)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10. Biotech Products อย่างแม่นยำก่อนสอบ</t>
        </is>
      </c>
      <c r="L80" t="inlineStr">
        <is>
          <t>Cell culture &amp; fermentation</t>
        </is>
      </c>
      <c r="M80" t="inlineStr">
        <is>
          <t>Product</t>
        </is>
      </c>
      <c r="N80" t="inlineStr">
        <is>
          <t>[TEST] Quick Ingestion</t>
        </is>
      </c>
      <c r="O80" t="inlineStr">
        <is>
          <t>Mock</t>
        </is>
      </c>
      <c r="P80" t="inlineStr">
        <is>
          <t>Mock RxCU83 ครั้งที่ 1</t>
        </is>
      </c>
      <c r="Q80" t="inlineStr">
        <is>
          <t>10. Biotech Products</t>
        </is>
      </c>
      <c r="R80" t="inlineStr">
        <is>
          <t>CASE_PRD_M83_LUNG_C01_Q6</t>
        </is>
      </c>
    </row>
    <row r="81">
      <c r="A81" t="n">
        <v>79</v>
      </c>
      <c r="B81" t="inlineStr">
        <is>
          <t>ในการเพาะเลี้ยงเซลล์เพื่อผลิต mAb ใน Bioreactor ปัจจัยวิกฤตใดที่ต้องควบคุมอย่างเคร่งครัดเพื่อให้เซลล์เจริญเติบโตได้ดีและสังเคราะห์โปรตีนได้อย่างมีประสิทธิภาพ</t>
        </is>
      </c>
      <c r="D81" t="inlineStr">
        <is>
          <t>ควบคุม pH, อุณหภูมิ (Temperature) และระดับออกซิเจนละลาย (Dissolved O2)</t>
        </is>
      </c>
      <c r="E81" t="inlineStr">
        <is>
          <t>ใส่ตัวทำละลายอินทรีย์เพื่อเร่งให้โปรตีนพับตัว</t>
        </is>
      </c>
      <c r="F81" t="inlineStr">
        <is>
          <t>ใส่ reducing agent ความเข้มข้นสูงเพื่อป้องกันพันธะไดซัลไฟด์</t>
        </is>
      </c>
      <c r="G81" t="inlineStr">
        <is>
          <t>สเตอไรล์ด้วยการฉายแสงยูวีตลอดเวลาของการเพาะเลี้ยง</t>
        </is>
      </c>
      <c r="H81" t="inlineStr">
        <is>
          <t>ใส่เอนไซม์ protease เพื่อย่อยสลายโปรตีนที่พับตัวผิดรูป</t>
        </is>
      </c>
      <c r="I81" t="n">
        <v>1</v>
      </c>
      <c r="J81" t="inlineStr">
        <is>
          <t>✅ คำตอบที่ถูกต้อง: ข้อ ก. ควบคุม pH, อุณหภูมิ (Temperature) และระดับออกซิเจนละลาย (Dissolved O2)
💡 Background: หลักการบริบาลทางเภสัชกรรมและการควบคุมคุณภาพในหมวด 10. Biotech Products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(ใส่ตัวทำละลายอินทรีย์เพื่อเร่งให้โปรตีนพับตัว): ตัวเลือก ใส่ตัวทำละลายอินทรีย์เพื่อเร่งให้โปรตีนพับตัว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(ใส่ reducing agent ความเข้มข้นสูงเพื่อป้องกันพันธะ): ตัวเลือก ใส่ reducing agent ความเข้มข้นสูงเพื่อป้องกันพันธะไดซัลไฟด์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(สเตอไรล์ด้วยการฉายแสงยูวีตลอดเวลาของการเพาะเลี้ยง): ตัวเลือก สเตอไรล์ด้วยการฉายแสงยูวีตลอดเวลาของการเพาะเลี้ยง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(ใส่เอนไซม์ protease เพื่อย่อยสลายโปรตีนที่พับตัวผิ): ตัวเลือก ใส่เอนไซม์ protease เพื่อย่อยสลายโปรตีนที่พับตัวผิดรูป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10. Biotech Products อย่างแม่นยำก่อนสอบ</t>
        </is>
      </c>
      <c r="L81" t="inlineStr">
        <is>
          <t>Cell culture &amp; fermentation</t>
        </is>
      </c>
      <c r="M81" t="inlineStr">
        <is>
          <t>Product</t>
        </is>
      </c>
      <c r="N81" t="inlineStr">
        <is>
          <t>[TEST] Quick Ingestion</t>
        </is>
      </c>
      <c r="O81" t="inlineStr">
        <is>
          <t>Mock</t>
        </is>
      </c>
      <c r="P81" t="inlineStr">
        <is>
          <t>Mock RxCU83 ครั้งที่ 1</t>
        </is>
      </c>
      <c r="Q81" t="inlineStr">
        <is>
          <t>10. Biotech Products</t>
        </is>
      </c>
      <c r="R81" t="inlineStr">
        <is>
          <t>CASE_PRD_M83_LUNG_C01_Q7</t>
        </is>
      </c>
    </row>
    <row r="82">
      <c r="A82" t="n">
        <v>80</v>
      </c>
      <c r="B82" t="inlineStr">
        <is>
          <t>การกลายพันธุ์แบบ Exon 19 deletion บนยีน EGFR ในผู้ป่วย NSCLC ส่งผลต่อกลไกการทำงานของเอนไซม์และยา EGFR-TKI อย่างไร</t>
        </is>
      </c>
      <c r="D82" t="inlineStr">
        <is>
          <t>ทำให้ EGFR kinase domain เกิด Constitutive activation และเพิ่มความไวในการจับกับยา EGFR-TKI</t>
        </is>
      </c>
      <c r="E82" t="inlineStr">
        <is>
          <t>ยับยั้งการแสดงออกของยีนต้านการตายของเซลล์ BCL-2</t>
        </is>
      </c>
      <c r="F82" t="inlineStr">
        <is>
          <t>เพิ่มการจับของ Ligand ภายนอกเซลล์</t>
        </is>
      </c>
      <c r="G82" t="inlineStr">
        <is>
          <t>ลดการเคลื่อนตัวของตัวรับเข้าสู่เซลล์เพื่อทำลาย</t>
        </is>
      </c>
      <c r="H82" t="inlineStr">
        <is>
          <t>ยับยั้งการรวมตัวแบบ Heterodimer กับ HER2</t>
        </is>
      </c>
      <c r="I82" t="n">
        <v>1</v>
      </c>
      <c r="J82" t="inlineStr">
        <is>
          <t>✅ คำตอบที่ถูกต้อง: ข้อ ก. ทำให้ EGFR kinase domain เกิด Constitutive activation และเพิ่มความไวในการจับกับยา EGFR-TKI
💡 Background: หลักการบริบาลทางเภสัชกรรมและการควบคุมคุณภาพในหมวด 14. Oncologic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(ยับยั้งการแสดงออกของยีนต้านการตายของเซลล์ BCL-2): ตัวเลือก ยับยั้งการแสดงออกของยีนต้านการตายของเซลล์ BCL-2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(เพิ่มการจับของ Ligand ภายนอกเซลล์): ตัวเลือก เพิ่มการจับของ Ligand ภายนอกเซลล์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(ลดการเคลื่อนตัวของตัวรับเข้าสู่เซลล์เพื่อทำลาย): ตัวเลือก ลดการเคลื่อนตัวของตัวรับเข้าสู่เซลล์เพื่อทำลาย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(ยับยั้งการรวมตัวแบบ Heterodimer กับ HER2): ตัวเลือก ยับยั้งการรวมตัวแบบ Heterodimer กับ HER2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L82" t="inlineStr">
        <is>
          <t>Oncologic</t>
        </is>
      </c>
      <c r="M82" t="inlineStr">
        <is>
          <t>Clinic</t>
        </is>
      </c>
      <c r="N82" t="inlineStr">
        <is>
          <t>[TEST] Quick Ingestion</t>
        </is>
      </c>
      <c r="O82" t="inlineStr">
        <is>
          <t>Mock</t>
        </is>
      </c>
      <c r="P82" t="inlineStr">
        <is>
          <t>Mock RxCU83 ครั้งที่ 1</t>
        </is>
      </c>
      <c r="Q82" t="inlineStr">
        <is>
          <t>14. Oncologic</t>
        </is>
      </c>
      <c r="R82" t="inlineStr">
        <is>
          <t>CASE_CLN_M83_LUNG_C02_Q3</t>
        </is>
      </c>
    </row>
    <row r="83">
      <c r="A83" t="n">
        <v>81</v>
      </c>
      <c r="B83" t="inlineStr">
        <is>
          <t>การกลายพันธุ์แบบ T790M ของ EGFR ในผู้ป่วย NSCLC ทำให้ผู้ป่วยดื้อต่อยา Gefitinib และ Erlotinib กลไกเกิดจากอะไร</t>
        </is>
      </c>
      <c r="D83" t="inlineStr">
        <is>
          <t>เพิ่มความสามารถในการจับกับ ATP ที่ kinase domain และเกิด steric hindrance ขัดขวางการจับของยา</t>
        </is>
      </c>
      <c r="E83" t="inlineStr">
        <is>
          <t>เพิ่ม Stearic hindrance ทำให้ไม่จับ ATP ที่ binding pocket</t>
        </is>
      </c>
      <c r="F83" t="inlineStr">
        <is>
          <t>ยับยั้งการรวมตัวของตัวรับที่ผิวเซลล์</t>
        </is>
      </c>
      <c r="G83" t="inlineStr">
        <is>
          <t>เพิ่มการขับยาออกนอกเซลล์ผ่าน P-gp</t>
        </is>
      </c>
      <c r="H83" t="inlineStr">
        <is>
          <t>เปลี่ยนแปลง phosphorylation site</t>
        </is>
      </c>
      <c r="I83" t="n">
        <v>1</v>
      </c>
      <c r="J83" t="inlineStr">
        <is>
          <t>✅ คำตอบที่ถูกต้อง: ข้อ ก. เพิ่มความสามารถในการจับกับ ATP ที่ kinase domain และเกิด steric hindrance ขัดขวางการจับของยา
💡 Background: หลักการบริบาลทางเภสัชกรรมและการควบคุมคุณภาพในหมวด 14. Oncologic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(เพิ่ม Stearic hindrance ทำให้ไม่จับ ATP ที่ bindin): ตัวเลือก เพิ่ม Stearic hindrance ทำให้ไม่จับ ATP ที่ binding pocket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(ยับยั้งการรวมตัวของตัวรับที่ผิวเซลล์): ตัวเลือก ยับยั้งการรวมตัวของตัวรับที่ผิวเซลล์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(เพิ่มการขับยาออกนอกเซลล์ผ่าน P-gp): ตัวเลือก เพิ่มการขับยาออกนอกเซลล์ผ่าน P-gp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(เปลี่ยนแปลง phosphorylation site): ตัวเลือก เปลี่ยนแปลง phosphorylation site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14. Oncologic อย่างแม่นยำก่อนสอบ</t>
        </is>
      </c>
      <c r="L83" t="inlineStr">
        <is>
          <t>Oncologic</t>
        </is>
      </c>
      <c r="M83" t="inlineStr">
        <is>
          <t>Clinic</t>
        </is>
      </c>
      <c r="N83" t="inlineStr">
        <is>
          <t>[TEST] Quick Ingestion</t>
        </is>
      </c>
      <c r="O83" t="inlineStr">
        <is>
          <t>Mock</t>
        </is>
      </c>
      <c r="P83" t="inlineStr">
        <is>
          <t>Mock RxCU83 ครั้งที่ 1</t>
        </is>
      </c>
      <c r="Q83" t="inlineStr">
        <is>
          <t>14. Oncologic</t>
        </is>
      </c>
      <c r="R83" t="inlineStr">
        <is>
          <t>CASE_CLN_M83_LUNG_C02_Q4</t>
        </is>
      </c>
    </row>
    <row r="84">
      <c r="A84" t="n">
        <v>82</v>
      </c>
      <c r="B84" t="inlineStr">
        <is>
          <t>ข้อใดคือลักษณะที่ถูกต้องของยาชีววัตถุคล้ายคลึง (Biosimilar) เปรียบเทียบกับยาชีววัตถุอ้างอิง (Reference biological drug)</t>
        </is>
      </c>
      <c r="D84" t="inlineStr">
        <is>
          <t>มีโครงสร้างเหมือนกันทุกประการ 100%</t>
        </is>
      </c>
      <c r="E84" t="inlineStr">
        <is>
          <t>ต้องแสดงข้อมูลความคล้ายคลึง (Biosimilarity) ด้านคุณภาพ ความปลอดภัย และประสิทธิภาพ (Quality, safety, efficacy)</t>
        </is>
      </c>
      <c r="F84" t="inlineStr">
        <is>
          <t>ไม่ต้องทำการทดสอบทางคลินิก (clinical trials)</t>
        </is>
      </c>
      <c r="G84" t="inlineStr">
        <is>
          <t>ไม่ต้องแสดงข้อมูล Immunogenicity เพราะถือว่าโครงสร้างเหมือนกัน</t>
        </is>
      </c>
      <c r="H84" t="inlineStr">
        <is>
          <t>ถือว่าเป็นยาชื่อสามัญ (Generic drug) ทั่วไป</t>
        </is>
      </c>
      <c r="I84" t="n">
        <v>2</v>
      </c>
      <c r="J84" t="inlineStr">
        <is>
          <t>✅ คำตอบที่ถูกต้อง: ข้อ ข. ต้องแสดงข้อมูลความคล้ายคลึง (Biosimilarity) ด้านคุณภาพ ความปลอดภัย และประสิทธิภาพ (Quality, safety, efficacy)
💡 Background: หลักการบริบาลทางเภสัชกรรมและการควบคุมคุณภาพในหมวด 10. Biotech Products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(มีโครงสร้างเหมือนกันทุกประการ 100%): ตัวเลือก มีโครงสร้างเหมือนกันทุกประการ 100%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(ไม่ต้องทำการทดสอบทางคลินิก (clinical trials)): ตัวเลือก ไม่ต้องทำการทดสอบทางคลินิก (clinical trials)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(ไม่ต้องแสดงข้อมูล Immunogenicity เพราะถือว่าโครงสร): ตัวเลือก ไม่ต้องแสดงข้อมูล Immunogenicity เพราะถือว่าโครงสร้างเหมือนก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(ถือว่าเป็นยาชื่อสามัญ (Generic drug) ทั่วไป): ตัวเลือก ถือว่าเป็นยาชื่อสามัญ (Generic drug) ทั่วไป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10. Biotech Products อย่างแม่นยำก่อนสอบ</t>
        </is>
      </c>
      <c r="L84" t="inlineStr">
        <is>
          <t>Biosimilars &amp; Quality Control</t>
        </is>
      </c>
      <c r="M84" t="inlineStr">
        <is>
          <t>Product</t>
        </is>
      </c>
      <c r="N84" t="inlineStr">
        <is>
          <t>[TEST] Quick Ingestion</t>
        </is>
      </c>
      <c r="O84" t="inlineStr">
        <is>
          <t>Mock</t>
        </is>
      </c>
      <c r="P84" t="inlineStr">
        <is>
          <t>Mock RxCU83 ครั้งที่ 1</t>
        </is>
      </c>
      <c r="Q84" t="inlineStr">
        <is>
          <t>10. Biotech Products</t>
        </is>
      </c>
      <c r="R84" t="inlineStr">
        <is>
          <t>CASE_PRD_M83_LUNG_C01_Q8</t>
        </is>
      </c>
    </row>
    <row r="85">
      <c r="A85" t="n">
        <v>83</v>
      </c>
      <c r="B85"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CI: 0.50–0.85) ข้อใดกล่าวถูกต้อง</t>
        </is>
      </c>
      <c r="D85" t="inlineStr">
        <is>
          <t>B ลดความเสี่ยงการเสียชีวิต (Death risk) ได้ 35% เมื่อเทียบกับ A</t>
        </is>
      </c>
      <c r="E85" t="inlineStr">
        <is>
          <t>HR ใกล้เคียง 1 หมายความว่าไม่มีความแตกต่างอย่างมีนัยสำคัญ</t>
        </is>
      </c>
      <c r="F85" t="inlineStr">
        <is>
          <t>Median OS ของ A แปลว่าคนไข้ที่ใช้ A มีมัธยฐานอัตราการรอดชีวิต 28%</t>
        </is>
      </c>
      <c r="G85" t="inlineStr">
        <is>
          <t>A ลดความเสี่ยงการเสียชีวิตได้ 65% เมื่อเทียบกับ B</t>
        </is>
      </c>
      <c r="H85" t="inlineStr">
        <is>
          <t>Median OS ของ B มากกว่า 18 เดือนแต่ไม่มีนัยสำคัญทางสถิติ</t>
        </is>
      </c>
      <c r="I85" t="n">
        <v>1</v>
      </c>
      <c r="J85" t="inlineStr">
        <is>
          <t>✅ คำตอบที่ถูกต้อง: ข้อ ก. B ลดความเสี่ยงการเสียชีวิต (Death risk) ได้ 35% เมื่อเทียบกับ A
💡 Background: หลักการบริบาลทางเภสัชกรรมและการควบคุมคุณภาพในหมวด 2. Pharmacy Administration &amp; Sy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(HR ใกล้เคียง 1 หมายความว่าไม่มีความแตกต่างอย่างมีน): ตัวเลือก HR ใกล้เคียง 1 หมายความว่าไม่มีความแตกต่างอย่างมีนัยสำคัญ ไม่ใช่คำตอบที่ถูกต้อง เนื่องจากมีกลไกทางเภสัชวิทยา ข้อบ่งใช้ หรือคุณสมบัติทางเภสัชเคมีที่ไม่ตรงกับเงื่อนไขที่โจทย์กำหนด
- ข้อ ค. (Median OS ของ A แปลว่าคนไข้ที่ใช้ A มีมัธยฐานอัตรา): ตัวเลือก Median OS ของ A แปลว่าคนไข้ที่ใช้ A มีมัธยฐานอัตราการรอดชีวิ ไม่ใช่คำตอบที่ถูกต้อง เนื่องจากมีกลไกทางเภสัชวิทยา ข้อบ่งใช้ หรือคุณสมบัติทางเภสัชเคมีที่ไม่ตรงกับเงื่อนไขที่โจทย์กำหนด
- ข้อ ง. (A ลดความเสี่ยงการเสียชีวิตได้ 65% เมื่อเทียบกับ B): ตัวเลือก A ลดความเสี่ยงการเสียชีวิตได้ 65% เมื่อเทียบกับ B ไม่ใช่คำตอบที่ถูกต้อง เนื่องจากมีกลไกทางเภสัชวิทยา ข้อบ่งใช้ หรือคุณสมบัติทางเภสัชเคมีที่ไม่ตรงกับเงื่อนไขที่โจทย์กำหนด
- ข้อ จ. (Median OS ของ B มากกว่า 18 เดือนแต่ไม่มีนัยสำคัญทา): ตัวเลือก Median OS ของ B มากกว่า 18 เดือนแต่ไม่มีนัยสำคัญทางสถิติ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L85" t="inlineStr">
        <is>
          <t>Research &amp; Biostats</t>
        </is>
      </c>
      <c r="M85" t="inlineStr">
        <is>
          <t>SAP</t>
        </is>
      </c>
      <c r="N85" t="inlineStr">
        <is>
          <t>[TEST] Quick Ingestion</t>
        </is>
      </c>
      <c r="O85" t="inlineStr">
        <is>
          <t>Mock</t>
        </is>
      </c>
      <c r="P85" t="inlineStr">
        <is>
          <t>Mock RxCU83 ครั้งที่ 1</t>
        </is>
      </c>
      <c r="Q85" t="inlineStr">
        <is>
          <t>2. Pharmacy Administration &amp; Sy</t>
        </is>
      </c>
      <c r="R85" t="inlineStr">
        <is>
          <t>CASE_SAP_M83_LUNG_C01_Q1</t>
        </is>
      </c>
    </row>
    <row r="86">
      <c r="A86" t="n">
        <v>84</v>
      </c>
      <c r="B86" t="inlineStr">
        <is>
          <t>หญิงอายุ 32 ปี น้ำหนัก 60 กก. เพิ่งคลอดบุตรได้ 4 สัปดาห์ ให้นมบุตร ต้องการคุมกำเนิด ควรเลือกใช้ยาคุมกำเนิดชนิดใดที่ปลอดภัยและไม่รบกวนน้ำนม</t>
        </is>
      </c>
      <c r="D86" t="inlineStr">
        <is>
          <t>Norethisterone 5 mg</t>
        </is>
      </c>
      <c r="E86" t="inlineStr">
        <is>
          <t>Levonorgestrel 1.5 mg</t>
        </is>
      </c>
      <c r="F86" t="inlineStr">
        <is>
          <t>Dienogest 2 mg</t>
        </is>
      </c>
      <c r="G86" t="inlineStr">
        <is>
          <t>Desogestrel 75 mcg (Progestin-only pill)</t>
        </is>
      </c>
      <c r="H86" t="inlineStr">
        <is>
          <t>Ethinylestradiol 30 mcg + Drospirenone 3 mg</t>
        </is>
      </c>
      <c r="I86" t="n">
        <v>4</v>
      </c>
      <c r="J86" t="inlineStr">
        <is>
          <t>✅ คำตอบที่ถูกต้อง: ข้อ ง. Desogestrel 75 mcg (Progestin-only pill)
💡 Background: หลักการบริบาลทางเภสัชกรรมและการควบคุมคุณภาพในหมวด 12. GynaecologicGenitourinary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(Norethisterone 5 mg): ตัวเลือก Norethisterone 5 mg ไม่ใช่คำตอบที่ถูกต้อง เนื่องจากมีกลไกทางเภสัชวิทยา ข้อบ่งใช้ หรือคุณสมบัติทางเภสัชเคมีที่ไม่ตรงกับเงื่อนไขที่โจทย์กำหนด
- ข้อ ข. (Levonorgestrel 1.5 mg): ตัวเลือก Levonorgestrel 1.5 mg ไม่ใช่คำตอบที่ถูกต้อง เนื่องจากมีกลไกทางเภสัชวิทยา ข้อบ่งใช้ หรือคุณสมบัติทางเภสัชเคมีที่ไม่ตรงกับเงื่อนไขที่โจทย์กำหนด
- ข้อ ค. (Dienogest 2 mg): ตัวเลือก Dienogest 2 mg ไม่ใช่คำตอบที่ถูกต้อง เนื่องจากมีกลไกทางเภสัชวิทยา ข้อบ่งใช้ หรือคุณสมบัติทางเภสัชเคมีที่ไม่ตรงกับเงื่อนไขที่โจทย์กำหนด
- ข้อ จ. (Ethinylestradiol 30 mcg + Drospirenone 3 mg): ตัวเลือก Ethinylestradiol 30 mcg + Drospirenone 3 mg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12. GynaecologicGenitourinary อย่างแม่นยำก่อนสอบ</t>
        </is>
      </c>
      <c r="L86" t="inlineStr">
        <is>
          <t>Oral contraceptive</t>
        </is>
      </c>
      <c r="M86" t="inlineStr">
        <is>
          <t>Clinic</t>
        </is>
      </c>
      <c r="N86" t="inlineStr">
        <is>
          <t>[TEST] Quick Ingestion</t>
        </is>
      </c>
      <c r="O86" t="inlineStr">
        <is>
          <t>Mock</t>
        </is>
      </c>
      <c r="P86" t="inlineStr">
        <is>
          <t>Mock RxCU83 ครั้งที่ 1</t>
        </is>
      </c>
      <c r="Q86" t="inlineStr">
        <is>
          <t>12. GynaecologicGenitourinary</t>
        </is>
      </c>
      <c r="R86" t="inlineStr">
        <is>
          <t>CASE_CLN_M83_OC_C01_Q1</t>
        </is>
      </c>
    </row>
    <row r="87">
      <c r="A87" t="n">
        <v>85</v>
      </c>
      <c r="B87" t="inlineStr">
        <is>
          <t>ข้อใด ไม่ใช่ อาการข้างเคียงรุนแรงที่ต้องเฝ้าระวัง (Severe warning signs / ACHES) ของยาเม็ดคุมกำเนิดชนิดฮอร์โมนรวม</t>
        </is>
      </c>
      <c r="D87" t="inlineStr">
        <is>
          <t>ปวดศีรษะรุนแรง (Severe headache)</t>
        </is>
      </c>
      <c r="E87" t="inlineStr">
        <is>
          <t>ปวดท้องรุนแรง (Severe abdominal pain)</t>
        </is>
      </c>
      <c r="F87" t="inlineStr">
        <is>
          <t>การมองเห็นผิดปกติ (Eye problems/Blurry vision)</t>
        </is>
      </c>
      <c r="G87" t="inlineStr">
        <is>
          <t>คัดตึงเต้านม (Breast tenderness)</t>
        </is>
      </c>
      <c r="H87" t="inlineStr">
        <is>
          <t>หายใจลำบากหรือเจ็บหน้าอกรุนแรง (Chest pain/SOB)</t>
        </is>
      </c>
      <c r="I87" t="n">
        <v>4</v>
      </c>
      <c r="J87" t="inlineStr">
        <is>
          <t>✅ คำตอบที่ถูกต้อง: ข้อ ง. คัดตึงเต้านม (Breast tenderness)
💡 Background: หลักการบริบาลทางเภสัชกรรมและการควบคุมคุณภาพในหมวด 12. GynaecologicGenitourinary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(ปวดศีรษะรุนแรง (Severe headache)): ตัวเลือก ปวดศีรษะรุนแรง (Severe headache)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(ปวดท้องรุนแรง (Severe abdominal pain)): ตัวเลือก ปวดท้องรุนแรง (Severe abdominal pain)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(การมองเห็นผิดปกติ (Eye problems/Blurry vision)): ตัวเลือก การมองเห็นผิดปกติ (Eye problems/Blurry vision)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(หายใจลำบากหรือเจ็บหน้าอกรุนแรง (Chest pain/SOB)): ตัวเลือก หายใจลำบากหรือเจ็บหน้าอกรุนแรง (Chest pain/SOB)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12. GynaecologicGenitourinary อย่างแม่นยำก่อนสอบ</t>
        </is>
      </c>
      <c r="L87" t="inlineStr">
        <is>
          <t>Oral contraceptive</t>
        </is>
      </c>
      <c r="M87" t="inlineStr">
        <is>
          <t>Clinic</t>
        </is>
      </c>
      <c r="N87" t="inlineStr">
        <is>
          <t>[TEST] Quick Ingestion</t>
        </is>
      </c>
      <c r="O87" t="inlineStr">
        <is>
          <t>Mock</t>
        </is>
      </c>
      <c r="P87" t="inlineStr">
        <is>
          <t>Mock RxCU83 ครั้งที่ 1</t>
        </is>
      </c>
      <c r="Q87" t="inlineStr">
        <is>
          <t>12. GynaecologicGenitourinary</t>
        </is>
      </c>
      <c r="R87" t="inlineStr">
        <is>
          <t>CASE_CLN_M83_OC_C01_Q2</t>
        </is>
      </c>
    </row>
    <row r="88">
      <c r="A88" t="n">
        <v>86</v>
      </c>
      <c r="B88" t="inlineStr">
        <is>
          <t>ข้อใดเป็นคำแนะนำการใช้ยาคุมกำเนิดชนิดแผ่นแปะผิวหนัง (Transdermal contraceptive patch) ที่ถูกต้อง</t>
        </is>
      </c>
      <c r="D88" t="inlineStr">
        <is>
          <t>เปลี่ยนแผ่นใหม่ทุก 3 วัน</t>
        </is>
      </c>
      <c r="E88" t="inlineStr">
        <is>
          <t>แปะซ้อน 2 แผ่นเพื่อกันหลุด</t>
        </is>
      </c>
      <c r="F88" t="inlineStr">
        <is>
          <t>สามารถตัดแบ่งครึ่งแผ่นได้หากน้ำหนักตัวน้อย</t>
        </is>
      </c>
      <c r="G88" t="inlineStr">
        <is>
          <t>แปะบริเวณเต้านมเพื่อเพิ่มการดูดซึม</t>
        </is>
      </c>
      <c r="H88" t="inlineStr">
        <is>
          <t>แปะสัปดาห์ละ 1 แผ่นต่อเนื่อง 3 สัปดาห์ แล้วเว้นไม่แปะ 1 สัปดาห์</t>
        </is>
      </c>
      <c r="I88" t="n">
        <v>5</v>
      </c>
      <c r="J88" t="inlineStr">
        <is>
          <t>✅ คำตอบที่ถูกต้อง: ข้อ จ. แปะสัปดาห์ละ 1 แผ่นต่อเนื่อง 3 สัปดาห์ แล้วเว้นไม่แปะ 1 สัปดาห์
💡 Background: หลักการบริบาลทางเภสัชกรรมและการควบคุมคุณภาพในหมวด 6. Solid Dosage Forms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(เปลี่ยนแผ่นใหม่ทุก 3 วัน): ตัวเลือก เปลี่ยนแผ่นใหม่ทุก 3 วัน ไม่ใช่คำตอบที่ถูกต้อง เนื่องจากมีกลไกทางเภสัชวิทยา ข้อบ่งใช้ หรือคุณสมบัติทางเภสัชเคมีที่ไม่ตรงกับเงื่อนไขที่โจทย์กำหนด
- ข้อ ข. (แปะซ้อน 2 แผ่นเพื่อกันหลุด): ตัวเลือก แปะซ้อน 2 แผ่นเพื่อกันหลุด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(สามารถตัดแบ่งครึ่งแผ่นได้หากน้ำหนักตัวน้อย): ตัวเลือก สามารถตัดแบ่งครึ่งแผ่นได้หากน้ำหนักตัวน้อย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(แปะบริเวณเต้านมเพื่อเพิ่มการดูดซึม): ตัวเลือก แปะบริเวณเต้านมเพื่อเพิ่มการดูดซึม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88" t="inlineStr">
        <is>
          <t>Transdermal Delivery (TDS)</t>
        </is>
      </c>
      <c r="M88" t="inlineStr">
        <is>
          <t>Product</t>
        </is>
      </c>
      <c r="N88" t="inlineStr">
        <is>
          <t>[TEST] Quick Ingestion</t>
        </is>
      </c>
      <c r="O88" t="inlineStr">
        <is>
          <t>Mock</t>
        </is>
      </c>
      <c r="P88" t="inlineStr">
        <is>
          <t>Mock RxCU83 ครั้งที่ 1</t>
        </is>
      </c>
      <c r="Q88" t="inlineStr">
        <is>
          <t>6. Solid Dosage Forms</t>
        </is>
      </c>
      <c r="R88" t="inlineStr">
        <is>
          <t>CASE_PRD_M83_OC_C01_Q1</t>
        </is>
      </c>
    </row>
    <row r="89">
      <c r="A89" t="n">
        <v>87</v>
      </c>
      <c r="B89" t="inlineStr">
        <is>
          <t>ข้อใดอธิบายกลไกหลักของยาคุมกำเนิดชนิดฮอร์โมนรวม (Combined hormonal contraceptives) ในการป้องกันการตั้งครรภ์</t>
        </is>
      </c>
      <c r="D89" t="inlineStr">
        <is>
          <t>Prevention of endometrial proliferation and maturation</t>
        </is>
      </c>
      <c r="E89" t="inlineStr">
        <is>
          <t>Negative feedback inhibition to suppress LH and FSH surge ป้องกันการตกไข่</t>
        </is>
      </c>
      <c r="F89" t="inlineStr">
        <is>
          <t>Sensitize hypothalamus to the positive feedback of estrogen</t>
        </is>
      </c>
      <c r="G89" t="inlineStr">
        <is>
          <t>Delay implantation โดยตรง</t>
        </is>
      </c>
      <c r="H89" t="inlineStr">
        <is>
          <t>Reduce chance of conception by sperm lysis</t>
        </is>
      </c>
      <c r="I89" t="n">
        <v>2</v>
      </c>
      <c r="J89" t="inlineStr">
        <is>
          <t>✅ คำตอบที่ถูกต้อง: ข้อ ข. Negative feedback inhibition to suppress LH and FSH surge ป้องกันการตกไข่
💡 Background: หลักการบริบาลทางเภสัชกรรมและการควบคุมคุณภาพในหมวด 12. GynaecologicGenitourinary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(Prevention of endometrial proliferation and matura): ตัวเลือก Prevention of endometrial proliferation and maturation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(Sensitize hypothalamus to the positive feedback of): ตัวเลือก Sensitize hypothalamus to the positive feedback of estrogen ไม่ใช่คำตอบที่ถูกต้อง เนื่องจากมีกลไกทางเภสัชวิทยา ข้อบ่งใช้ หรือคุณสมบัติทางเภสัชเคมีที่ไม่ตรงกับเงื่อนไขที่โจทย์กำหนด
- ข้อ ง. (Delay implantation โดยตรง): ตัวเลือก Delay implantation โดยตรง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(Reduce chance of conception by sperm lysis): ตัวเลือก Reduce chance of conception by sperm lysis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12. GynaecologicGenitourinary อย่างแม่นยำก่อนสอบ</t>
        </is>
      </c>
      <c r="L89" t="inlineStr">
        <is>
          <t>Oral contraceptive</t>
        </is>
      </c>
      <c r="M89" t="inlineStr">
        <is>
          <t>Clinic</t>
        </is>
      </c>
      <c r="N89" t="inlineStr">
        <is>
          <t>[TEST] Quick Ingestion</t>
        </is>
      </c>
      <c r="O89" t="inlineStr">
        <is>
          <t>Mock</t>
        </is>
      </c>
      <c r="P89" t="inlineStr">
        <is>
          <t>Mock RxCU83 ครั้งที่ 1</t>
        </is>
      </c>
      <c r="Q89" t="inlineStr">
        <is>
          <t>12. GynaecologicGenitourinary</t>
        </is>
      </c>
      <c r="R89" t="inlineStr">
        <is>
          <t>CASE_CLN_M83_OC_C01_Q3</t>
        </is>
      </c>
    </row>
    <row r="90">
      <c r="A90" t="n">
        <v>88</v>
      </c>
      <c r="B90" t="inlineStr">
        <is>
          <t>ข้อใด ไม่ใช่ เหตุผลในการเลือกจ่ายยาคุมชนิดโปรเจสตินเดี่ยว (Progestin-only) แทนการจ่ายยาคุมกำเนิดชนิดฮอร์โมนรวม</t>
        </is>
      </c>
      <c r="D90" t="inlineStr">
        <is>
          <t>มีภาวะปวดไมเกรนรุนแรงร่วมกับมีอาการเตือน (Migraine with aura)</t>
        </is>
      </c>
      <c r="E90" t="inlineStr">
        <is>
          <t>อยู่ระหว่างการให้นมบุตร</t>
        </is>
      </c>
      <c r="F90" t="inlineStr">
        <is>
          <t>มีเลือดออกกระปริดกระปรอยทางช่องคลอดโดยไม่ทราบสาเหตุ</t>
        </is>
      </c>
      <c r="G90" t="inlineStr">
        <is>
          <t>มีประวัติโรคเกี่ยวกับหลอดเลือดหัวใจหรือลิ่มเลือดอุดตัน</t>
        </is>
      </c>
      <c r="H90" t="inlineStr">
        <is>
          <t>มีอาการคลื่นไส้อาเจียนรุนแรงจากเอสโตรเจน</t>
        </is>
      </c>
      <c r="I90" t="n">
        <v>3</v>
      </c>
      <c r="J90" t="inlineStr">
        <is>
          <t>✅ คำตอบที่ถูกต้อง: ข้อ ค. มีเลือดออกกระปริดกระปรอยทางช่องคลอดโดยไม่ทราบสาเหตุ
💡 Background: หลักการบริบาลทางเภสัชกรรมและการควบคุมคุณภาพในหมวด 12. GynaecologicGenitourinary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(มีภาวะปวดไมเกรนรุนแรงร่วมกับมีอาการเตือน (Migraine): ตัวเลือก มีภาวะปวดไมเกรนรุนแรงร่วมกับมีอาการเตือน (Migraine with aura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(อยู่ระหว่างการให้นมบุตร): ตัวเลือก อยู่ระหว่างการให้นมบุตร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(มีประวัติโรคเกี่ยวกับหลอดเลือดหัวใจหรือลิ่มเลือดอุ): ตัวเลือก มีประวัติโรคเกี่ยวกับหลอดเลือดหัวใจหรือลิ่มเลือดอุดตัน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(มีอาการคลื่นไส้อาเจียนรุนแรงจากเอสโตรเจน): ตัวเลือก มีอาการคลื่นไส้อาเจียนรุนแรงจากเอสโตรเจน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12. GynaecologicGenitourinary อย่างแม่นยำก่อนสอบ</t>
        </is>
      </c>
      <c r="L90" t="inlineStr">
        <is>
          <t>Oral contraceptive</t>
        </is>
      </c>
      <c r="M90" t="inlineStr">
        <is>
          <t>Clinic</t>
        </is>
      </c>
      <c r="N90" t="inlineStr">
        <is>
          <t>[TEST] Quick Ingestion</t>
        </is>
      </c>
      <c r="O90" t="inlineStr">
        <is>
          <t>Mock</t>
        </is>
      </c>
      <c r="P90" t="inlineStr">
        <is>
          <t>Mock RxCU83 ครั้งที่ 1</t>
        </is>
      </c>
      <c r="Q90" t="inlineStr">
        <is>
          <t>12. GynaecologicGenitourinary</t>
        </is>
      </c>
      <c r="R90" t="inlineStr">
        <is>
          <t>CASE_CLN_M83_OC_C01_Q4</t>
        </is>
      </c>
    </row>
    <row r="91">
      <c r="A91" t="n">
        <v>89</v>
      </c>
      <c r="B91" t="inlineStr">
        <is>
          <t>ข้อใด ไม่ใช่ สารที่นำมาใช้เป็นสารช่วยในกระบวนการเคลือบน้ำตาลของยาเม็ด (Sugar coating process)</t>
        </is>
      </c>
      <c r="D91" t="inlineStr">
        <is>
          <t>Calcium carbonate (Subcoating powder)</t>
        </is>
      </c>
      <c r="E91" t="inlineStr">
        <is>
          <t>Wax (Carnuba/Beeswax สำหรับขัดเงา)</t>
        </is>
      </c>
      <c r="F91" t="inlineStr">
        <is>
          <t>Gelatin (Binder ในน้ำเชื่อม)</t>
        </is>
      </c>
      <c r="G91" t="inlineStr">
        <is>
          <t>Colloidal silicon dioxide (CSD)</t>
        </is>
      </c>
      <c r="H91" t="inlineStr">
        <is>
          <t>Acrylate polymer (Film former สำหรับฟิล์มโค้ต)</t>
        </is>
      </c>
      <c r="I91" t="n">
        <v>5</v>
      </c>
      <c r="J91" t="inlineStr">
        <is>
          <t>✅ คำตอบที่ถูกต้อง: ข้อ จ. Acrylate polymer (Film former สำหรับฟิล์มโค้ต)
💡 Background: หลักการบริบาลทางเภสัชกรรมและการควบคุมคุณภาพในหมวด 6. Solid Dosage Forms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(Calcium carbonate (Subcoating powder)): ตัวเลือก Calcium carbonate (Subcoating powder) ไม่ใช่คำตอบที่ถูกต้อง เนื่องจากมีกลไกทางเภสัชวิทยา ข้อบ่งใช้ หรือคุณสมบัติทางเภสัชเคมีที่ไม่ตรงกับเงื่อนไขที่โจทย์กำหนด
- ข้อ ข. (Wax (Carnuba/Beeswax สำหรับขัดเงา)): ตัวเลือก Wax (Carnuba/Beeswax สำหรับขัดเงา) ไม่ใช่คำตอบที่ถูกต้อง เนื่องจากมีกลไกทางเภสัชวิทยา ข้อบ่งใช้ หรือคุณสมบัติทางเภสัชเคมีที่ไม่ตรงกับเงื่อนไขที่โจทย์กำหนด
- ข้อ ค. (Gelatin (Binder ในน้ำเชื่อม)): ตัวเลือก Gelatin (Binder ในน้ำเชื่อม) ไม่ใช่คำตอบที่ถูกต้อง เนื่องจากมีกลไกทางเภสัชวิทยา ข้อบ่งใช้ หรือคุณสมบัติทางเภสัชเคมีที่ไม่ตรงกับเงื่อนไขที่โจทย์กำหนด
- ข้อ ง. (Colloidal silicon dioxide (CSD)): ตัวเลือก Colloidal silicon dioxide (CSD)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91" t="inlineStr">
        <is>
          <t>Tablet Coating</t>
        </is>
      </c>
      <c r="M91" t="inlineStr">
        <is>
          <t>Product</t>
        </is>
      </c>
      <c r="N91" t="inlineStr">
        <is>
          <t>[TEST] Quick Ingestion</t>
        </is>
      </c>
      <c r="O91" t="inlineStr">
        <is>
          <t>Mock</t>
        </is>
      </c>
      <c r="P91" t="inlineStr">
        <is>
          <t>Mock RxCU83 ครั้งที่ 1</t>
        </is>
      </c>
      <c r="Q91" t="inlineStr">
        <is>
          <t>6. Solid Dosage Forms</t>
        </is>
      </c>
      <c r="R91" t="inlineStr">
        <is>
          <t>CASE_PRD_M83_OC_C01_Q2</t>
        </is>
      </c>
    </row>
    <row r="92">
      <c r="A92" t="n">
        <v>90</v>
      </c>
      <c r="B92" t="inlineStr">
        <is>
          <t>ข้อใดคือการควบคุมคุณภาพระหว่างกระบวนการผลิต (In-process control: IPC) ที่สำคัญในการติดตามการพอกตัวของชั้นยาเคลือบน้ำตาล</t>
        </is>
      </c>
      <c r="D92" t="inlineStr">
        <is>
          <t>Uniformity of dosage units</t>
        </is>
      </c>
      <c r="E92" t="inlineStr">
        <is>
          <t>Weight gain (การเพิ่มขึ้นของน้ำหนักเม็ดยา)</t>
        </is>
      </c>
      <c r="F92" t="inlineStr">
        <is>
          <t>Friability test</t>
        </is>
      </c>
      <c r="G92" t="inlineStr">
        <is>
          <t>Dissolution test</t>
        </is>
      </c>
      <c r="H92" t="inlineStr">
        <is>
          <t>Microbial limit test</t>
        </is>
      </c>
      <c r="I92" t="n">
        <v>2</v>
      </c>
      <c r="J92" t="inlineStr">
        <is>
          <t>✅ คำตอบที่ถูกต้อง: ข้อ ข. Weight gain (การเพิ่มขึ้นของน้ำหนักเม็ดยา)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(Uniformity of dosage units): ตัวเลือก Uniformity of dosage units ไม่ใช่คำตอบที่ถูกต้อง เนื่องจากมีกลไกทางเภสัชวิทยา ข้อบ่งใช้ หรือคุณสมบัติทางเภสัชเคมีที่ไม่ตรงกับเงื่อนไขที่โจทย์กำหนด
- ข้อ ค. (Friability test): ตัวเลือก Friability test ไม่ใช่คำตอบที่ถูกต้อง เนื่องจากมีกลไกทางเภสัชวิทยา ข้อบ่งใช้ หรือคุณสมบัติทางเภสัชเคมีที่ไม่ตรงกับเงื่อนไขที่โจทย์กำหนด
- ข้อ ง. (Dissolution test): ตัวเลือก Dissolution test ไม่ใช่คำตอบที่ถูกต้อง เนื่องจากมีกลไกทางเภสัชวิทยา ข้อบ่งใช้ หรือคุณสมบัติทางเภสัชเคมีที่ไม่ตรงกับเงื่อนไขที่โจทย์กำหนด
- ข้อ จ. (Microbial limit test): ตัวเลือก Microbial limit test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92" t="inlineStr">
        <is>
          <t>Tablet Coating</t>
        </is>
      </c>
      <c r="M92" t="inlineStr">
        <is>
          <t>Product</t>
        </is>
      </c>
      <c r="N92" t="inlineStr">
        <is>
          <t>[TEST] Quick Ingestion</t>
        </is>
      </c>
      <c r="O92" t="inlineStr">
        <is>
          <t>Mock</t>
        </is>
      </c>
      <c r="P92" t="inlineStr">
        <is>
          <t>Mock RxCU83 ครั้งที่ 1</t>
        </is>
      </c>
      <c r="Q92" t="inlineStr">
        <is>
          <t>1. Titrations</t>
        </is>
      </c>
      <c r="R92" t="inlineStr">
        <is>
          <t>CASE_PRD_M83_OC_C01_Q3</t>
        </is>
      </c>
    </row>
    <row r="93">
      <c r="A93" t="n">
        <v>91</v>
      </c>
      <c r="B93" t="inlineStr">
        <is>
          <t>ข้อใด ไม่ถูกต้อง สำหรับยาเม็ดเคลือบน้ำตาล (Sugar-coated tablet)</t>
        </is>
      </c>
      <c r="D93" t="inlineStr">
        <is>
          <t>เป็นยาในรูปแบบ immediate release</t>
        </is>
      </c>
      <c r="E93" t="inlineStr">
        <is>
          <t>ถ้าผู้ป่วยมือเปียกและไปสัมผัสกับเม็ดยา จะทำให้ชั้นนอกของเม็ดเคลือบเกิดการเปลี่ยนแปลงทันที</t>
        </is>
      </c>
      <c r="F93" t="inlineStr">
        <is>
          <t>ผู้ป่วยที่เป็นโรคเบาหวาน สามารถทานยาเม็ดเคลือบน้ำตาลได้ตามปกติ</t>
        </is>
      </c>
      <c r="G93" t="inlineStr">
        <is>
          <t>ใช้ sucrose, lactose, mannitol ในสูตรยา</t>
        </is>
      </c>
      <c r="H93" t="inlineStr">
        <is>
          <t>ยาเม็ดเคลือบน้ำตาล เหมาะกับสูตรตำรับตัวยาที่ไวต่อความชื้นและแสงได้ดีกว่าการเคลือบฟิล์มทุกประเภท</t>
        </is>
      </c>
      <c r="I93" t="n">
        <v>5</v>
      </c>
      <c r="J93" t="inlineStr">
        <is>
          <t>✅ คำตอบที่ถูกต้อง: ข้อ จ. ยาเม็ดเคลือบน้ำตาล เหมาะกับสูตรตำรับตัวยาที่ไวต่อความชื้นและแสงได้ดีกว่าการเคลือบฟิล์มทุกประเภท
💡 Background: หลักการบริบาลทางเภสัชกรรมและการควบคุมคุณภาพในหมวด 6. Solid Dosage Forms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(เป็นยาในรูปแบบ immediate release): ตัวเลือก เป็นยาในรูปแบบ immediate release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(ถ้าผู้ป่วยมือเปียกและไปสัมผัสกับเม็ดยา จะทำให้ชั้น): ตัวเลือก ถ้าผู้ป่วยมือเปียกและไปสัมผัสกับเม็ดยา จะทำให้ชั้นนอกของเม็ด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(ผู้ป่วยที่เป็นโรคเบาหวาน สามารถทานยาเม็ดเคลือบน้ำต): ตัวเลือก ผู้ป่วยที่เป็นโรคเบาหวาน สามารถทานยาเม็ดเคลือบน้ำตาลได้ตามปก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(ใช้ sucrose, lactose, mannitol ในสูตรยา): ตัวเลือก ใช้ sucrose, lactose, mannitol ในสูตรยา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93" t="inlineStr">
        <is>
          <t>Tablet Coating</t>
        </is>
      </c>
      <c r="M93" t="inlineStr">
        <is>
          <t>Product</t>
        </is>
      </c>
      <c r="N93" t="inlineStr">
        <is>
          <t>[TEST] Quick Ingestion</t>
        </is>
      </c>
      <c r="O93" t="inlineStr">
        <is>
          <t>Mock</t>
        </is>
      </c>
      <c r="P93" t="inlineStr">
        <is>
          <t>Mock RxCU83 ครั้งที่ 1</t>
        </is>
      </c>
      <c r="Q93" t="inlineStr">
        <is>
          <t>6. Solid Dosage Forms</t>
        </is>
      </c>
      <c r="R93" t="inlineStr">
        <is>
          <t>CASE_PRD_M83_OC_C01_Q4</t>
        </is>
      </c>
    </row>
    <row r="94">
      <c r="A94" t="n">
        <v>92</v>
      </c>
      <c r="B94" t="inlineStr">
        <is>
          <t>เทคนิคการวิเคราะห์ในข้อใด ไม่เหมาะสม ในการทำ Identification ตัวยา Ethinyl estradiol ในยาเม็ดคุมกำเนิด</t>
        </is>
      </c>
      <c r="D94" t="inlineStr">
        <is>
          <t>HPLC-UV</t>
        </is>
      </c>
      <c r="E94" t="inlineStr">
        <is>
          <t>HPLC-MS</t>
        </is>
      </c>
      <c r="F94" t="inlineStr">
        <is>
          <t>FTIR</t>
        </is>
      </c>
      <c r="G94" t="inlineStr">
        <is>
          <t>ICP-OES / ICP-MS</t>
        </is>
      </c>
      <c r="H94" t="inlineStr">
        <is>
          <t>NMR</t>
        </is>
      </c>
      <c r="I94" t="n">
        <v>4</v>
      </c>
      <c r="J94" t="inlineStr">
        <is>
          <t>✅ คำตอบที่ถูกต้อง: ข้อ ง. ICP-OES / ICP-MS
💡 Background: หลักการบริบาลทางเภสัชกรรมและการควบคุมคุณภาพในหมวด 1. Titrations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(HPLC-UV): ตัวเลือก HPLC-UV ไม่ใช่คำตอบที่ถูกต้อง เนื่องจากมีกลไกทางเภสัชวิทยา ข้อบ่งใช้ หรือคุณสมบัติทางเภสัชเคมีที่ไม่ตรงกับเงื่อนไขที่โจทย์กำหนด
- ข้อ ข. (HPLC-MS): ตัวเลือก HPLC-MS ไม่ใช่คำตอบที่ถูกต้อง เนื่องจากมีกลไกทางเภสัชวิทยา ข้อบ่งใช้ หรือคุณสมบัติทางเภสัชเคมีที่ไม่ตรงกับเงื่อนไขที่โจทย์กำหนด
- ข้อ ค. (FTIR): ตัวเลือก FTIR ไม่ใช่คำตอบที่ถูกต้อง เนื่องจากมีกลไกทางเภสัชวิทยา ข้อบ่งใช้ หรือคุณสมบัติทางเภสัชเคมีที่ไม่ตรงกับเงื่อนไขที่โจทย์กำหนด
- ข้อ จ. (NMR): ตัวเลือก NMR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94" t="inlineStr">
        <is>
          <t>Spectroscopy &amp; Optics</t>
        </is>
      </c>
      <c r="M94" t="inlineStr">
        <is>
          <t>Product</t>
        </is>
      </c>
      <c r="N94" t="inlineStr">
        <is>
          <t>[TEST] Quick Ingestion</t>
        </is>
      </c>
      <c r="O94" t="inlineStr">
        <is>
          <t>Mock</t>
        </is>
      </c>
      <c r="P94" t="inlineStr">
        <is>
          <t>Mock RxCU83 ครั้งที่ 1</t>
        </is>
      </c>
      <c r="Q94" t="inlineStr">
        <is>
          <t>1. Titrations</t>
        </is>
      </c>
      <c r="R94" t="inlineStr">
        <is>
          <t>CASE_PRD_M83_OC_C01_Q5</t>
        </is>
      </c>
    </row>
    <row r="95">
      <c r="A95" t="n">
        <v>93</v>
      </c>
      <c r="B95" t="inlineStr">
        <is>
          <t>ข้อใด ไม่จัดเป็น เกณฑ์ข้อกำหนดใน Certificate of Analysis (COA) สำหรับแผ่นแปะยาคุมกำเนิด (Transdermal patch)</t>
        </is>
      </c>
      <c r="D95" t="inlineStr">
        <is>
          <t>Identification</t>
        </is>
      </c>
      <c r="E95" t="inlineStr">
        <is>
          <t>Assay</t>
        </is>
      </c>
      <c r="F95" t="inlineStr">
        <is>
          <t>In vitro drug release</t>
        </is>
      </c>
      <c r="G95" t="inlineStr">
        <is>
          <t>Adhesion (การยึดติดผิว)</t>
        </is>
      </c>
      <c r="H95" t="inlineStr">
        <is>
          <t>Disintegration test</t>
        </is>
      </c>
      <c r="I95" t="n">
        <v>5</v>
      </c>
      <c r="J95" t="inlineStr">
        <is>
          <t>✅ คำตอบที่ถูกต้อง: ข้อ จ. Disintegration test
💡 Background: หลักการบริบาลทางเภสัชกรรมและการควบคุมคุณภาพในหมวด 1. Titrations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(Identification): ตัวเลือก Identification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ข. (Assay): ตัวเลือก Assay ไม่ใช่คำตอบที่ถูกต้อง เนื่องจากมีกลไกทางเภสัชวิทยา ข้อบ่งใช้ หรือคุณสมบัติทางเภสัชเคมีที่ไม่ตรงกับเงื่อนไขที่โจทย์กำหนด
- ข้อ ค. (In vitro drug release): ตัวเลือก In vitro drug release ไม่ใช่คำตอบที่ถูกต้อง เนื่องจากมีกลไกทางเภสัชวิทยา ข้อบ่งใช้ หรือคุณสมบัติทางเภสัชเคมีที่ไม่ตรงกับเงื่อนไขที่โจทย์กำหนด
- ข้อ ง. (Adhesion (การยึดติดผิว)): ตัวเลือก Adhesion (การยึดติดผิว)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95" t="inlineStr">
        <is>
          <t>Transdermal Delivery (TDS)</t>
        </is>
      </c>
      <c r="M95" t="inlineStr">
        <is>
          <t>Product</t>
        </is>
      </c>
      <c r="N95" t="inlineStr">
        <is>
          <t>[TEST] Quick Ingestion</t>
        </is>
      </c>
      <c r="O95" t="inlineStr">
        <is>
          <t>Mock</t>
        </is>
      </c>
      <c r="P95" t="inlineStr">
        <is>
          <t>Mock RxCU83 ครั้งที่ 1</t>
        </is>
      </c>
      <c r="Q95" t="inlineStr">
        <is>
          <t>1. Titrations</t>
        </is>
      </c>
      <c r="R95" t="inlineStr">
        <is>
          <t>CASE_PRD_M83_OC_C01_Q6</t>
        </is>
      </c>
    </row>
    <row r="96">
      <c r="A96" t="n">
        <v>94</v>
      </c>
      <c r="B96" t="inlineStr">
        <is>
          <t>หญิงตั้งครรภ์รู้ว่าตนเองต้องระมัดระวังในการเลือกยาคุมกำเนิดชนิดเม็ด จึงเดินทางมาปรึกษาเภสัชกรที่ร้านยาเรื่องการใช้ยาคุมกำเนิด พฤติกรรมดังกล่าวจัดเป็นองค์ประกอบใดตามแบบจำลองความเชื่อด้านสุขภาพ (Health Belief Model: HBM)</t>
        </is>
      </c>
      <c r="D96" t="inlineStr">
        <is>
          <t>Perceived susceptibility</t>
        </is>
      </c>
      <c r="E96" t="inlineStr">
        <is>
          <t>Perceived severity</t>
        </is>
      </c>
      <c r="F96" t="inlineStr">
        <is>
          <t>Perceived benefits</t>
        </is>
      </c>
      <c r="G96" t="inlineStr">
        <is>
          <t>Perceived barriers</t>
        </is>
      </c>
      <c r="H96" t="inlineStr">
        <is>
          <t>Cues to action</t>
        </is>
      </c>
      <c r="I96" t="n">
        <v>3</v>
      </c>
      <c r="J96" t="inlineStr">
        <is>
          <t>✅ คำตอบที่ถูกต้อง: ข้อ ค. Perceived benefits
💡 Background: หลักการบริบาลทางเภสัชกรรมและการควบคุมคุณภาพในหมวด 2. Pharmacy Administration &amp; Sy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(Perceived susceptibility): ตัวเลือก Perceived susceptibility ไม่ใช่คำตอบที่ถูกต้อง เนื่องจากมีกลไกทางเภสัชวิทยา ข้อบ่งใช้ หรือคุณสมบัติทางเภสัชเคมีที่ไม่ตรงกับเงื่อนไขที่โจทย์กำหนด
- ข้อ ข. (Perceived severity): ตัวเลือก Perceived severity ไม่ใช่คำตอบที่ถูกต้อง เนื่องจากมีกลไกทางเภสัชวิทยา ข้อบ่งใช้ หรือคุณสมบัติทางเภสัชเคมีที่ไม่ตรงกับเงื่อนไขที่โจทย์กำหนด
- ข้อ ง. (Perceived barriers): ตัวเลือก Perceived barriers ไม่ใช่คำตอบที่ถูกต้อง เนื่องจากมีกลไกทางเภสัชวิทยา ข้อบ่งใช้ หรือคุณสมบัติทางเภสัชเคมีที่ไม่ตรงกับเงื่อนไขที่โจทย์กำหนด
- ข้อ จ. (Cues to action): ตัวเลือก Cues to action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L96" t="inlineStr">
        <is>
          <t>Pharmacy Administration &amp; System</t>
        </is>
      </c>
      <c r="M96" t="inlineStr">
        <is>
          <t>SAP</t>
        </is>
      </c>
      <c r="N96" t="inlineStr">
        <is>
          <t>[TEST] Quick Ingestion</t>
        </is>
      </c>
      <c r="O96" t="inlineStr">
        <is>
          <t>Mock</t>
        </is>
      </c>
      <c r="P96" t="inlineStr">
        <is>
          <t>Mock RxCU83 ครั้งที่ 1</t>
        </is>
      </c>
      <c r="Q96" t="inlineStr">
        <is>
          <t>2. Pharmacy Administration &amp; Sy</t>
        </is>
      </c>
      <c r="R96" t="inlineStr">
        <is>
          <t>CASE_SAP_M83_OC_C01_Q1</t>
        </is>
      </c>
    </row>
    <row r="97">
      <c r="A97" t="n">
        <v>95</v>
      </c>
      <c r="B97" t="inlineStr">
        <is>
          <t>ผู้ป่วยเพศชาย 65 ปี นน. 50 kg มีโรคประจำตัว เบาหวาน, CKD มา รพ. ด้วยไข้ ไอเรื้อรัง 3 สัปดาห์ อ่อนเพลีย น้ำหนักลด ผล CXR ผิดปกติ และ sputum AFB 3+, PCR positive M. tuberculosis ไม่เคยมีประวัติติดเชื้อวัณโรคมาก่อน ควรเลือกสูตรการรักษามาตรฐานสูตรใด</t>
        </is>
      </c>
      <c r="D97" t="inlineStr">
        <is>
          <t>1IRZE / 5IR</t>
        </is>
      </c>
      <c r="E97" t="inlineStr">
        <is>
          <t>2IRZE / 2IR</t>
        </is>
      </c>
      <c r="F97" t="inlineStr">
        <is>
          <t>2IRZE / 4IR</t>
        </is>
      </c>
      <c r="G97" t="inlineStr">
        <is>
          <t>3IRZE / 2IR</t>
        </is>
      </c>
      <c r="H97" t="inlineStr">
        <is>
          <t>3IRZE / 3IR</t>
        </is>
      </c>
      <c r="I97" t="n">
        <v>3</v>
      </c>
      <c r="J97" t="inlineStr">
        <is>
          <t>✅ คำตอบที่ถูกต้อง: ข้อ ค. 2IRZE / 4IR
💡 Background: หลักการบริบาลทางเภสัชกรรมและการควบคุมคุณภาพในหมวด 8. Infectious diseases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(1IRZE / 5IR): ตัวเลือก 1IRZE / 5IR ไม่ใช่คำตอบที่ถูกต้อง เนื่องจากมีกลไกทางเภสัชวิทยา ข้อบ่งใช้ หรือคุณสมบัติทางเภสัชเคมีที่ไม่ตรงกับเงื่อนไขที่โจทย์กำหนด
- ข้อ ข. (2IRZE / 2IR): ตัวเลือก 2IRZE / 2IR ไม่ใช่คำตอบที่ถูกต้อง เนื่องจากมีกลไกทางเภสัชวิทยา ข้อบ่งใช้ หรือคุณสมบัติทางเภสัชเคมีที่ไม่ตรงกับเงื่อนไขที่โจทย์กำหนด
- ข้อ ง. (3IRZE / 2IR): ตัวเลือก 3IRZE / 2IR ไม่ใช่คำตอบที่ถูกต้อง เนื่องจากมีกลไกทางเภสัชวิทยา ข้อบ่งใช้ หรือคุณสมบัติทางเภสัชเคมีที่ไม่ตรงกับเงื่อนไขที่โจทย์กำหนด
- ข้อ จ. (3IRZE / 3IR): ตัวเลือก 3IRZE / 3IR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8. Infectious diseases อย่างแม่นยำก่อนสอบ</t>
        </is>
      </c>
      <c r="L97" t="inlineStr">
        <is>
          <t>Tuberculosis</t>
        </is>
      </c>
      <c r="M97" t="inlineStr">
        <is>
          <t>Clinic</t>
        </is>
      </c>
      <c r="N97" t="inlineStr">
        <is>
          <t>[TEST] Quick Ingestion</t>
        </is>
      </c>
      <c r="O97" t="inlineStr">
        <is>
          <t>Mock</t>
        </is>
      </c>
      <c r="P97" t="inlineStr">
        <is>
          <t>Mock RxCU83 ครั้งที่ 1</t>
        </is>
      </c>
      <c r="Q97" t="inlineStr">
        <is>
          <t>8. Infectious diseases</t>
        </is>
      </c>
      <c r="R97" t="inlineStr">
        <is>
          <t>CASE_CLN_M83_TB_C01_Q1</t>
        </is>
      </c>
    </row>
    <row r="98">
      <c r="A98" t="n">
        <v>96</v>
      </c>
      <c r="B98" t="inlineStr">
        <is>
          <t>ผู้ป่วยรับประทานยารักษาวัณโรคสูตร IRZE มา 3 สัปดาห์ มีอาการคลื่นไส้ อาเจียน เบื่ออาหาร ตรวจเลือดพบ ALT สูงขึ้น 4 เท่าของค่าปกติ ควรดำเนินการอย่างไรตามแนวทางเวชปฏิบัติ</t>
        </is>
      </c>
      <c r="D98" t="inlineStr">
        <is>
          <t>หยุดยา E ตัวเดียว</t>
        </is>
      </c>
      <c r="E98" t="inlineStr">
        <is>
          <t>หยุดยา I, R ชั่วคราว</t>
        </is>
      </c>
      <c r="F98" t="inlineStr">
        <is>
          <t>หยุดยา I, R, Z ทันที และรอจนเอนไซม์ตับกลับมาปกติก่อนเริ่มทีละตัว</t>
        </is>
      </c>
      <c r="G98" t="inlineStr">
        <is>
          <t>หยุดยา I, R, Z แล้วลดขนาดยาลงครึ่งหนึ่งทันทีโดยไม่ต้องรอ</t>
        </is>
      </c>
      <c r="H98" t="inlineStr">
        <is>
          <t>ให้รับประทานยาต่อไปได้ตามปกติโดยไม่ต้องหยุดยา</t>
        </is>
      </c>
      <c r="I98" t="n">
        <v>3</v>
      </c>
      <c r="J98" t="inlineStr">
        <is>
          <t>✅ คำตอบที่ถูกต้อง: ข้อ ค. หยุดยา I, R, Z ทันที และรอจนเอนไซม์ตับกลับมาปกติก่อนเริ่มทีละตัว
💡 Background: หลักการบริบาลทางเภสัชกรรมและการควบคุมคุณภาพในหมวด 8. Infectious diseases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(หยุดยา E ตัวเดียว): ตัวเลือก หยุดยา E ตัวเดียว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(หยุดยา I, R ชั่วคราว): ตัวเลือก หยุดยา I, R ชั่วคราว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(หยุดยา I, R, Z แล้วลดขนาดยาลงครึ่งหนึ่งทันทีโดยไม่): ตัวเลือก หยุดยา I, R, Z แล้วลดขนาดยาลงครึ่งหนึ่งทันทีโดยไม่ต้องรอ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(ให้รับประทานยาต่อไปได้ตามปกติโดยไม่ต้องหยุดยา): ตัวเลือก ให้รับประทานยาต่อไปได้ตามปกติโดยไม่ต้องหยุดยา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8. Infectious diseases อย่างแม่นยำก่อนสอบ</t>
        </is>
      </c>
      <c r="L98" t="inlineStr">
        <is>
          <t>Tuberculosis</t>
        </is>
      </c>
      <c r="M98" t="inlineStr">
        <is>
          <t>Clinic</t>
        </is>
      </c>
      <c r="N98" t="inlineStr">
        <is>
          <t>[TEST] Quick Ingestion</t>
        </is>
      </c>
      <c r="O98" t="inlineStr">
        <is>
          <t>Mock</t>
        </is>
      </c>
      <c r="P98" t="inlineStr">
        <is>
          <t>Mock RxCU83 ครั้งที่ 1</t>
        </is>
      </c>
      <c r="Q98" t="inlineStr">
        <is>
          <t>8. Infectious diseases</t>
        </is>
      </c>
      <c r="R98" t="inlineStr">
        <is>
          <t>CASE_CLN_M83_TB_C01_Q2</t>
        </is>
      </c>
    </row>
    <row r="99">
      <c r="A99" t="n">
        <v>97</v>
      </c>
      <c r="B99" t="inlineStr">
        <is>
          <t>ผู้ป่วยรายนี้ได้รับการวินิจฉัยภาวะหัวใจเต้นผิดจังหวะร่วมด้วยและได้รับยา Warfarin ข้อใดถูกต้องเกี่ยวกับผลกระทบของยารักษาวัณโรคต่อระดับยา Warfarin ในเลือด</t>
        </is>
      </c>
      <c r="D99" t="inlineStr">
        <is>
          <t>Isoniazid ส่งผลให้ระดับยา warfarin ลดลงอย่างรุนแรง</t>
        </is>
      </c>
      <c r="E99" t="inlineStr">
        <is>
          <t>Rifampin ส่งผลให้ระดับยา warfarin ลดลงอย่างมีนัยสำคัญ</t>
        </is>
      </c>
      <c r="F99" t="inlineStr">
        <is>
          <t>Pyrazinamide ส่งผลให้ระดับยา warfarin เพิ่มขึ้นอย่างมาก</t>
        </is>
      </c>
      <c r="G99" t="inlineStr">
        <is>
          <t>Ethambutol ส่งผลให้ระดับยา warfarin ลดลง</t>
        </is>
      </c>
      <c r="H99" t="inlineStr">
        <is>
          <t>ยาทุกตัวในสูตรยารักษาวัณโรคไม่ส่งผลต่อระดับยา warfarin</t>
        </is>
      </c>
      <c r="I99" t="n">
        <v>2</v>
      </c>
      <c r="J99" t="inlineStr">
        <is>
          <t>✅ คำตอบที่ถูกต้อง: ข้อ ข. Rifampin ส่งผลให้ระดับยา warfarin ลดลงอย่างมีนัยสำคัญ
💡 Background: หลักการบริบาลทางเภสัชกรรมและการควบคุมคุณภาพในหมวด 8. Infectious diseases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(Isoniazid ส่งผลให้ระดับยา warfarin ลดลงอย่างรุนแรง): ตัวเลือก Isoniazid ส่งผลให้ระดับยา warfarin ลดลงอย่างรุนแรง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ค. (Pyrazinamide ส่งผลให้ระดับยา warfarin เพิ่มขึ้นอย่): ตัวเลือก Pyrazinamide ส่งผลให้ระดับยา warfarin เพิ่มขึ้นอย่างมาก ไม่ใช่คำตอบที่ถูกต้อง เนื่องจากมีกลไกทางเภสัชวิทยา ข้อบ่งใช้ หรือคุณสมบัติทางเภสัชเคมีที่ไม่ตรงกับเงื่อนไขที่โจทย์กำหนด
- ข้อ ง. (Ethambutol ส่งผลให้ระดับยา warfarin ลดลง): ตัวเลือก Ethambutol ส่งผลให้ระดับยา warfarin ลดลง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(ยาทุกตัวในสูตรยารักษาวัณโรคไม่ส่งผลต่อระดับยา warf): ตัวเลือก ยาทุกตัวในสูตรยารักษาวัณโรคไม่ส่งผลต่อระดับยา warfarin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8. Infectious diseases อย่างแม่นยำก่อนสอบ</t>
        </is>
      </c>
      <c r="L99" t="inlineStr">
        <is>
          <t>Tuberculosis</t>
        </is>
      </c>
      <c r="M99" t="inlineStr">
        <is>
          <t>Clinic</t>
        </is>
      </c>
      <c r="N99" t="inlineStr">
        <is>
          <t>[TEST] Quick Ingestion</t>
        </is>
      </c>
      <c r="O99" t="inlineStr">
        <is>
          <t>Mock</t>
        </is>
      </c>
      <c r="P99" t="inlineStr">
        <is>
          <t>Mock RxCU83 ครั้งที่ 1</t>
        </is>
      </c>
      <c r="Q99" t="inlineStr">
        <is>
          <t>8. Infectious diseases</t>
        </is>
      </c>
      <c r="R99" t="inlineStr">
        <is>
          <t>CASE_CLN_M83_TB_C01_Q3</t>
        </is>
      </c>
    </row>
    <row r="100">
      <c r="A100" t="n">
        <v>98</v>
      </c>
      <c r="B100" t="inlineStr">
        <is>
          <t>หลังการรักษาวัณโรคมาได้ 4 สัปดาห์ ผู้ป่วยมีอาการปวดข้อเท้าและข้อนิ้วหัวแม่เท้า เจาะตรวจพบ Serum uric acid สูงขึ้น เป็นอาการข้างเคียง (ADR) เด่นชัดจากยาตัวใดในสูตรยารักษาวัณโรค</t>
        </is>
      </c>
      <c r="D100" t="inlineStr">
        <is>
          <t>Isoniazid (I)</t>
        </is>
      </c>
      <c r="E100" t="inlineStr">
        <is>
          <t>Rifampicin (R)</t>
        </is>
      </c>
      <c r="F100" t="inlineStr">
        <is>
          <t>Pyrazinamide (Z)</t>
        </is>
      </c>
      <c r="G100" t="inlineStr">
        <is>
          <t>Ethambutol (E)</t>
        </is>
      </c>
      <c r="H100" t="inlineStr">
        <is>
          <t>Vitamin B6</t>
        </is>
      </c>
      <c r="I100" t="n">
        <v>3</v>
      </c>
      <c r="J100" t="inlineStr">
        <is>
          <t>✅ คำตอบที่ถูกต้อง: ข้อ ค. Pyrazinamide (Z)
💡 Background: หลักการบริบาลทางเภสัชกรรมและการควบคุมคุณภาพในหมวด 8. Infectious diseases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(Isoniazid (I)): ตัวเลือก Isoniazid (I) ไม่ใช่คำตอบที่ถูกต้อง เนื่องจากมีกลไกทางเภสัชวิทยา ข้อบ่งใช้ หรือคุณสมบัติทางเภสัชเคมีที่ไม่ตรงกับเงื่อนไขที่โจทย์กำหนด
- ข้อ ข. (Rifampicin (R)): ตัวเลือก Rifampicin (R) ไม่ใช่คำตอบที่ถูกต้อง เนื่องจากมีกลไกทางเภสัชวิทยา ข้อบ่งใช้ หรือคุณสมบัติทางเภสัชเคมีที่ไม่ตรงกับเงื่อนไขที่โจทย์กำหนด
- ข้อ ง. (Ethambutol (E)): ตัวเลือก Ethambutol (E) ไม่ใช่คำตอบที่ถูกต้อง เนื่องจากมีกลไกทางเภสัชวิทยา ข้อบ่งใช้ หรือคุณสมบัติทางเภสัชเคมีที่ไม่ตรงกับเงื่อนไขที่โจทย์กำหนด
- ข้อ จ. (Vitamin B6): ตัวเลือก Vitamin B6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8. Infectious diseases อย่างแม่นยำก่อนสอบ</t>
        </is>
      </c>
      <c r="L100" t="inlineStr">
        <is>
          <t>Tuberculosis</t>
        </is>
      </c>
      <c r="M100" t="inlineStr">
        <is>
          <t>Clinic</t>
        </is>
      </c>
      <c r="N100" t="inlineStr">
        <is>
          <t>[TEST] Quick Ingestion</t>
        </is>
      </c>
      <c r="O100" t="inlineStr">
        <is>
          <t>Mock</t>
        </is>
      </c>
      <c r="P100" t="inlineStr">
        <is>
          <t>Mock RxCU83 ครั้งที่ 1</t>
        </is>
      </c>
      <c r="Q100" t="inlineStr">
        <is>
          <t>8. Infectious diseases</t>
        </is>
      </c>
      <c r="R100" t="inlineStr">
        <is>
          <t>CASE_CLN_M83_TB_C01_Q4</t>
        </is>
      </c>
    </row>
    <row r="101">
      <c r="A101" t="n">
        <v>99</v>
      </c>
      <c r="B101" t="inlineStr">
        <is>
          <t>หากแพทย์สั่งจ่ายยา Ethambutol 400 mg 2 tab วันละ 1 ครั้ง โดยไม่ได้ปรับลดขนาดยาหรือยืดความถี่ตามการทำงานของไต (Renal function) ความเสี่ยงอาการข้างเคียงที่สำคัญและอันตรายที่สุดจากยาคือข้อใด</t>
        </is>
      </c>
      <c r="D101" t="inlineStr">
        <is>
          <t>Hepatotoxicity</t>
        </is>
      </c>
      <c r="E101" t="inlineStr">
        <is>
          <t>Optic neuritis (ประสาทตาอักเสบ สูญเสียการมองเห็น/ตาบอดสี)</t>
        </is>
      </c>
      <c r="F101" t="inlineStr">
        <is>
          <t>Hyperuricemia รุนแรง</t>
        </is>
      </c>
      <c r="G101" t="inlineStr">
        <is>
          <t>Peripheral neuropathy</t>
        </is>
      </c>
      <c r="H101" t="inlineStr">
        <is>
          <t>Orange color of urine</t>
        </is>
      </c>
      <c r="I101" t="n">
        <v>2</v>
      </c>
      <c r="J101" t="inlineStr">
        <is>
          <t>✅ คำตอบที่ถูกต้อง: ข้อ ข. Optic neuritis (ประสาทตาอักเสบ สูญเสียการมองเห็น/ตาบอดสี)
💡 Background: หลักการบริบาลทางเภสัชกรรมและการควบคุมคุณภาพในหมวด 8. Infectious diseases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(Hepatotoxicity): ตัวเลือก Hepatotoxicity ไม่ใช่คำตอบที่ถูกต้อง เนื่องจากมีกลไกทางเภสัชวิทยา ข้อบ่งใช้ หรือคุณสมบัติทางเภสัชเคมีที่ไม่ตรงกับเงื่อนไขที่โจทย์กำหนด
- ข้อ ค. (Hyperuricemia รุนแรง): ตัวเลือก Hyperuricemia รุนแรง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ง. (Peripheral neuropathy): ตัวเลือก Peripheral neuropathy ไม่ใช่คำตอบที่ถูกต้อง เนื่องจากมีกลไกทางเภสัชวิทยา ข้อบ่งใช้ หรือคุณสมบัติทางเภสัชเคมีที่ไม่ตรงกับเงื่อนไขที่โจทย์กำหนด
- ข้อ จ. (Orange color of urine): ตัวเลือก Orange color of urine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8. Infectious diseases อย่างแม่นยำก่อนสอบ</t>
        </is>
      </c>
      <c r="L101" t="inlineStr">
        <is>
          <t>Tuberculosis</t>
        </is>
      </c>
      <c r="M101" t="inlineStr">
        <is>
          <t>Clinic</t>
        </is>
      </c>
      <c r="N101" t="inlineStr">
        <is>
          <t>[TEST] Quick Ingestion</t>
        </is>
      </c>
      <c r="O101" t="inlineStr">
        <is>
          <t>Mock</t>
        </is>
      </c>
      <c r="P101" t="inlineStr">
        <is>
          <t>Mock RxCU83 ครั้งที่ 1</t>
        </is>
      </c>
      <c r="Q101" t="inlineStr">
        <is>
          <t>8. Infectious diseases</t>
        </is>
      </c>
      <c r="R101" t="inlineStr">
        <is>
          <t>CASE_CLN_M83_TB_C01_Q5</t>
        </is>
      </c>
    </row>
    <row r="102">
      <c r="A102" t="n">
        <v>100</v>
      </c>
      <c r="B102" t="inlineStr">
        <is>
          <t>ผู้ป่วยไม่สามารถรับประทานยาเม็ดได้และแพทย์ต้องการให้ยาในรูปแบบพ่นสูดชนิดสารละลาย (Nebulized solution) ข้อใดต่อไปนี้กล่าวผิดเกี่ยวกับยารูปแบบดังกล่าว</t>
        </is>
      </c>
      <c r="D102" t="inlineStr">
        <is>
          <t>เป็นการบริหารยาแบบ Non-invasive</t>
        </is>
      </c>
      <c r="E102" t="inlineStr">
        <is>
          <t>ยาออกฤทธิ์เฉพาะที่อวัยวะเป้าหมายเท่านั้น ไม่เข้าสู่กระแสเลือดเลยในทุกกรณี</t>
        </is>
      </c>
      <c r="F102" t="inlineStr">
        <is>
          <t>ยาที่สูดเข้าปอดโดยตรงไม่ต้องผ่าน hepatic first-pass metabolism</t>
        </is>
      </c>
      <c r="G102" t="inlineStr">
        <is>
          <t>ผลข้างเคียงทั่วร่างกาย (Systemic side effects) มักน้อยกว่ายารูปแบบรับประทาน</t>
        </is>
      </c>
      <c r="H102" t="inlineStr">
        <is>
          <t>สามารถปรับขนาดยาได้เมื่อเทียบกับยารูปแบบรับประทาน</t>
        </is>
      </c>
      <c r="I102" t="n">
        <v>2</v>
      </c>
      <c r="J102" t="inlineStr">
        <is>
          <t>✅ คำตอบที่ถูกต้อง: ข้อ ข. ยาออกฤทธิ์เฉพาะที่อวัยวะเป้าหมายเท่านั้น ไม่เข้าสู่กระแสเลือดเลยในทุกกรณี
💡 Background: หลักการบริบาลทางเภสัชกรรมและการควบคุมคุณภาพในหมวด 6. Solid Dosage Forms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(เป็นการบริหารยาแบบ Non-invasive): ตัวเลือก เป็นการบริหารยาแบบ Non-invasive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(ยาที่สูดเข้าปอดโดยตรงไม่ต้องผ่าน hepatic first-pas): ตัวเลือก ยาที่สูดเข้าปอดโดยตรงไม่ต้องผ่าน hepatic first-pass metaboli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(ผลข้างเคียงทั่วร่างกาย (Systemic side effects) มัก): ตัวเลือก ผลข้างเคียงทั่วร่างกาย (Systemic side effects) มักน้อยกว่ายา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(สามารถปรับขนาดยาได้เมื่อเทียบกับยารูปแบบรับประทาน): ตัวเลือก สามารถปรับขนาดยาได้เมื่อเทียบกับยารูปแบบรับประทาน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102" t="inlineStr">
        <is>
          <t>Inhalation devices</t>
        </is>
      </c>
      <c r="M102" t="inlineStr">
        <is>
          <t>Product</t>
        </is>
      </c>
      <c r="N102" t="inlineStr">
        <is>
          <t>[TEST] Quick Ingestion</t>
        </is>
      </c>
      <c r="O102" t="inlineStr">
        <is>
          <t>Mock</t>
        </is>
      </c>
      <c r="P102" t="inlineStr">
        <is>
          <t>Mock RxCU83 ครั้งที่ 1</t>
        </is>
      </c>
      <c r="Q102" t="inlineStr">
        <is>
          <t>6. Solid Dosage Forms</t>
        </is>
      </c>
      <c r="R102" t="inlineStr">
        <is>
          <t>CASE_PRD_M83_TB_C01_Q1</t>
        </is>
      </c>
    </row>
    <row r="103">
      <c r="A103" t="n">
        <v>101</v>
      </c>
      <c r="B103" t="inlineStr">
        <is>
          <t>หากต้องการเปลี่ยนแปลงยาเม็ดของผู้ป่วยเป็นรูปแบบชนิดพ่นสูด (Nebulized solution) ข้อใดต่อไปนี้ ไม่ใช่ ส่วนประกอบของสูตรตำรับดังกล่าว</t>
        </is>
      </c>
      <c r="D103" t="inlineStr">
        <is>
          <t>Solvent</t>
        </is>
      </c>
      <c r="E103" t="inlineStr">
        <is>
          <t>Propellant (สารขับดัน)</t>
        </is>
      </c>
      <c r="F103" t="inlineStr">
        <is>
          <t>Tonicity agent</t>
        </is>
      </c>
      <c r="G103" t="inlineStr">
        <is>
          <t>Preservative</t>
        </is>
      </c>
      <c r="H103" t="inlineStr">
        <is>
          <t>Solubilizer</t>
        </is>
      </c>
      <c r="I103" t="n">
        <v>2</v>
      </c>
      <c r="J103" t="inlineStr">
        <is>
          <t>✅ คำตอบที่ถูกต้อง: ข้อ ข. Propellant (สารขับดัน)
💡 Background: หลักการบริบาลทางเภสัชกรรมและการควบคุมคุณภาพในหมวด 6. Solid Dosage Forms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(Solvent): ตัวเลือก Solvent ไม่ใช่คำตอบที่ถูกต้อง เนื่องจากมีกลไกทางเภสัชวิทยา ข้อบ่งใช้ หรือคุณสมบัติทางเภสัชเคมีที่ไม่ตรงกับเงื่อนไขที่โจทย์กำหนด
- ข้อ ค. (Tonicity agent): ตัวเลือก Tonicity agent ไม่ใช่คำตอบที่ถูกต้อง เนื่องจากมีกลไกทางเภสัชวิทยา ข้อบ่งใช้ หรือคุณสมบัติทางเภสัชเคมีที่ไม่ตรงกับเงื่อนไขที่โจทย์กำหนด
- ข้อ ง. (Preservative): ตัวเลือก Preservative ไม่ใช่คำตอบที่ถูกต้อง เนื่องจากมีกลไกทางเภสัชวิทยา ข้อบ่งใช้ หรือคุณสมบัติทางเภสัชเคมีที่ไม่ตรงกับเงื่อนไขที่โจทย์กำหนด
- ข้อ จ. (Solubilizer): ตัวเลือก Solubilizer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103" t="inlineStr">
        <is>
          <t>Inhalation devices</t>
        </is>
      </c>
      <c r="M103" t="inlineStr">
        <is>
          <t>Product</t>
        </is>
      </c>
      <c r="N103" t="inlineStr">
        <is>
          <t>[TEST] Quick Ingestion</t>
        </is>
      </c>
      <c r="O103" t="inlineStr">
        <is>
          <t>Mock</t>
        </is>
      </c>
      <c r="P103" t="inlineStr">
        <is>
          <t>Mock RxCU83 ครั้งที่ 1</t>
        </is>
      </c>
      <c r="Q103" t="inlineStr">
        <is>
          <t>6. Solid Dosage Forms</t>
        </is>
      </c>
      <c r="R103" t="inlineStr">
        <is>
          <t>CASE_PRD_M83_TB_C01_Q2</t>
        </is>
      </c>
    </row>
    <row r="104">
      <c r="A104" t="n">
        <v>102</v>
      </c>
      <c r="B104" t="inlineStr">
        <is>
          <t>ข้อใด ไม่จัดเป็น หัวข้อการทดสอบคุณภาพของยาในรูปแบบสารละลายสำหรับพ่นละออง (Nebulized solution)</t>
        </is>
      </c>
      <c r="D104" t="inlineStr">
        <is>
          <t>Assay</t>
        </is>
      </c>
      <c r="E104" t="inlineStr">
        <is>
          <t>Sterility</t>
        </is>
      </c>
      <c r="F104" t="inlineStr">
        <is>
          <t>Content uniformity</t>
        </is>
      </c>
      <c r="G104" t="inlineStr">
        <is>
          <t>Particle size</t>
        </is>
      </c>
      <c r="H104" t="inlineStr">
        <is>
          <t>Impurity</t>
        </is>
      </c>
      <c r="I104" t="n">
        <v>4</v>
      </c>
      <c r="J104" t="inlineStr">
        <is>
          <t>✅ คำตอบที่ถูกต้อง: ข้อ ง. Particle size
💡 Background: หลักการบริบาลทางเภสัชกรรมและการควบคุมคุณภาพในหมวด 1. Titrations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(Assay): ตัวเลือก Assay ไม่ใช่คำตอบที่ถูกต้อง เนื่องจากมีกลไกทางเภสัชวิทยา ข้อบ่งใช้ หรือคุณสมบัติทางเภสัชเคมีที่ไม่ตรงกับเงื่อนไขที่โจทย์กำหนด
- ข้อ ข. (Sterility): ตัวเลือก Sterility ไม่ใช่คำตอบที่ถูกต้อง เนื่องจากมีกลไกทางเภสัชวิทยา ข้อบ่งใช้ หรือคุณสมบัติทางเภสัชเคมีที่ไม่ตรงกับเงื่อนไขที่โจทย์กำหนด
- ข้อ ค. (Content uniformity): ตัวเลือก Content uniformity ไม่ใช่คำตอบที่ถูกต้อง เนื่องจากมีกลไกทางเภสัชวิทยา ข้อบ่งใช้ หรือคุณสมบัติทางเภสัชเคมีที่ไม่ตรงกับเงื่อนไขที่โจทย์กำหนด
- ข้อ จ. (Impurity): ตัวเลือก Impurity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104" t="inlineStr">
        <is>
          <t>Inhalation devices</t>
        </is>
      </c>
      <c r="M104" t="inlineStr">
        <is>
          <t>Product</t>
        </is>
      </c>
      <c r="N104" t="inlineStr">
        <is>
          <t>[TEST] Quick Ingestion</t>
        </is>
      </c>
      <c r="O104" t="inlineStr">
        <is>
          <t>Mock</t>
        </is>
      </c>
      <c r="P104" t="inlineStr">
        <is>
          <t>Mock RxCU83 ครั้งที่ 1</t>
        </is>
      </c>
      <c r="Q104" t="inlineStr">
        <is>
          <t>1. Titrations</t>
        </is>
      </c>
      <c r="R104" t="inlineStr">
        <is>
          <t>CASE_PRD_M83_TB_C01_Q3</t>
        </is>
      </c>
    </row>
    <row r="105">
      <c r="A105" t="n">
        <v>103</v>
      </c>
      <c r="B105" t="inlineStr">
        <is>
          <t>ข้อใดถูกต้องเกี่ยวกับคุณสมบัติและเมแทบอลิซึมของยา Isoniazid</t>
        </is>
      </c>
      <c r="D105" t="inlineStr">
        <is>
          <t>ยานี้มีกลไกยับยั้งการสังเคราะห์ DNA โดยตรง</t>
        </is>
      </c>
      <c r="E105" t="inlineStr">
        <is>
          <t>ทำให้ปัสสาวะมีสีส้มแดง</t>
        </is>
      </c>
      <c r="F105" t="inlineStr">
        <is>
          <t>สารเมแทบอไลต์ Acetylhydrazine เกิดพิษต่อตับ (Hepatotoxicity)</t>
        </is>
      </c>
      <c r="G105" t="inlineStr">
        <is>
          <t>สารเมแทบอไลต์ Diacetylhydrazine มีพิษต่อตับมากกว่า</t>
        </is>
      </c>
      <c r="H105" t="inlineStr">
        <is>
          <t>เป็นสารเหนี่ยวนำเอนไซม์ CYP450 ที่แรงที่สุด</t>
        </is>
      </c>
      <c r="I105" t="n">
        <v>3</v>
      </c>
      <c r="J105" t="inlineStr">
        <is>
          <t>✅ คำตอบที่ถูกต้อง: ข้อ ค. สารเมแทบอไลต์ Acetylhydrazine เกิดพิษต่อตับ (Hepatotoxicity)
💡 Background: หลักการบริบาลทางเภสัชกรรมและการควบคุมคุณภาพในหมวด 13. Medicinal Chemistry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(ยานี้มีกลไกยับยั้งการสังเคราะห์ DNA โดยตรง): ตัวเลือก ยานี้มีกลไกยับยั้งการสังเคราะห์ DNA โดยตรง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(ทำให้ปัสสาวะมีสีส้มแดง): ตัวเลือก ทำให้ปัสสาวะมีสีส้มแดง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(สารเมแทบอไลต์ Diacetylhydrazine มีพิษต่อตับมากกว่า): ตัวเลือก สารเมแทบอไลต์ Diacetylhydrazine มีพิษต่อตับมากกว่า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(เป็นสารเหนี่ยวนำเอนไซม์ CYP450 ที่แรงที่สุด): ตัวเลือก เป็นสารเหนี่ยวนำเอนไซม์ CYP450 ที่แรงที่สุด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13. Medicinal Chemistry อย่างแม่นยำก่อนสอบ</t>
        </is>
      </c>
      <c r="L105" t="inlineStr">
        <is>
          <t>Medicinal Chemistry</t>
        </is>
      </c>
      <c r="M105" t="inlineStr">
        <is>
          <t>Product</t>
        </is>
      </c>
      <c r="N105" t="inlineStr">
        <is>
          <t>[TEST] Quick Ingestion</t>
        </is>
      </c>
      <c r="O105" t="inlineStr">
        <is>
          <t>Mock</t>
        </is>
      </c>
      <c r="P105" t="inlineStr">
        <is>
          <t>Mock RxCU83 ครั้งที่ 1</t>
        </is>
      </c>
      <c r="Q105" t="inlineStr">
        <is>
          <t>13. Medicinal Chemistry</t>
        </is>
      </c>
      <c r="R105" t="inlineStr">
        <is>
          <t>CASE_PRD_M83_TB_C01_Q4</t>
        </is>
      </c>
    </row>
    <row r="106">
      <c r="A106" t="n">
        <v>104</v>
      </c>
      <c r="B106" t="inlineStr">
        <is>
          <t>ผู้ป่วยติดเชื้อ HIV และมีวัณโรคร่วม ที่ได้รับการรักษาด้วยยาต้านไวรัสและยาต้านวัณโรคสูตร First-line อาจมีอาการชาและรู้สึกซ่าๆ ที่มือและเท้า ข้อใดเป็นสาเหตุของอาการดังกล่าว</t>
        </is>
      </c>
      <c r="D106" t="inlineStr">
        <is>
          <t>ขาด Vitamin D เนื่องจากได้รับแสงแดดไม่พอ</t>
        </is>
      </c>
      <c r="E106" t="inlineStr">
        <is>
          <t>ขาด Vitamin B6 (Pyridoxine) เนื่องจากการรักษาด้วยยา Isoniazid</t>
        </is>
      </c>
      <c r="F106" t="inlineStr">
        <is>
          <t>ขาด Folate เนื่องจากสูญเสียทางปัสสาวะเพิ่มขึ้น</t>
        </is>
      </c>
      <c r="G106" t="inlineStr">
        <is>
          <t>ขาด Vitamin B12 เนื่องจากการดูดซึมผิดปกติ</t>
        </is>
      </c>
      <c r="H106" t="inlineStr">
        <is>
          <t>ขาด สังกะสี (Zn) เนื่องจากยาลดความอยากอาหาร</t>
        </is>
      </c>
      <c r="I106" t="n">
        <v>2</v>
      </c>
      <c r="J106" t="inlineStr">
        <is>
          <t>✅ คำตอบที่ถูกต้อง: ข้อ ข. ขาด Vitamin B6 (Pyridoxine) เนื่องจากการรักษาด้วยยา Isoniazid
💡 Background: หลักการบริบาลทางเภสัชกรรมและการควบคุมคุณภาพในหมวด 8. Infectious diseases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(ขาด Vitamin D เนื่องจากได้รับแสงแดดไม่พอ): ตัวเลือก ขาด Vitamin D เนื่องจากได้รับแสงแดดไม่พอ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(ขาด Folate เนื่องจากสูญเสียทางปัสสาวะเพิ่มขึ้น): ตัวเลือก ขาด Folate เนื่องจากสูญเสียทางปัสสาวะเพิ่มขึ้น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(ขาด Vitamin B12 เนื่องจากการดูดซึมผิดปกติ): ตัวเลือก ขาด Vitamin B12 เนื่องจากการดูดซึมผิดปกติ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(ขาด สังกะสี (Zn) เนื่องจากยาลดความอยากอาหาร): ตัวเลือก ขาด สังกะสี (Zn) เนื่องจากยาลดความอยากอาหาร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8. Infectious diseases อย่างแม่นยำก่อนสอบ</t>
        </is>
      </c>
      <c r="L106" t="inlineStr">
        <is>
          <t>Tuberculosis</t>
        </is>
      </c>
      <c r="M106" t="inlineStr">
        <is>
          <t>Clinic</t>
        </is>
      </c>
      <c r="N106" t="inlineStr">
        <is>
          <t>[TEST] Quick Ingestion</t>
        </is>
      </c>
      <c r="O106" t="inlineStr">
        <is>
          <t>Mock</t>
        </is>
      </c>
      <c r="P106" t="inlineStr">
        <is>
          <t>Mock RxCU83 ครั้งที่ 1</t>
        </is>
      </c>
      <c r="Q106" t="inlineStr">
        <is>
          <t>8. Infectious diseases</t>
        </is>
      </c>
      <c r="R106" t="inlineStr">
        <is>
          <t>CASE_CLN_M83_TB_C02_Q1</t>
        </is>
      </c>
    </row>
    <row r="107">
      <c r="A107" t="n">
        <v>105</v>
      </c>
      <c r="B107" t="inlineStr">
        <is>
          <t>Isoniazid injection จัดเป็น sterile product ต้องมีการทดสอบ bacterial endotoxin ตาม USP &lt;85&gt; กำหนดเกณฑ์ NMT 0.3 EU/mg of isoniazid เมื่อทดสอบ isoniazid injection 1000 mg/10 mL ได้ endotoxin = 25 EU/mL พิจารณาผลการทดสอบถือว่าผ่านหรือไม่</t>
        </is>
      </c>
      <c r="D107" t="inlineStr">
        <is>
          <t>ผ่าน เพราะต่ำกว่า limit</t>
        </is>
      </c>
      <c r="E107" t="inlineStr">
        <is>
          <t>ไม่ผ่าน เพราะเกิน limit</t>
        </is>
      </c>
      <c r="F107" t="inlineStr">
        <is>
          <t>ผ่านได้ถ้าเจือจางเพิ่ม</t>
        </is>
      </c>
      <c r="G107" t="inlineStr">
        <is>
          <t>ไม่ผ่าน ต้องทดสอบ sterility test ใหม่</t>
        </is>
      </c>
      <c r="H107" t="inlineStr">
        <is>
          <t>ไม่ผ่านตั้งแต่การเจือจางขวดแรก</t>
        </is>
      </c>
      <c r="I107" t="n">
        <v>1</v>
      </c>
      <c r="J107" t="inlineStr">
        <is>
          <t>✅ คำตอบที่ถูกต้อง: ข้อ ก. ผ่าน เพราะต่ำกว่า limit
💡 Background: หลักการบริบาลทางเภสัชกรรมและการควบคุมคุณภาพในหมวด 1. Titrations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(ไม่ผ่าน เพราะเกิน limit): ตัวเลือก ไม่ผ่าน เพราะเกิน limit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(ผ่านได้ถ้าเจือจางเพิ่ม): ตัวเลือก ผ่านได้ถ้าเจือจางเพิ่ม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(ไม่ผ่าน ต้องทดสอบ sterility test ใหม่): ตัวเลือก ไม่ผ่าน ต้องทดสอบ sterility test ใหม่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(ไม่ผ่านตั้งแต่การเจือจางขวดแรก): ตัวเลือก ไม่ผ่านตั้งแต่การเจือจางขวดแรก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107" t="inlineStr">
        <is>
          <t>Sterility &amp; Pyrogen testing</t>
        </is>
      </c>
      <c r="M107" t="inlineStr">
        <is>
          <t>Product</t>
        </is>
      </c>
      <c r="N107" t="inlineStr">
        <is>
          <t>[TEST] Quick Ingestion</t>
        </is>
      </c>
      <c r="O107" t="inlineStr">
        <is>
          <t>Mock</t>
        </is>
      </c>
      <c r="P107" t="inlineStr">
        <is>
          <t>Mock RxCU83 ครั้งที่ 1</t>
        </is>
      </c>
      <c r="Q107" t="inlineStr">
        <is>
          <t>1. Titrations</t>
        </is>
      </c>
      <c r="R107" t="inlineStr">
        <is>
          <t>CASE_PRD_M83_TB_C01_Q5</t>
        </is>
      </c>
    </row>
    <row r="108">
      <c r="A108" t="n">
        <v>106</v>
      </c>
      <c r="B108" t="inlineStr">
        <is>
          <t>ผู้ป่วยมีความกังวลจากการต้องทานยาจำนวนมากเป็นประจำ ซึ่งอาจส่งผลต่อ Adherence ในฐานะเภสัชกรท่านจะใช้วิธีการสื่อสารเช่นใดกับผู้ป่วยรายนี้</t>
        </is>
      </c>
      <c r="D108" t="inlineStr">
        <is>
          <t>ให้คำแนะนำที่ตรงไปตรงมา เน้นย้ำถึงอันตรายของการเกิดเชื้อดื้อยา</t>
        </is>
      </c>
      <c r="E108" t="inlineStr">
        <is>
          <t>ให้คำแนะนำตามหลักวิชาการเพื่อให้ดูน่าเชื่อถือ</t>
        </is>
      </c>
      <c r="F108" t="inlineStr">
        <is>
          <t>สร้างเสริมพลังอำนาจแก่ผู้ป่วย (Empowerment) เปิดโอกาสให้ซักถามความกังวล และร่วมวางแผนการทานยากับผู้ป่วย</t>
        </is>
      </c>
      <c r="G108" t="inlineStr">
        <is>
          <t>ให้คำแนะนำที่กระชับ และเน้นความสำคัญของการใช้ยาในการรักษาอาการป่วย</t>
        </is>
      </c>
      <c r="H108" t="inlineStr">
        <is>
          <t>ให้คำแนะนำเท่าที่จำเป็น เพื่อให้ผู้ป่วยไม่สับสนและกลัวการใช้ยา</t>
        </is>
      </c>
      <c r="I108" t="n">
        <v>3</v>
      </c>
      <c r="J108" t="inlineStr">
        <is>
          <t>✅ คำตอบที่ถูกต้อง: ข้อ ค. สร้างเสริมพลังอำนาจแก่ผู้ป่วย (Empowerment) เปิดโอกาสให้ซักถามความกังวล และร่วมวางแผนการทานยากับผู้ป่วย
💡 Background: หลักการบริบาลทางเภสัชกรรมและการควบคุมคุณภาพในหมวด 2. Pharmacy Administration &amp; Sy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(ให้คำแนะนำที่ตรงไปตรงมา เน้นย้ำถึงอันตรายของการเกิ): ตัวเลือก ให้คำแนะนำที่ตรงไปตรงมา เน้นย้ำถึงอันตรายของการเกิดเชื้อดื้อ ไม่ใช่คำตอบที่ถูกต้อง เนื่องจากมีกลไกทางเภสัชวิทยา ข้อบ่งใช้ หรือคุณสมบัติทางเภสัชเคมีที่ไม่ตรงกับเงื่อนไขที่โจทย์กำหนด
- ข้อ ข. (ให้คำแนะนำตามหลักวิชาการเพื่อให้ดูน่าเชื่อถือ): ตัวเลือก ให้คำแนะนำตามหลักวิชาการเพื่อให้ดูน่าเชื่อถือ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(ให้คำแนะนำที่กระชับ และเน้นความสำคัญของการใช้ยาในก): ตัวเลือก ให้คำแนะนำที่กระชับ และเน้นความสำคัญของการใช้ยาในการรักษาอาก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(ให้คำแนะนำเท่าที่จำเป็น เพื่อให้ผู้ป่วยไม่สับสนและ): ตัวเลือก ให้คำแนะนำเท่าที่จำเป็น เพื่อให้ผู้ป่วยไม่สับสนและกลัวการใช้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L108" t="inlineStr">
        <is>
          <t>Pharmacy Administration &amp; System</t>
        </is>
      </c>
      <c r="M108" t="inlineStr">
        <is>
          <t>SAP</t>
        </is>
      </c>
      <c r="N108" t="inlineStr">
        <is>
          <t>[TEST] Quick Ingestion</t>
        </is>
      </c>
      <c r="O108" t="inlineStr">
        <is>
          <t>Mock</t>
        </is>
      </c>
      <c r="P108" t="inlineStr">
        <is>
          <t>Mock RxCU83 ครั้งที่ 1</t>
        </is>
      </c>
      <c r="Q108" t="inlineStr">
        <is>
          <t>2. Pharmacy Administration &amp; Sy</t>
        </is>
      </c>
      <c r="R108" t="inlineStr">
        <is>
          <t>CASE_SAP_M83_TB_C01_Q1</t>
        </is>
      </c>
    </row>
    <row r="109">
      <c r="A109" t="n">
        <v>107</v>
      </c>
      <c r="B109" t="inlineStr">
        <is>
          <t>ผู้ป่วยอายุ 65 ปี มีปัญหาต้องใช้ยาหลายตัว ในการคำนึงถึง Pharmaco-technology และการออกแบบเพื่อผู้ใช้ (Universal center design) ควรดำเนินการอย่างไรเพื่อป้องกันความคลาดเคลื่อน</t>
        </is>
      </c>
      <c r="D109" t="inlineStr">
        <is>
          <t>เขียนฉลากตัวบรรจงให้ผู้ป่วยอ่าน</t>
        </is>
      </c>
      <c r="E109" t="inlineStr">
        <is>
          <t>จัด Pillbox แบ่งตามวัน/มื้อให้ผู้ป่วย และสอนให้ผู้ป่วยฝึกจัดเตรียมเองในวันถัดไป</t>
        </is>
      </c>
      <c r="F109" t="inlineStr">
        <is>
          <t>อ่านฉลากให้ผู้ป่วยฟังอย่างละเอียด</t>
        </is>
      </c>
      <c r="G109" t="inlineStr">
        <is>
          <t>บอกให้ผู้ป่วยหาคนมาดูแลเรื่องยา</t>
        </is>
      </c>
      <c r="H109" t="inlineStr">
        <is>
          <t>ทำแผ่นพับภาษาไทยแนบให้ผู้ป่วยไปอ่านเอง</t>
        </is>
      </c>
      <c r="I109" t="n">
        <v>2</v>
      </c>
      <c r="J109" t="inlineStr">
        <is>
          <t>✅ คำตอบที่ถูกต้อง: ข้อ ข. จัด Pillbox แบ่งตามวัน/มื้อให้ผู้ป่วย และสอนให้ผู้ป่วยฝึกจัดเตรียมเองในวันถัดไป
💡 Background: หลักการบริบาลทางเภสัชกรรมและการควบคุมคุณภาพในหมวด 2. Pharmacy Administration &amp; Sy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(เขียนฉลากตัวบรรจงให้ผู้ป่วยอ่าน): ตัวเลือก เขียนฉลากตัวบรรจงให้ผู้ป่วยอ่าน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(อ่านฉลากให้ผู้ป่วยฟังอย่างละเอียด): ตัวเลือก อ่านฉลากให้ผู้ป่วยฟังอย่างละเอียด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(บอกให้ผู้ป่วยหาคนมาดูแลเรื่องยา): ตัวเลือก บอกให้ผู้ป่วยหาคนมาดูแลเรื่องยา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(ทำแผ่นพับภาษาไทยแนบให้ผู้ป่วยไปอ่านเอง): ตัวเลือก ทำแผ่นพับภาษาไทยแนบให้ผู้ป่วยไปอ่านเอง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L109" t="inlineStr">
        <is>
          <t>Pharmacy Administration &amp; System</t>
        </is>
      </c>
      <c r="M109" t="inlineStr">
        <is>
          <t>SAP</t>
        </is>
      </c>
      <c r="N109" t="inlineStr">
        <is>
          <t>[TEST] Quick Ingestion</t>
        </is>
      </c>
      <c r="O109" t="inlineStr">
        <is>
          <t>Mock</t>
        </is>
      </c>
      <c r="P109" t="inlineStr">
        <is>
          <t>Mock RxCU83 ครั้งที่ 1</t>
        </is>
      </c>
      <c r="Q109" t="inlineStr">
        <is>
          <t>2. Pharmacy Administration &amp; Sy</t>
        </is>
      </c>
      <c r="R109" t="inlineStr">
        <is>
          <t>CASE_SAP_M83_TB_C01_Q2</t>
        </is>
      </c>
    </row>
    <row r="110">
      <c r="A110" t="n">
        <v>108</v>
      </c>
      <c r="B110" t="inlineStr">
        <is>
          <t>ผู้ป่วยหญิง 31 ปี ปวดศีรษะข้างเดียวบริเวณขมับขวา ปวดตุบๆ Pain score 8 นาน 5 ชม. มีคลื่นไส้อาเจียน ก่อนปวดเห็นแสงซิกแซกด้านขวา เป็นสัปดาห์ละ 3 ครั้ง อาการของผู้ป่วยเข้าได้กับอาการปวดแบบใด</t>
        </is>
      </c>
      <c r="D110" t="inlineStr">
        <is>
          <t>Tension-type headache</t>
        </is>
      </c>
      <c r="E110" t="inlineStr">
        <is>
          <t>Migraine headache (Migraine with aura)</t>
        </is>
      </c>
      <c r="F110" t="inlineStr">
        <is>
          <t>Cluster headache</t>
        </is>
      </c>
      <c r="G110" t="inlineStr">
        <is>
          <t>Sinusitis headache</t>
        </is>
      </c>
      <c r="H110" t="inlineStr">
        <is>
          <t>Thunderclap headache</t>
        </is>
      </c>
      <c r="I110" t="n">
        <v>2</v>
      </c>
      <c r="J110" t="inlineStr">
        <is>
          <t>✅ คำตอบที่ถูกต้อง: ข้อ ข. Migraine headache (Migraine with aura)
💡 Background: หลักการบริบาลทางเภสัชกรรมและการควบคุมคุณภาพในหมวด 9. Neurologic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(Tension-type headache): ตัวเลือก Tension-type headache ไม่ใช่คำตอบที่ถูกต้อง เนื่องจากมีกลไกทางเภสัชวิทยา ข้อบ่งใช้ หรือคุณสมบัติทางเภสัชเคมีที่ไม่ตรงกับเงื่อนไขที่โจทย์กำหนด
- ข้อ ค. (Cluster headache): ตัวเลือก Cluster headache ไม่ใช่คำตอบที่ถูกต้อง เนื่องจากมีกลไกทางเภสัชวิทยา ข้อบ่งใช้ หรือคุณสมบัติทางเภสัชเคมีที่ไม่ตรงกับเงื่อนไขที่โจทย์กำหนด
- ข้อ ง. (Sinusitis headache): ตัวเลือก Sinusitis headache ไม่ใช่คำตอบที่ถูกต้อง เนื่องจากมีกลไกทางเภสัชวิทยา ข้อบ่งใช้ หรือคุณสมบัติทางเภสัชเคมีที่ไม่ตรงกับเงื่อนไขที่โจทย์กำหนด
- ข้อ จ. (Thunderclap headache): ตัวเลือก Thunderclap headache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9. Neurologic อย่างแม่นยำก่อนสอบ</t>
        </is>
      </c>
      <c r="L110" t="inlineStr">
        <is>
          <t>Headache</t>
        </is>
      </c>
      <c r="M110" t="inlineStr">
        <is>
          <t>Clinic</t>
        </is>
      </c>
      <c r="N110" t="inlineStr">
        <is>
          <t>[TEST] Quick Ingestion</t>
        </is>
      </c>
      <c r="O110" t="inlineStr">
        <is>
          <t>Mock</t>
        </is>
      </c>
      <c r="P110" t="inlineStr">
        <is>
          <t>Mock RxCU83 ครั้งที่ 1</t>
        </is>
      </c>
      <c r="Q110" t="inlineStr">
        <is>
          <t>9. Neurologic</t>
        </is>
      </c>
      <c r="R110" t="inlineStr">
        <is>
          <t>CASE_CLN_M83_MIG_C01_Q1</t>
        </is>
      </c>
    </row>
    <row r="111">
      <c r="A111" t="n">
        <v>109</v>
      </c>
      <c r="B111" t="inlineStr">
        <is>
          <t>แผนการรักษาอาการปวดศีรษะกำเริบเฉียบพลัน (Acute attack) ที่มีความรุนแรงปานกลางถึงมาก (Moderate to severe pain) ที่เหมาะสมที่สุดสำหรับผู้ป่วยรายนี้</t>
        </is>
      </c>
      <c r="D111" t="inlineStr">
        <is>
          <t>Diclofenac</t>
        </is>
      </c>
      <c r="E111" t="inlineStr">
        <is>
          <t>Paracetamol</t>
        </is>
      </c>
      <c r="F111" t="inlineStr">
        <is>
          <t>Dexamethasone</t>
        </is>
      </c>
      <c r="G111" t="inlineStr">
        <is>
          <t>Eletriptan</t>
        </is>
      </c>
      <c r="H111" t="inlineStr">
        <is>
          <t>Nortriptyline</t>
        </is>
      </c>
      <c r="I111" t="n">
        <v>4</v>
      </c>
      <c r="J111" t="inlineStr">
        <is>
          <t>✅ คำตอบที่ถูกต้อง: ข้อ ง. Eletriptan
💡 Background: หลักการบริบาลทางเภสัชกรรมและการควบคุมคุณภาพในหมวด 9. Neurologic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(Diclofenac): ตัวเลือก Diclofenac ไม่ใช่คำตอบที่ถูกต้อง เนื่องจากมีกลไกทางเภสัชวิทยา ข้อบ่งใช้ หรือคุณสมบัติทางเภสัชเคมีที่ไม่ตรงกับเงื่อนไขที่โจทย์กำหนด
- ข้อ ข. (Paracetamol): ตัวเลือก Paracetamol ไม่ใช่คำตอบที่ถูกต้อง เนื่องจากมีกลไกทางเภสัชวิทยา ข้อบ่งใช้ หรือคุณสมบัติทางเภสัชเคมีที่ไม่ตรงกับเงื่อนไขที่โจทย์กำหนด
- ข้อ ค. (Dexamethasone): ตัวเลือก Dexamethasone ไม่ใช่คำตอบที่ถูกต้อง เนื่องจากมีกลไกทางเภสัชวิทยา ข้อบ่งใช้ หรือคุณสมบัติทางเภสัชเคมีที่ไม่ตรงกับเงื่อนไขที่โจทย์กำหนด
- ข้อ จ. (Nortriptyline): ตัวเลือก Nortriptyline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9. Neurologic อย่างแม่นยำก่อนสอบ</t>
        </is>
      </c>
      <c r="L111" t="inlineStr">
        <is>
          <t>Headache</t>
        </is>
      </c>
      <c r="M111" t="inlineStr">
        <is>
          <t>Clinic</t>
        </is>
      </c>
      <c r="N111" t="inlineStr">
        <is>
          <t>[TEST] Quick Ingestion</t>
        </is>
      </c>
      <c r="O111" t="inlineStr">
        <is>
          <t>Mock</t>
        </is>
      </c>
      <c r="P111" t="inlineStr">
        <is>
          <t>Mock RxCU83 ครั้งที่ 1</t>
        </is>
      </c>
      <c r="Q111" t="inlineStr">
        <is>
          <t>9. Neurologic</t>
        </is>
      </c>
      <c r="R111" t="inlineStr">
        <is>
          <t>CASE_CLN_M83_MIG_C01_Q2</t>
        </is>
      </c>
    </row>
    <row r="112">
      <c r="A112" t="n">
        <v>110</v>
      </c>
      <c r="B112" t="inlineStr">
        <is>
          <t>ผู้ป่วยมีประวัติโรคซึมเศร้า ไม่ควรได้รับยาป้องกันไมเกรนในข้อใด เพราะมีรายงานว่าอาจทำให้อาการของโรคซึมเศร้าแย่ลงได้</t>
        </is>
      </c>
      <c r="D112" t="inlineStr">
        <is>
          <t>Topiramate</t>
        </is>
      </c>
      <c r="E112" t="inlineStr">
        <is>
          <t>Atenolol</t>
        </is>
      </c>
      <c r="F112" t="inlineStr">
        <is>
          <t>Vitamin B6</t>
        </is>
      </c>
      <c r="G112" t="inlineStr">
        <is>
          <t>Amitriptyline</t>
        </is>
      </c>
      <c r="H112" t="inlineStr">
        <is>
          <t>Flunarizine</t>
        </is>
      </c>
      <c r="I112" t="n">
        <v>5</v>
      </c>
      <c r="J112" t="inlineStr">
        <is>
          <t>✅ คำตอบที่ถูกต้อง: ข้อ จ. Flunarizine
💡 Background: หลักการบริบาลทางเภสัชกรรมและการควบคุมคุณภาพในหมวด 9. Neurologic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(Topiramate): ตัวเลือก Topiramate ไม่ใช่คำตอบที่ถูกต้อง เนื่องจากมีกลไกทางเภสัชวิทยา ข้อบ่งใช้ หรือคุณสมบัติทางเภสัชเคมีที่ไม่ตรงกับเงื่อนไขที่โจทย์กำหนด
- ข้อ ข. (Atenolol): ตัวเลือก Atenolol ไม่ใช่คำตอบที่ถูกต้อง เนื่องจากมีกลไกทางเภสัชวิทยา ข้อบ่งใช้ หรือคุณสมบัติทางเภสัชเคมีที่ไม่ตรงกับเงื่อนไขที่โจทย์กำหนด
- ข้อ ค. (Vitamin B6): ตัวเลือก Vitamin B6 ไม่ใช่คำตอบที่ถูกต้อง เนื่องจากมีกลไกทางเภสัชวิทยา ข้อบ่งใช้ หรือคุณสมบัติทางเภสัชเคมีที่ไม่ตรงกับเงื่อนไขที่โจทย์กำหนด
- ข้อ ง. (Amitriptyline): ตัวเลือก Amitriptyline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9. Neurologic อย่างแม่นยำก่อนสอบ</t>
        </is>
      </c>
      <c r="L112" t="inlineStr">
        <is>
          <t>Headache</t>
        </is>
      </c>
      <c r="M112" t="inlineStr">
        <is>
          <t>Clinic</t>
        </is>
      </c>
      <c r="N112" t="inlineStr">
        <is>
          <t>[TEST] Quick Ingestion</t>
        </is>
      </c>
      <c r="O112" t="inlineStr">
        <is>
          <t>Mock</t>
        </is>
      </c>
      <c r="P112" t="inlineStr">
        <is>
          <t>Mock RxCU83 ครั้งที่ 1</t>
        </is>
      </c>
      <c r="Q112" t="inlineStr">
        <is>
          <t>9. Neurologic</t>
        </is>
      </c>
      <c r="R112" t="inlineStr">
        <is>
          <t>CASE_CLN_M83_MIG_C01_Q3</t>
        </is>
      </c>
    </row>
    <row r="113">
      <c r="A113" t="n">
        <v>111</v>
      </c>
      <c r="B113" t="inlineStr">
        <is>
          <t>การใช้ Propranolol ในการป้องกันไมเกรน ควรระวังหรือเป็นข้อห้ามใช้ในผู้ป่วยที่มีโรคร่วมใดมากที่สุด</t>
        </is>
      </c>
      <c r="D113" t="inlineStr">
        <is>
          <t>เบาหวาน</t>
        </is>
      </c>
      <c r="E113" t="inlineStr">
        <is>
          <t>หอบหืด (Asthma)</t>
        </is>
      </c>
      <c r="F113" t="inlineStr">
        <is>
          <t>ซึมเศร้า</t>
        </is>
      </c>
      <c r="G113" t="inlineStr">
        <is>
          <t>กรดไหลย้อน</t>
        </is>
      </c>
      <c r="H113" t="inlineStr">
        <is>
          <t>ไตเรื้อรัง</t>
        </is>
      </c>
      <c r="I113" t="n">
        <v>2</v>
      </c>
      <c r="J113" t="inlineStr">
        <is>
          <t>✅ คำตอบที่ถูกต้อง: ข้อ ข. หอบหืด (Asthma)
💡 Background: หลักการบริบาลทางเภสัชกรรมและการควบคุมคุณภาพในหมวด 9. Neurologic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(เบาหวาน): ตัวเลือก เบาหวาน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(ซึมเศร้า): ตัวเลือก ซึมเศร้า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(กรดไหลย้อน): ตัวเลือก กรดไหลย้อน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(ไตเรื้อรัง): ตัวเลือก ไตเรื้อรัง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9. Neurologic อย่างแม่นยำก่อนสอบ</t>
        </is>
      </c>
      <c r="L113" t="inlineStr">
        <is>
          <t>Headache</t>
        </is>
      </c>
      <c r="M113" t="inlineStr">
        <is>
          <t>Clinic</t>
        </is>
      </c>
      <c r="N113" t="inlineStr">
        <is>
          <t>[TEST] Quick Ingestion</t>
        </is>
      </c>
      <c r="O113" t="inlineStr">
        <is>
          <t>Mock</t>
        </is>
      </c>
      <c r="P113" t="inlineStr">
        <is>
          <t>Mock RxCU83 ครั้งที่ 1</t>
        </is>
      </c>
      <c r="Q113" t="inlineStr">
        <is>
          <t>9. Neurologic</t>
        </is>
      </c>
      <c r="R113" t="inlineStr">
        <is>
          <t>CASE_CLN_M83_MIG_C01_Q4</t>
        </is>
      </c>
    </row>
    <row r="114">
      <c r="A114" t="n">
        <v>112</v>
      </c>
      <c r="B114" t="inlineStr">
        <is>
          <t>ผู้ป่วยที่ใช้ยา NSAIDs (เช่น Naproxen) หรือยาแก้ปวดในการรักษาไมเกรนบ่อยเกินไป (เช่น เกิน 10-15 วันต่อเดือน) อาจทำให้เกิดภาวะแทรกซ้อนใด</t>
        </is>
      </c>
      <c r="D114" t="inlineStr">
        <is>
          <t>Rebound hypertension</t>
        </is>
      </c>
      <c r="E114" t="inlineStr">
        <is>
          <t>Medication Overuse Headache (MOH)</t>
        </is>
      </c>
      <c r="F114" t="inlineStr">
        <is>
          <t>Serotonin syndrome</t>
        </is>
      </c>
      <c r="G114" t="inlineStr">
        <is>
          <t>Orthostatic hypotension</t>
        </is>
      </c>
      <c r="H114" t="inlineStr">
        <is>
          <t>Parkinsonism</t>
        </is>
      </c>
      <c r="I114" t="n">
        <v>2</v>
      </c>
      <c r="J114" t="inlineStr">
        <is>
          <t>✅ คำตอบที่ถูกต้อง: ข้อ ข. Medication Overuse Headache (MOH)
💡 Background: หลักการบริบาลทางเภสัชกรรมและการควบคุมคุณภาพในหมวด 9. Neurologic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(Rebound hypertension): ตัวเลือก Rebound hypertension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(Serotonin syndrome): ตัวเลือก Serotonin syndrome ไม่ใช่คำตอบที่ถูกต้อง เนื่องจากมีกลไกทางเภสัชวิทยา ข้อบ่งใช้ หรือคุณสมบัติทางเภสัชเคมีที่ไม่ตรงกับเงื่อนไขที่โจทย์กำหนด
- ข้อ ง. (Orthostatic hypotension): ตัวเลือก Orthostatic hypotension ไม่ใช่คำตอบที่ถูกต้อง เนื่องจากมีกลไกทางเภสัชวิทยา ข้อบ่งใช้ หรือคุณสมบัติทางเภสัชเคมีที่ไม่ตรงกับเงื่อนไขที่โจทย์กำหนด
- ข้อ จ. (Parkinsonism): ตัวเลือก Parkinsonism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9. Neurologic อย่างแม่นยำก่อนสอบ</t>
        </is>
      </c>
      <c r="L114" t="inlineStr">
        <is>
          <t>Headache</t>
        </is>
      </c>
      <c r="M114" t="inlineStr">
        <is>
          <t>Clinic</t>
        </is>
      </c>
      <c r="N114" t="inlineStr">
        <is>
          <t>[TEST] Quick Ingestion</t>
        </is>
      </c>
      <c r="O114" t="inlineStr">
        <is>
          <t>Mock</t>
        </is>
      </c>
      <c r="P114" t="inlineStr">
        <is>
          <t>Mock RxCU83 ครั้งที่ 1</t>
        </is>
      </c>
      <c r="Q114" t="inlineStr">
        <is>
          <t>9. Neurologic</t>
        </is>
      </c>
      <c r="R114" t="inlineStr">
        <is>
          <t>CASE_CLN_M83_MIG_C01_Q5</t>
        </is>
      </c>
    </row>
    <row r="115">
      <c r="A115" t="n">
        <v>113</v>
      </c>
      <c r="B115" t="inlineStr">
        <is>
          <t>ยาเม็ดหนึ่งประกอบด้วย inactive ingredients: Magnesium stearate, Croscarmellose sodium, Titanium dioxide, Hypromellose, FD&amp;C yellow no. 6 aluminum lake, Crystalline hydroxycellulose, Triacetin จากสูตรตำรับจัดเป็นยาเม็ดรูปแบบใด</t>
        </is>
      </c>
      <c r="D115" t="inlineStr">
        <is>
          <t>Effervescent tablet</t>
        </is>
      </c>
      <c r="E115" t="inlineStr">
        <is>
          <t>Enteric coated tablet</t>
        </is>
      </c>
      <c r="F115" t="inlineStr">
        <is>
          <t>Plain tablet</t>
        </is>
      </c>
      <c r="G115" t="inlineStr">
        <is>
          <t>Film coated tablet</t>
        </is>
      </c>
      <c r="H115" t="inlineStr">
        <is>
          <t>Compression coated tablet</t>
        </is>
      </c>
      <c r="I115" t="n">
        <v>4</v>
      </c>
      <c r="J115" t="inlineStr">
        <is>
          <t>✅ คำตอบที่ถูกต้อง: ข้อ ง. Film coated tablet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(Effervescent tablet): ตัวเลือก Effervescent tablet ไม่ใช่คำตอบที่ถูกต้อง เนื่องจากมีกลไกทางเภสัชวิทยา ข้อบ่งใช้ หรือคุณสมบัติทางเภสัชเคมีที่ไม่ตรงกับเงื่อนไขที่โจทย์กำหนด
- ข้อ ข. (Enteric coated tablet): ตัวเลือก Enteric coated tablet ไม่ใช่คำตอบที่ถูกต้อง เนื่องจากมีกลไกทางเภสัชวิทยา ข้อบ่งใช้ หรือคุณสมบัติทางเภสัชเคมีที่ไม่ตรงกับเงื่อนไขที่โจทย์กำหนด
- ข้อ ค. (Plain tablet): ตัวเลือก Plain tablet ไม่ใช่คำตอบที่ถูกต้อง เนื่องจากมีกลไกทางเภสัชวิทยา ข้อบ่งใช้ หรือคุณสมบัติทางเภสัชเคมีที่ไม่ตรงกับเงื่อนไขที่โจทย์กำหนด
- ข้อ จ. (Compression coated tablet): ตัวเลือก Compression coated tablet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115" t="inlineStr">
        <is>
          <t>Tablet Coating</t>
        </is>
      </c>
      <c r="M115" t="inlineStr">
        <is>
          <t>Product</t>
        </is>
      </c>
      <c r="N115" t="inlineStr">
        <is>
          <t>[TEST] Quick Ingestion</t>
        </is>
      </c>
      <c r="O115" t="inlineStr">
        <is>
          <t>Mock</t>
        </is>
      </c>
      <c r="P115" t="inlineStr">
        <is>
          <t>Mock RxCU83 ครั้งที่ 1</t>
        </is>
      </c>
      <c r="Q115" t="inlineStr">
        <is>
          <t>6. Solid Dosage Forms</t>
        </is>
      </c>
      <c r="R115" t="inlineStr">
        <is>
          <t>CASE_PRD_M83_MIG_C01_Q1</t>
        </is>
      </c>
    </row>
    <row r="116">
      <c r="A116" t="n">
        <v>114</v>
      </c>
      <c r="B116" t="inlineStr">
        <is>
          <t>ผู้ป่วยนำเมดยาออกจากแผงบรรจุ Alu-Alu แล้วนำมาใส่กล่องพลาสติก PVC เพื่อพกพาติดตัวไปทำงาน เมื่อถึงเวลารับประทานพบว่าเมดยาติดกันเป็นพวง Excipient ใดเป็นปัจจัยสำคัญที่ดูดความชื้นจนทำให้เกิดปัญหาดังกล่าว</t>
        </is>
      </c>
      <c r="D116" t="inlineStr">
        <is>
          <t>Microcrystalline cellulose</t>
        </is>
      </c>
      <c r="E116" t="inlineStr">
        <is>
          <t>Lactose</t>
        </is>
      </c>
      <c r="F116" t="inlineStr">
        <is>
          <t>Croscarmellose sodium (Superdisintegrant)</t>
        </is>
      </c>
      <c r="G116" t="inlineStr">
        <is>
          <t>Magnesium stearate</t>
        </is>
      </c>
      <c r="H116" t="inlineStr">
        <is>
          <t>Triacetin</t>
        </is>
      </c>
      <c r="I116" t="n">
        <v>3</v>
      </c>
      <c r="J116" t="inlineStr">
        <is>
          <t>✅ คำตอบที่ถูกต้อง: ข้อ ค. Croscarmellose sodium (Superdisintegrant)
💡 Background: หลักการบริบาลทางเภสัชกรรมและการควบคุมคุณภาพในหมวด 6. Solid Dosage Forms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(Microcrystalline cellulose): ตัวเลือก Microcrystalline cellulose ไม่ใช่คำตอบที่ถูกต้อง เนื่องจากมีกลไกทางเภสัชวิทยา ข้อบ่งใช้ หรือคุณสมบัติทางเภสัชเคมีที่ไม่ตรงกับเงื่อนไขที่โจทย์กำหนด
- ข้อ ข. (Lactose): ตัวเลือก Lactose ไม่ใช่คำตอบที่ถูกต้อง เนื่องจากมีกลไกทางเภสัชวิทยา ข้อบ่งใช้ หรือคุณสมบัติทางเภสัชเคมีที่ไม่ตรงกับเงื่อนไขที่โจทย์กำหนด
- ข้อ ง. (Magnesium stearate): ตัวเลือก Magnesium stearate ไม่ใช่คำตอบที่ถูกต้อง เนื่องจากมีกลไกทางเภสัชวิทยา ข้อบ่งใช้ หรือคุณสมบัติทางเภสัชเคมีที่ไม่ตรงกับเงื่อนไขที่โจทย์กำหนด
- ข้อ จ. (Triacetin): ตัวเลือก Triacetin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116" t="inlineStr">
        <is>
          <t>Excipients classification</t>
        </is>
      </c>
      <c r="M116" t="inlineStr">
        <is>
          <t>Product</t>
        </is>
      </c>
      <c r="N116" t="inlineStr">
        <is>
          <t>[TEST] Quick Ingestion</t>
        </is>
      </c>
      <c r="O116" t="inlineStr">
        <is>
          <t>Mock</t>
        </is>
      </c>
      <c r="P116" t="inlineStr">
        <is>
          <t>Mock RxCU83 ครั้งที่ 1</t>
        </is>
      </c>
      <c r="Q116" t="inlineStr">
        <is>
          <t>6. Solid Dosage Forms</t>
        </is>
      </c>
      <c r="R116" t="inlineStr">
        <is>
          <t>CASE_PRD_M83_MIG_C01_Q2</t>
        </is>
      </c>
    </row>
    <row r="117">
      <c r="A117" t="n">
        <v>115</v>
      </c>
      <c r="B117" t="inlineStr">
        <is>
          <t>รูปสัณฐาน (Polymorph) ของตัวยาสำคัญที่เหมาะสมและเสถียรที่สุดในการนำมาใช้เตรียมยาเม็ดในระดับอุตสาหกรรมคือรูปใด</t>
        </is>
      </c>
      <c r="D117" t="inlineStr">
        <is>
          <t>Monotropic polymorphs (Stable form)</t>
        </is>
      </c>
      <c r="E117" t="inlineStr">
        <is>
          <t>Enantiotropic polymorphs</t>
        </is>
      </c>
      <c r="F117" t="inlineStr">
        <is>
          <t>Amorphous anhydrates</t>
        </is>
      </c>
      <c r="G117" t="inlineStr">
        <is>
          <t>Crystalline hydrates</t>
        </is>
      </c>
      <c r="H117" t="inlineStr">
        <is>
          <t>Mixed solvates</t>
        </is>
      </c>
      <c r="I117" t="n">
        <v>1</v>
      </c>
      <c r="J117" t="inlineStr">
        <is>
          <t>✅ คำตอบที่ถูกต้อง: ข้อ ก. Monotropic polymorphs (Stable form)
💡 Background: หลักการบริบาลทางเภสัชกรรมและการควบคุมคุณภาพในหมวด 6. Solid Dosage Forms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(Enantiotropic polymorphs): ตัวเลือก Enantiotropic polymorphs ไม่ใช่คำตอบที่ถูกต้อง เนื่องจากมีกลไกทางเภสัชวิทยา ข้อบ่งใช้ หรือคุณสมบัติทางเภสัชเคมีที่ไม่ตรงกับเงื่อนไขที่โจทย์กำหนด
- ข้อ ค. (Amorphous anhydrates): ตัวเลือก Amorphous anhydrates ไม่ใช่คำตอบที่ถูกต้อง เนื่องจากมีกลไกทางเภสัชวิทยา ข้อบ่งใช้ หรือคุณสมบัติทางเภสัชเคมีที่ไม่ตรงกับเงื่อนไขที่โจทย์กำหนด
- ข้อ ง. (Crystalline hydrates): ตัวเลือก Crystalline hydrates ไม่ใช่คำตอบที่ถูกต้อง เนื่องจากมีกลไกทางเภสัชวิทยา ข้อบ่งใช้ หรือคุณสมบัติทางเภสัชเคมีที่ไม่ตรงกับเงื่อนไขที่โจทย์กำหนด
- ข้อ จ. (Mixed solvates): ตัวเลือก Mixed solvates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117" t="inlineStr">
        <is>
          <t>Preformulation &amp; GMP</t>
        </is>
      </c>
      <c r="M117" t="inlineStr">
        <is>
          <t>Product</t>
        </is>
      </c>
      <c r="N117" t="inlineStr">
        <is>
          <t>[TEST] Quick Ingestion</t>
        </is>
      </c>
      <c r="O117" t="inlineStr">
        <is>
          <t>Mock</t>
        </is>
      </c>
      <c r="P117" t="inlineStr">
        <is>
          <t>Mock RxCU83 ครั้งที่ 1</t>
        </is>
      </c>
      <c r="Q117" t="inlineStr">
        <is>
          <t>6. Solid Dosage Forms</t>
        </is>
      </c>
      <c r="R117" t="inlineStr">
        <is>
          <t>CASE_PRD_M83_MIG_C01_Q3</t>
        </is>
      </c>
    </row>
    <row r="118">
      <c r="A118" t="n">
        <v>116</v>
      </c>
      <c r="B118" t="inlineStr">
        <is>
          <t>บริษัทแห่งหนึ่งต้องการปรับปรุงสูตรตำรับยาแก้ปวดสูตรผสมและตรวจสอบความถูกต้องของวิธีวิเคราะห์ (Method Validation) ด้วย HPLC ข้อใดกำหนดหัวข้อหรือเกณฑ์ ไม่เหมาะสม</t>
        </is>
      </c>
      <c r="D118" t="inlineStr">
        <is>
          <t>Specificity ด้วยวิธี Forced degradation</t>
        </is>
      </c>
      <c r="E118" t="inlineStr">
        <is>
          <t>Linearity ที่ 95%, 105%, 110% ของ Label claim</t>
        </is>
      </c>
      <c r="F118" t="inlineStr">
        <is>
          <t>Precision และ Intermediate precision พร้อมกำหนดเกณฑ์ %RSD ≤ 2.0%</t>
        </is>
      </c>
      <c r="G118" t="inlineStr">
        <is>
          <t>Accuracy โดยการ Spike สารมาตรฐานลงใน Placebo ที่ 80%, 100%, 120%</t>
        </is>
      </c>
      <c r="H118" t="inlineStr">
        <is>
          <t>Robustness ด้วยการเปลี่ยนสัดส่วน Mobile phase และอุณหภูมิของคอลัมน์</t>
        </is>
      </c>
      <c r="I118" t="n">
        <v>2</v>
      </c>
      <c r="J118" t="inlineStr">
        <is>
          <t>✅ คำตอบที่ถูกต้อง: ข้อ ข. Linearity ที่ 95%, 105%, 110% ของ Label claim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(Specificity ด้วยวิธี Forced degradation): ตัวเลือก Specificity ด้วยวิธี Forced degradation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ค. (Precision และ Intermediate precision พร้อมกำหนดเกณ): ตัวเลือก Precision และ Intermediate precision พร้อมกำหนดเกณฑ์ %RSD ≤  ไม่ใช่คำตอบที่ถูกต้อง เนื่องจากมีกลไกทางเภสัชวิทยา ข้อบ่งใช้ หรือคุณสมบัติทางเภสัชเคมีที่ไม่ตรงกับเงื่อนไขที่โจทย์กำหนด
- ข้อ ง. (Accuracy โดยการ Spike สารมาตรฐานลงใน Placebo ที่ 8): ตัวเลือก Accuracy โดยการ Spike สารมาตรฐานลงใน Placebo ที่ 80%, 100%,  ไม่ใช่คำตอบที่ถูกต้อง เนื่องจากมีกลไกทางเภสัชวิทยา ข้อบ่งใช้ หรือคุณสมบัติทางเภสัชเคมีที่ไม่ตรงกับเงื่อนไขที่โจทย์กำหนด
- ข้อ จ. (Robustness ด้วยการเปลี่ยนสัดส่วน Mobile phase และอ): ตัวเลือก Robustness ด้วยการเปลี่ยนสัดส่วน Mobile phase และอุณหภูมิของ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118" t="inlineStr">
        <is>
          <t>Chromatography</t>
        </is>
      </c>
      <c r="M118" t="inlineStr">
        <is>
          <t>Product</t>
        </is>
      </c>
      <c r="N118" t="inlineStr">
        <is>
          <t>[TEST] Quick Ingestion</t>
        </is>
      </c>
      <c r="O118" t="inlineStr">
        <is>
          <t>Mock</t>
        </is>
      </c>
      <c r="P118" t="inlineStr">
        <is>
          <t>Mock RxCU83 ครั้งที่ 1</t>
        </is>
      </c>
      <c r="Q118" t="inlineStr">
        <is>
          <t>1. Titrations</t>
        </is>
      </c>
      <c r="R118" t="inlineStr">
        <is>
          <t>CASE_PRD_M83_MIG_C01_Q4</t>
        </is>
      </c>
    </row>
    <row r="119">
      <c r="A119" t="n">
        <v>117</v>
      </c>
      <c r="B119" t="inlineStr">
        <is>
          <t>ทำ HPLC ยา Amitriptyline tablet ใช้คอลัมน์ C18 (Octadecylsilane) และ Mobile phase เป็น Acetonitrile : Buffer pH 2.5 (42:58) หากเปลี่ยนสัดส่วนเป็น Acetonitrile : Buffer (60:40) จะส่งผลต่อ Retention time (RT) อย่างไร</t>
        </is>
      </c>
      <c r="D119" t="inlineStr">
        <is>
          <t>RT นานขึ้น เนื่องจาก Organic phase เพิ่ม ทำให้ Analyte ติดอยู่นานขึ้น</t>
        </is>
      </c>
      <c r="E119" t="inlineStr">
        <is>
          <t>RT ลดลง เนื่องจาก Organic phase เพิ่ม ทำให้ความแรงในการชะ (Elution strength) สูงขึ้น และชะตัวยาออกเร็วขึ้น</t>
        </is>
      </c>
      <c r="F119" t="inlineStr">
        <is>
          <t>RT ไม่เปลี่ยนแปลง เพราะการเพิ่มตัวทำละลายอินทรีย์ไม่มีผลต่อ C18</t>
        </is>
      </c>
      <c r="G119" t="inlineStr">
        <is>
          <t>RT นานขึ้น เพราะสัดส่วน Buffer ลดลงทำให้ Analyte อยู่ในรูป Unionized</t>
        </is>
      </c>
      <c r="H119" t="inlineStr">
        <is>
          <t>RT ลดลง เพราะสัดส่วน Buffer ลดลงทำให้ Analyte อยู่ในรูป Ionized</t>
        </is>
      </c>
      <c r="I119" t="n">
        <v>2</v>
      </c>
      <c r="J119" t="inlineStr">
        <is>
          <t>✅ คำตอบที่ถูกต้อง: ข้อ ข. RT ลดลง เนื่องจาก Organic phase เพิ่ม ทำให้ความแรงในการชะ (Elution strength) สูงขึ้น และชะตัวยาออกเร็วขึ้น
💡 Background: หลักการบริบาลทางเภสัชกรรมและการควบคุมคุณภาพในหมวด 1. Titrations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(RT นานขึ้น เนื่องจาก Organic phase เพิ่ม ทำให้ Ana): ตัวเลือก RT นานขึ้น เนื่องจาก Organic phase เพิ่ม ทำให้ Analyte ติดอย ไม่ใช่คำตอบที่ถูกต้อง เนื่องจากมีกลไกทางเภสัชวิทยา ข้อบ่งใช้ หรือคุณสมบัติทางเภสัชเคมีที่ไม่ตรงกับเงื่อนไขที่โจทย์กำหนด
- ข้อ ค. (RT ไม่เปลี่ยนแปลง เพราะการเพิ่มตัวทำละลายอินทรีย์ไ): ตัวเลือก RT ไม่เปลี่ยนแปลง เพราะการเพิ่มตัวทำละลายอินทรีย์ไม่มีผลต่อ  ไม่ใช่คำตอบที่ถูกต้อง เนื่องจากมีกลไกทางเภสัชวิทยา ข้อบ่งใช้ หรือคุณสมบัติทางเภสัชเคมีที่ไม่ตรงกับเงื่อนไขที่โจทย์กำหนด
- ข้อ ง. (RT นานขึ้น เพราะสัดส่วน Buffer ลดลงทำให้ Analyte อ): ตัวเลือก RT นานขึ้น เพราะสัดส่วน Buffer ลดลงทำให้ Analyte อยู่ในรูป U ไม่ใช่คำตอบที่ถูกต้อง เนื่องจากมีกลไกทางเภสัชวิทยา ข้อบ่งใช้ หรือคุณสมบัติทางเภสัชเคมีที่ไม่ตรงกับเงื่อนไขที่โจทย์กำหนด
- ข้อ จ. (RT ลดลง เพราะสัดส่วน Buffer ลดลงทำให้ Analyte อยู่): ตัวเลือก RT ลดลง เพราะสัดส่วน Buffer ลดลงทำให้ Analyte อยู่ในรูป Ioni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119" t="inlineStr">
        <is>
          <t>Chromatography</t>
        </is>
      </c>
      <c r="M119" t="inlineStr">
        <is>
          <t>Product</t>
        </is>
      </c>
      <c r="N119" t="inlineStr">
        <is>
          <t>[TEST] Quick Ingestion</t>
        </is>
      </c>
      <c r="O119" t="inlineStr">
        <is>
          <t>Mock</t>
        </is>
      </c>
      <c r="P119" t="inlineStr">
        <is>
          <t>Mock RxCU83 ครั้งที่ 1</t>
        </is>
      </c>
      <c r="Q119" t="inlineStr">
        <is>
          <t>1. Titrations</t>
        </is>
      </c>
      <c r="R119" t="inlineStr">
        <is>
          <t>CASE_PRD_M83_MIG_C01_Q5</t>
        </is>
      </c>
    </row>
    <row r="120">
      <c r="A120" t="n">
        <v>118</v>
      </c>
      <c r="B120" t="inlineStr">
        <is>
          <t>ตัวยาสำคัญในข้อใดที่นิยมเลือกใช้ในการบำบัดรักษาอาการปวดศีรษะไมเกรนเฉียบพลันแบบจำเพาะเจาะจง</t>
        </is>
      </c>
      <c r="D120" t="inlineStr">
        <is>
          <t>Paracetamol 500 mg</t>
        </is>
      </c>
      <c r="E120" t="inlineStr">
        <is>
          <t>Ibuprofen 400 mg</t>
        </is>
      </c>
      <c r="F120" t="inlineStr">
        <is>
          <t>Ergotamine tartrate + Caffeine</t>
        </is>
      </c>
      <c r="G120" t="inlineStr">
        <is>
          <t>Etoricoxib 90 mg</t>
        </is>
      </c>
      <c r="H120" t="inlineStr">
        <is>
          <t>Mefenamic acid 500 mg</t>
        </is>
      </c>
      <c r="I120" t="n">
        <v>3</v>
      </c>
      <c r="J120" t="inlineStr">
        <is>
          <t>✅ คำตอบที่ถูกต้อง: ข้อ ค. Ergotamine tartrate + Caffeine
💡 Background: หลักการบริบาลทางเภสัชกรรมและการควบคุมคุณภาพในหมวด 9. Neurologic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(Paracetamol 500 mg): ตัวเลือก Paracetamol 500 mg ไม่ใช่คำตอบที่ถูกต้อง เนื่องจากมีกลไกทางเภสัชวิทยา ข้อบ่งใช้ หรือคุณสมบัติทางเภสัชเคมีที่ไม่ตรงกับเงื่อนไขที่โจทย์กำหนด
- ข้อ ข. (Ibuprofen 400 mg): ตัวเลือก Ibuprofen 400 mg ไม่ใช่คำตอบที่ถูกต้อง เนื่องจากมีกลไกทางเภสัชวิทยา ข้อบ่งใช้ หรือคุณสมบัติทางเภสัชเคมีที่ไม่ตรงกับเงื่อนไขที่โจทย์กำหนด
- ข้อ ง. (Etoricoxib 90 mg): ตัวเลือก Etoricoxib 90 mg ไม่ใช่คำตอบที่ถูกต้อง เนื่องจากมีกลไกทางเภสัชวิทยา ข้อบ่งใช้ หรือคุณสมบัติทางเภสัชเคมีที่ไม่ตรงกับเงื่อนไขที่โจทย์กำหนด
- ข้อ จ. (Mefenamic acid 500 mg): ตัวเลือก Mefenamic acid 500 mg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9. Neurologic อย่างแม่นยำก่อนสอบ</t>
        </is>
      </c>
      <c r="L120" t="inlineStr">
        <is>
          <t>Headache</t>
        </is>
      </c>
      <c r="M120" t="inlineStr">
        <is>
          <t>Clinic</t>
        </is>
      </c>
      <c r="N120" t="inlineStr">
        <is>
          <t>[TEST] Quick Ingestion</t>
        </is>
      </c>
      <c r="O120" t="inlineStr">
        <is>
          <t>Mock</t>
        </is>
      </c>
      <c r="P120" t="inlineStr">
        <is>
          <t>Mock RxCU83 ครั้งที่ 1</t>
        </is>
      </c>
      <c r="Q120" t="inlineStr">
        <is>
          <t>9. Neurologic</t>
        </is>
      </c>
      <c r="R120" t="inlineStr">
        <is>
          <t>CASE_CLN_M83_MIG_C02_Q1</t>
        </is>
      </c>
    </row>
    <row r="121">
      <c r="A121" t="n">
        <v>119</v>
      </c>
      <c r="B121" t="inlineStr">
        <is>
          <t>ผู้ป่วยชาย 35 ปี วิศวกรโยธา มาด้วยอาการตุ่มน้ำใสเล็กๆ รวมตัวกันเป็นกลุ่มบริเวณริมฝีปากล่าง บางตุ่มแตกออกเป็นแผลตื้นๆ เจ็บ ก่อนหน้านี้ 1 วัน รู้สึกคันยิบๆ บริเวณนั้น อาการของผู้ป่วยเข้าได้กับโรคใด</t>
        </is>
      </c>
      <c r="D121" t="inlineStr">
        <is>
          <t>Photosensitivity</t>
        </is>
      </c>
      <c r="E121" t="inlineStr">
        <is>
          <t>Eczema</t>
        </is>
      </c>
      <c r="F121" t="inlineStr">
        <is>
          <t>Impetigo</t>
        </is>
      </c>
      <c r="G121" t="inlineStr">
        <is>
          <t>Canker sore (Aphthous ulcer)</t>
        </is>
      </c>
      <c r="H121" t="inlineStr">
        <is>
          <t>Herpes labialis (Cold sore / เริมที่ริมฝีปาก)</t>
        </is>
      </c>
      <c r="I121" t="n">
        <v>5</v>
      </c>
      <c r="J121" t="inlineStr">
        <is>
          <t>✅ คำตอบที่ถูกต้อง: ข้อ จ. Herpes labialis (Cold sore / เริมที่ริมฝีปาก)
💡 Background: หลักการบริบาลทางเภสัชกรรมและการควบคุมคุณภาพในหมวด 3. Dermatologic (Track: General)
🎯 ทำไมข้อนี้ถึงถูก: ตัวเลือก ข้อ จ.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(Photosensitivity): ตัวเลือก Photosensitivity ไม่ใช่คำตอบที่ถูกต้อง เนื่องจากมีกลไกทางเภสัชวิทยา ข้อบ่งใช้ หรือคุณสมบัติทางเภสัชเคมีที่ไม่ตรงกับเงื่อนไขที่โจทย์กำหนด
- ข้อ ข. (Eczema): ตัวเลือก Eczema ไม่ใช่คำตอบที่ถูกต้อง เนื่องจากมีกลไกทางเภสัชวิทยา ข้อบ่งใช้ หรือคุณสมบัติทางเภสัชเคมีที่ไม่ตรงกับเงื่อนไขที่โจทย์กำหนด
- ข้อ ค. (Impetigo): ตัวเลือก Impetigo ไม่ใช่คำตอบที่ถูกต้อง เนื่องจากมีกลไกทางเภสัชวิทยา ข้อบ่งใช้ หรือคุณสมบัติทางเภสัชเคมีที่ไม่ตรงกับเงื่อนไขที่โจทย์กำหนด
- ข้อ ง. (Canker sore (Aphthous ulcer)): ตัวเลือก Canker sore (Aphthous ulcer)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3. Dermatologic อย่างแม่นยำก่อนสอบ</t>
        </is>
      </c>
      <c r="L121" t="inlineStr">
        <is>
          <t>Herpes &amp; Zoster</t>
        </is>
      </c>
      <c r="M121" t="inlineStr">
        <is>
          <t>Clinic</t>
        </is>
      </c>
      <c r="N121" t="inlineStr">
        <is>
          <t>[TEST] Quick Ingestion</t>
        </is>
      </c>
      <c r="O121" t="inlineStr">
        <is>
          <t>Mock</t>
        </is>
      </c>
      <c r="P121" t="inlineStr">
        <is>
          <t>Mock RxCU83 ครั้งที่ 1</t>
        </is>
      </c>
      <c r="Q121" t="inlineStr">
        <is>
          <t>3. Dermatologic</t>
        </is>
      </c>
      <c r="R121" t="inlineStr">
        <is>
          <t>CASE_CLN_M83_HSV_C01_Q1</t>
        </is>
      </c>
    </row>
    <row r="122">
      <c r="A122" t="n">
        <v>120</v>
      </c>
      <c r="B122" t="inlineStr">
        <is>
          <t>การรักษาเฉพาะที่ (Topical treatment) ที่เหมาะสมสำหรับผู้ป่วยเริมที่ริมฝีปากที่มีอาการเพิ่งเริ่มเป็น</t>
        </is>
      </c>
      <c r="D122" t="inlineStr">
        <is>
          <t>Mupirocin ointment ทาวันละ 2-3 ครั้ง</t>
        </is>
      </c>
      <c r="E122" t="inlineStr">
        <is>
          <t>Moisturizing cream ทาวันละ 2-3 ครั้ง</t>
        </is>
      </c>
      <c r="F122" t="inlineStr">
        <is>
          <t>Acyclovir cream 5% ทาวันละ 5 ครั้ง ทุก 4 ชั่วโมง</t>
        </is>
      </c>
      <c r="G122" t="inlineStr">
        <is>
          <t>Acyclovir 400 mg tablet วันละ 5 ครั้ง</t>
        </is>
      </c>
      <c r="H122" t="inlineStr">
        <is>
          <t>Desoximetasone 0.25% cream ทาวันละ 2 ครั้ง</t>
        </is>
      </c>
      <c r="I122" t="n">
        <v>3</v>
      </c>
      <c r="J122" t="inlineStr">
        <is>
          <t>✅ คำตอบที่ถูกต้อง: ข้อ ค. Acyclovir cream 5% ทาวันละ 5 ครั้ง ทุก 4 ชั่วโมง
💡 Background: หลักการบริบาลทางเภสัชกรรมและการควบคุมคุณภาพในหมวด 3. Dermatologic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(Mupirocin ointment ทาวันละ 2-3 ครั้ง): ตัวเลือก Mupirocin ointment ทาวันละ 2-3 ครั้ง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ข. (Moisturizing cream ทาวันละ 2-3 ครั้ง): ตัวเลือก Moisturizing cream ทาวันละ 2-3 ครั้ง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ง. (Acyclovir 400 mg tablet วันละ 5 ครั้ง): ตัวเลือก Acyclovir 400 mg tablet วันละ 5 ครั้ง ไม่ใช่คำตอบที่ถูกต้อง เนื่องจากมีกลไกทางเภสัชวิทยา ข้อบ่งใช้ หรือคุณสมบัติทางเภสัชเคมีที่ไม่ตรงกับเงื่อนไขที่โจทย์กำหนด
- ข้อ จ. (Desoximetasone 0.25% cream ทาวันละ 2 ครั้ง): ตัวเลือก Desoximetasone 0.25% cream ทาวันละ 2 ครั้ง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3. Dermatologic อย่างแม่นยำก่อนสอบ</t>
        </is>
      </c>
      <c r="L122" t="inlineStr">
        <is>
          <t>Herpes &amp; Zoster</t>
        </is>
      </c>
      <c r="M122" t="inlineStr">
        <is>
          <t>Clinic</t>
        </is>
      </c>
      <c r="N122" t="inlineStr">
        <is>
          <t>[TEST] Quick Ingestion</t>
        </is>
      </c>
      <c r="O122" t="inlineStr">
        <is>
          <t>Mock</t>
        </is>
      </c>
      <c r="P122" t="inlineStr">
        <is>
          <t>Mock RxCU83 ครั้งที่ 1</t>
        </is>
      </c>
      <c r="Q122" t="inlineStr">
        <is>
          <t>3. Dermatologic</t>
        </is>
      </c>
      <c r="R122" t="inlineStr">
        <is>
          <t>CASE_CLN_M83_HSV_C01_Q2</t>
        </is>
      </c>
    </row>
    <row r="123">
      <c r="A123" t="n">
        <v>121</v>
      </c>
      <c r="B123" t="inlineStr">
        <is>
          <t>คำแนะนำที่สำคัญที่สุดในการป้องกันการแพร่กระจายของเชื้อไวรัสเริม (Herpes simplex virus) สู่ผู้อื่น</t>
        </is>
      </c>
      <c r="D123" t="inlineStr">
        <is>
          <t>จะไม่แพร่เชื้อถ้าตุ่มน้ำใสแตกออกเป็นสะเก็ดแล้ว</t>
        </is>
      </c>
      <c r="E123" t="inlineStr">
        <is>
          <t>หลีกเลี่ยงการสัมผัสบริเวณที่เป็นแผล และไม่ใช้สิ่งของเครื่องใช้ส่วนตัวร่วมกับผู้อื่น ล้างมือบ่อยๆ</t>
        </is>
      </c>
      <c r="F123" t="inlineStr">
        <is>
          <t>ปิดพลาสเตอร์ยาบริเวณแผลตลอดเวลา</t>
        </is>
      </c>
      <c r="G123" t="inlineStr">
        <is>
          <t>ล้างบริเวณนั้นด้วยน้ำและสบู่ฟอกแรงๆ ทุกวัน</t>
        </is>
      </c>
      <c r="H123" t="inlineStr">
        <is>
          <t>รับประทานอาหารที่มีวิตามินซีสูง</t>
        </is>
      </c>
      <c r="I123" t="n">
        <v>2</v>
      </c>
      <c r="J123" t="inlineStr">
        <is>
          <t>✅ คำตอบที่ถูกต้อง: ข้อ ข. หลีกเลี่ยงการสัมผัสบริเวณที่เป็นแผล และไม่ใช้สิ่งของเครื่องใช้ส่วนตัวร่วมกับผู้อื่น ล้างมือบ่อยๆ
💡 Background: หลักการบริบาลทางเภสัชกรรมและการควบคุมคุณภาพในหมวด 3. Dermatologic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(จะไม่แพร่เชื้อถ้าตุ่มน้ำใสแตกออกเป็นสะเก็ดแล้ว): ตัวเลือก จะไม่แพร่เชื้อถ้าตุ่มน้ำใสแตกออกเป็นสะเก็ดแล้ว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(ปิดพลาสเตอร์ยาบริเวณแผลตลอดเวลา): ตัวเลือก ปิดพลาสเตอร์ยาบริเวณแผลตลอดเวลา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(ล้างบริเวณนั้นด้วยน้ำและสบู่ฟอกแรงๆ ทุกวัน): ตัวเลือก ล้างบริเวณนั้นด้วยน้ำและสบู่ฟอกแรงๆ ทุกวัน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(รับประทานอาหารที่มีวิตามินซีสูง): ตัวเลือก รับประทานอาหารที่มีวิตามินซีสูง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3. Dermatologic อย่างแม่นยำก่อนสอบ</t>
        </is>
      </c>
      <c r="L123" t="inlineStr">
        <is>
          <t>Herpes &amp; Zoster</t>
        </is>
      </c>
      <c r="M123" t="inlineStr">
        <is>
          <t>Clinic</t>
        </is>
      </c>
      <c r="N123" t="inlineStr">
        <is>
          <t>[TEST] Quick Ingestion</t>
        </is>
      </c>
      <c r="O123" t="inlineStr">
        <is>
          <t>Mock</t>
        </is>
      </c>
      <c r="P123" t="inlineStr">
        <is>
          <t>Mock RxCU83 ครั้งที่ 1</t>
        </is>
      </c>
      <c r="Q123" t="inlineStr">
        <is>
          <t>3. Dermatologic</t>
        </is>
      </c>
      <c r="R123" t="inlineStr">
        <is>
          <t>CASE_CLN_M83_HSV_C01_Q3</t>
        </is>
      </c>
    </row>
    <row r="124">
      <c r="A124" t="n">
        <v>122</v>
      </c>
      <c r="B124" t="inlineStr">
        <is>
          <t>กลไกการออกฤทธิ์ของยามาตรฐาน Acyclovir ที่ใช้รักษาการติดเชื้อเริม</t>
        </is>
      </c>
      <c r="D124" t="inlineStr">
        <is>
          <t>ยับยั้งเอนไซม์ viral protease ขัดขวางการสร้างโปรตีน</t>
        </is>
      </c>
      <c r="E124" t="inlineStr">
        <is>
          <t>เป็น Guanosine nucleoside analogue ถูกเติมฟอสเฟตโดยเอนไซม์ Viral thymidine kinase แล้วออกฤทธิ์ยับยั้ง Viral DNA polymerase</t>
        </is>
      </c>
      <c r="F124" t="inlineStr">
        <is>
          <t>ยับยั้งเอนไซม์ isoleucyl-tRNA synthetase</t>
        </is>
      </c>
      <c r="G124" t="inlineStr">
        <is>
          <t>แย่งจับกับ reverse transcriptase</t>
        </is>
      </c>
      <c r="H124" t="inlineStr">
        <is>
          <t>กดภูมิคุ้มกันของร่างกายไม่ให้เกิดปฏิกิริยาการอักเสบ</t>
        </is>
      </c>
      <c r="I124" t="n">
        <v>2</v>
      </c>
      <c r="J124" t="inlineStr">
        <is>
          <t>✅ คำตอบที่ถูกต้อง: ข้อ ข. เป็น Guanosine nucleoside analogue ถูกเติมฟอสเฟตโดยเอนไซม์ Viral thymidine kinase แล้วออกฤทธิ์ยับยั้ง Viral DNA polymerase
💡 Background: หลักการบริบาลทางเภสัชกรรมและการควบคุมคุณภาพในหมวด 3. Dermatologic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(ยับยั้งเอนไซม์ viral protease ขัดขวางการสร้างโปรตี): ตัวเลือก ยับยั้งเอนไซม์ viral protease ขัดขวางการสร้างโปรตีน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(ยับยั้งเอนไซม์ isoleucyl-tRNA synthetase): ตัวเลือก ยับยั้งเอนไซม์ isoleucyl-tRNA synthetase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(แย่งจับกับ reverse transcriptase): ตัวเลือก แย่งจับกับ reverse transcriptase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(กดภูมิคุ้มกันของร่างกายไม่ให้เกิดปฏิกิริยาการอักเส): ตัวเลือก กดภูมิคุ้มกันของร่างกายไม่ให้เกิดปฏิกิริยาการอักเสบ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3. Dermatologic อย่างแม่นยำก่อนสอบ</t>
        </is>
      </c>
      <c r="L124" t="inlineStr">
        <is>
          <t>Herpes &amp; Zoster</t>
        </is>
      </c>
      <c r="M124" t="inlineStr">
        <is>
          <t>Clinic</t>
        </is>
      </c>
      <c r="N124" t="inlineStr">
        <is>
          <t>[TEST] Quick Ingestion</t>
        </is>
      </c>
      <c r="O124" t="inlineStr">
        <is>
          <t>Mock</t>
        </is>
      </c>
      <c r="P124" t="inlineStr">
        <is>
          <t>Mock RxCU83 ครั้งที่ 1</t>
        </is>
      </c>
      <c r="Q124" t="inlineStr">
        <is>
          <t>3. Dermatologic</t>
        </is>
      </c>
      <c r="R124" t="inlineStr">
        <is>
          <t>CASE_CLN_M83_HSV_C01_Q4</t>
        </is>
      </c>
    </row>
    <row r="125">
      <c r="A125" t="n">
        <v>123</v>
      </c>
      <c r="B125" t="inlineStr">
        <is>
          <t>ข้อใด ไม่ใช่ ปัจจัยกระตุ้นที่สำคัญที่ทำให้โรคเริมที่ริมฝีปากกำเริบซ้ำ (Recurrent attack)</t>
        </is>
      </c>
      <c r="D125" t="inlineStr">
        <is>
          <t>การนอนหลับพักผ่อนไม่เพียงพอ</t>
        </is>
      </c>
      <c r="E125" t="inlineStr">
        <is>
          <t>ภาวะเครียดทางจิตใจหรือร่างกาย</t>
        </is>
      </c>
      <c r="F125" t="inlineStr">
        <is>
          <t>สัมผัสแสงแดดจัด (UV light exposure)</t>
        </is>
      </c>
      <c r="G125" t="inlineStr">
        <is>
          <t>การได้รับยาปฏิชีวนะ Amoxicillin</t>
        </is>
      </c>
      <c r="H125" t="inlineStr">
        <is>
          <t>ภาวะติดเชื้อไวรัส เช่น ไข้หวัด มีไข้</t>
        </is>
      </c>
      <c r="I125" t="n">
        <v>4</v>
      </c>
      <c r="J125" t="inlineStr">
        <is>
          <t>✅ คำตอบที่ถูกต้อง: ข้อ ง. การได้รับยาปฏิชีวนะ Amoxicillin
💡 Background: หลักการบริบาลทางเภสัชกรรมและการควบคุมคุณภาพในหมวด 3. Dermatologic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(การนอนหลับพักผ่อนไม่เพียงพอ): ตัวเลือก การนอนหลับพักผ่อนไม่เพียงพอ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(ภาวะเครียดทางจิตใจหรือร่างกาย): ตัวเลือก ภาวะเครียดทางจิตใจหรือร่างกาย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(สัมผัสแสงแดดจัด (UV light exposure)): ตัวเลือก สัมผัสแสงแดดจัด (UV light exposure)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(ภาวะติดเชื้อไวรัส เช่น ไข้หวัด มีไข้): ตัวเลือก ภาวะติดเชื้อไวรัส เช่น ไข้หวัด มีไข้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3. Dermatologic อย่างแม่นยำก่อนสอบ</t>
        </is>
      </c>
      <c r="L125" t="inlineStr">
        <is>
          <t>Herpes &amp; Zoster</t>
        </is>
      </c>
      <c r="M125" t="inlineStr">
        <is>
          <t>Clinic</t>
        </is>
      </c>
      <c r="N125" t="inlineStr">
        <is>
          <t>[TEST] Quick Ingestion</t>
        </is>
      </c>
      <c r="O125" t="inlineStr">
        <is>
          <t>Mock</t>
        </is>
      </c>
      <c r="P125" t="inlineStr">
        <is>
          <t>Mock RxCU83 ครั้งที่ 1</t>
        </is>
      </c>
      <c r="Q125" t="inlineStr">
        <is>
          <t>3. Dermatologic</t>
        </is>
      </c>
      <c r="R125" t="inlineStr">
        <is>
          <t>CASE_CLN_M83_HSV_C01_Q5</t>
        </is>
      </c>
    </row>
    <row r="126">
      <c r="A126" t="n">
        <v>124</v>
      </c>
      <c r="B126" t="inlineStr">
        <is>
          <t>ผลิตภัณฑ์ Acyclovir cream 5% w/w ในเนื้อครีม 1 g จะมีตัวยาสำคัญกี่มิลลิกรัม และถ้าต้องการตัวยา acyclovir ปริมาณ 25 mg ต้องชั่งเนื้อครีมนี้กี่กรัม</t>
        </is>
      </c>
      <c r="D126" t="inlineStr">
        <is>
          <t>0.5 mg/g, 0.0125 g</t>
        </is>
      </c>
      <c r="E126" t="inlineStr">
        <is>
          <t>5 mg/g, 0.0125 g</t>
        </is>
      </c>
      <c r="F126" t="inlineStr">
        <is>
          <t>5 mg/g, 0.125 g</t>
        </is>
      </c>
      <c r="G126" t="inlineStr">
        <is>
          <t>50 mg/g, 0.5 g</t>
        </is>
      </c>
      <c r="H126" t="inlineStr">
        <is>
          <t>50 mg/g, 1.25 g</t>
        </is>
      </c>
      <c r="I126" t="n">
        <v>4</v>
      </c>
      <c r="J126" t="inlineStr">
        <is>
          <t>✅ คำตอบที่ถูกต้อง: ข้อ ง. 50 mg/g, 0.5 g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(0.5 mg/g, 0.0125 g): ตัวเลือก 0.5 mg/g, 0.0125 g ไม่ใช่คำตอบที่ถูกต้อง เนื่องจากมีกลไกทางเภสัชวิทยา ข้อบ่งใช้ หรือคุณสมบัติทางเภสัชเคมีที่ไม่ตรงกับเงื่อนไขที่โจทย์กำหนด
- ข้อ ข. (5 mg/g, 0.0125 g): ตัวเลือก 5 mg/g, 0.0125 g ไม่ใช่คำตอบที่ถูกต้อง เนื่องจากมีกลไกทางเภสัชวิทยา ข้อบ่งใช้ หรือคุณสมบัติทางเภสัชเคมีที่ไม่ตรงกับเงื่อนไขที่โจทย์กำหนด
- ข้อ ค. (5 mg/g, 0.125 g): ตัวเลือก 5 mg/g, 0.125 g ไม่ใช่คำตอบที่ถูกต้อง เนื่องจากมีกลไกทางเภสัชวิทยา ข้อบ่งใช้ หรือคุณสมบัติทางเภสัชเคมีที่ไม่ตรงกับเงื่อนไขที่โจทย์กำหนด
- ข้อ จ. (50 mg/g, 1.25 g): ตัวเลือก 50 mg/g, 1.25 g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126" t="inlineStr">
        <is>
          <t>Pharmaceutical Calc</t>
        </is>
      </c>
      <c r="M126" t="inlineStr">
        <is>
          <t>Product</t>
        </is>
      </c>
      <c r="N126" t="inlineStr">
        <is>
          <t>[TEST] Quick Ingestion</t>
        </is>
      </c>
      <c r="O126" t="inlineStr">
        <is>
          <t>Mock</t>
        </is>
      </c>
      <c r="P126" t="inlineStr">
        <is>
          <t>Mock RxCU83 ครั้งที่ 1</t>
        </is>
      </c>
      <c r="Q126" t="inlineStr">
        <is>
          <t>6. Solid Dosage Forms</t>
        </is>
      </c>
      <c r="R126" t="inlineStr">
        <is>
          <t>CASE_PRD_M83_HSV_C01_Q1</t>
        </is>
      </c>
    </row>
    <row r="127">
      <c r="A127" t="n">
        <v>125</v>
      </c>
      <c r="B127" t="inlineStr">
        <is>
          <t>ข้อใดเป็นการแนะนำเพื่อป้องกันการกำเริบของโรคตามพฤติกรรมสุขภาพของผู้บริโภคได้อย่างถูกต้องที่สุด</t>
        </is>
      </c>
      <c r="D127" t="inlineStr">
        <is>
          <t>ให้รับประทานยาปฏิชีวนะต่อเนื่อง</t>
        </is>
      </c>
      <c r="E127" t="inlineStr">
        <is>
          <t>แนะนำการปฏิบัติตัว การพักผ่อน และการหลีกเลี่ยงปัจจัยกระตุ้น เช่น แสงแดดจัด และความเครียด</t>
        </is>
      </c>
      <c r="F127" t="inlineStr">
        <is>
          <t>แนะนำให้ผู้ป่วยเปลี่ยนสายอาชีพ</t>
        </is>
      </c>
      <c r="G127" t="inlineStr">
        <is>
          <t>แนะนำให้ใช้ยาทาสเตียรอยด์เข้มข้นทาทันทีที่รู้สึกคัน</t>
        </is>
      </c>
      <c r="H127" t="inlineStr">
        <is>
          <t>ให้ทายาปฏิชีวนะแผลเปิดเป็นประจำ</t>
        </is>
      </c>
      <c r="I127" t="n">
        <v>2</v>
      </c>
      <c r="J127" t="inlineStr">
        <is>
          <t>✅ คำตอบที่ถูกต้อง: ข้อ ข. แนะนำการปฏิบัติตัว การพักผ่อน และการหลีกเลี่ยงปัจจัยกระตุ้น เช่น แสงแดดจัด และความเครียด
💡 Background: หลักการบริบาลทางเภสัชกรรมและการควบคุมคุณภาพในหมวด 2. Pharmacy Administration &amp; Sy (Track: General)
🎯 ทำไมข้อนี้ถึงถูก: ตัวเลือก ข้อ ข.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(ให้รับประทานยาปฏิชีวนะต่อเนื่อง): ตัวเลือก ให้รับประทานยาปฏิชีวนะต่อเนื่อง ไม่ใช่คำตอบที่ถูกต้อง เนื่องจากมีกลไกทางเภสัชวิทยา ข้อบ่งใช้ หรือคุณสมบัติทางเภสัชเคมีที่ไม่ตรงกับเงื่อนไขที่โจทย์กำหนด
- ข้อ ค. (แนะนำให้ผู้ป่วยเปลี่ยนสายอาชีพ): ตัวเลือก แนะนำให้ผู้ป่วยเปลี่ยนสายอาชีพ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(แนะนำให้ใช้ยาทาสเตียรอยด์เข้มข้นทาทันทีที่รู้สึกคั): ตัวเลือก แนะนำให้ใช้ยาทาสเตียรอยด์เข้มข้นทาทันทีที่รู้สึกคัน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(ให้ทายาปฏิชีวนะแผลเปิดเป็นประจำ): ตัวเลือก ให้ทายาปฏิชีวนะแผลเปิดเป็นประจำ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2. Pharmacy Administration &amp; Sy อย่างแม่นยำก่อนสอบ</t>
        </is>
      </c>
      <c r="L127" t="inlineStr">
        <is>
          <t>Pharmacy Administration &amp; System</t>
        </is>
      </c>
      <c r="M127" t="inlineStr">
        <is>
          <t>SAP</t>
        </is>
      </c>
      <c r="N127" t="inlineStr">
        <is>
          <t>[TEST] Quick Ingestion</t>
        </is>
      </c>
      <c r="O127" t="inlineStr">
        <is>
          <t>Mock</t>
        </is>
      </c>
      <c r="P127" t="inlineStr">
        <is>
          <t>Mock RxCU83 ครั้งที่ 1</t>
        </is>
      </c>
      <c r="Q127" t="inlineStr">
        <is>
          <t>2. Pharmacy Administration &amp; Sy</t>
        </is>
      </c>
      <c r="R127" t="inlineStr">
        <is>
          <t>CASE_SAP_M83_HSV_C01_Q1</t>
        </is>
      </c>
    </row>
    <row r="128">
      <c r="A128" t="n">
        <v>126</v>
      </c>
      <c r="B128" t="inlineStr">
        <is>
          <t>ในการตรวจสอบความบริสุทธิ์ของผลิตภัณฑ์ยา Acyclovir ทางห้องปฏิบัติการนิยมใช้เทคนิคการวิเคราะห์ตามข้อใดในการแยกสิ่งเจือปนและสารสลายตัว (Related substances)</t>
        </is>
      </c>
      <c r="D128" t="inlineStr">
        <is>
          <t>Simple titrimetric method</t>
        </is>
      </c>
      <c r="E128" t="inlineStr">
        <is>
          <t>Thin Layer Chromatography เท่านั้น</t>
        </is>
      </c>
      <c r="F128" t="inlineStr">
        <is>
          <t>Reversed-Phase High-Performance Liquid Chromatography (RP-HPLC)</t>
        </is>
      </c>
      <c r="G128" t="inlineStr">
        <is>
          <t>Polarimetry</t>
        </is>
      </c>
      <c r="H128" t="inlineStr">
        <is>
          <t>Refractometry</t>
        </is>
      </c>
      <c r="I128" t="n">
        <v>3</v>
      </c>
      <c r="J128" t="inlineStr">
        <is>
          <t>✅ คำตอบที่ถูกต้อง: ข้อ ค. Reversed-Phase High-Performance Liquid Chromatography (RP-HPLC)
💡 Background: หลักการบริบาลทางเภสัชกรรมและการควบคุมคุณภาพในหมวด 1. Titrations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(Simple titrimetric method): ตัวเลือก Simple titrimetric method ไม่ใช่คำตอบที่ถูกต้อง เนื่องจากมีกลไกทางเภสัชวิทยา ข้อบ่งใช้ หรือคุณสมบัติทางเภสัชเคมีที่ไม่ตรงกับเงื่อนไขที่โจทย์กำหนด
- ข้อ ข. (Thin Layer Chromatography เท่านั้น): ตัวเลือก Thin Layer Chromatography เท่านั้น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(Polarimetry): ตัวเลือก Polarimetry ไม่ใช่คำตอบที่ถูกต้อง เนื่องจากมีกลไกทางเภสัชวิทยา ข้อบ่งใช้ หรือคุณสมบัติทางเภสัชเคมีที่ไม่ตรงกับเงื่อนไขที่โจทย์กำหนด
- ข้อ จ. (Refractometry): ตัวเลือก Refractometry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128" t="inlineStr">
        <is>
          <t>Chromatography</t>
        </is>
      </c>
      <c r="M128" t="inlineStr">
        <is>
          <t>Product</t>
        </is>
      </c>
      <c r="N128" t="inlineStr">
        <is>
          <t>[TEST] Quick Ingestion</t>
        </is>
      </c>
      <c r="O128" t="inlineStr">
        <is>
          <t>Mock</t>
        </is>
      </c>
      <c r="P128" t="inlineStr">
        <is>
          <t>Mock RxCU83 ครั้งที่ 1</t>
        </is>
      </c>
      <c r="Q128" t="inlineStr">
        <is>
          <t>1. Titrations</t>
        </is>
      </c>
      <c r="R128" t="inlineStr">
        <is>
          <t>CASE_PRD_M83_HSV_C01_Q2</t>
        </is>
      </c>
    </row>
    <row r="129">
      <c r="A129" t="n">
        <v>127</v>
      </c>
      <c r="B129" t="inlineStr">
        <is>
          <t>การทดสอบสารปนเปื้อน (Impurity) ในยา Acyclovir ด้วย HPLC: สาร Guanine มี peak area 500, Acyclovir 19,300, สิ่งเจือปนอื่นๆ 200 กำหนดเกณฑ์ผ่าน: Guanine &lt; 2.0% และสิ่งเจือปนอื่น &lt; 0.5% พิจารณาผลการทดสอบ</t>
        </is>
      </c>
      <c r="D129" t="inlineStr">
        <is>
          <t>Guanine 2.5% และ อื่นๆ 1.0% ไม่ผ่านเกณฑ์</t>
        </is>
      </c>
      <c r="E129" t="inlineStr">
        <is>
          <t>Guanine 1.5% และ อื่นๆ 0.2% ผ่านเกณฑ์</t>
        </is>
      </c>
      <c r="F129" t="inlineStr">
        <is>
          <t>Guanine 0.5% ผ่าน แต่ตัวอื่นไม่ผ่าน</t>
        </is>
      </c>
      <c r="G129" t="inlineStr">
        <is>
          <t>ทุกตัวผ่านเกณฑ์มาตรฐาน</t>
        </is>
      </c>
      <c r="H129" t="inlineStr">
        <is>
          <t>ผลการวิเคราะห์ไม่สามารถคำนวณได้</t>
        </is>
      </c>
      <c r="I129" t="n">
        <v>1</v>
      </c>
      <c r="J129" t="inlineStr">
        <is>
          <t>✅ คำตอบที่ถูกต้อง: ข้อ ก. Guanine 2.5% และ อื่นๆ 1.0% ไม่ผ่านเกณฑ์
💡 Background: หลักการบริบาลทางเภสัชกรรมและการควบคุมคุณภาพในหมวด 1. Titrations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(Guanine 1.5% และ อื่นๆ 0.2% ผ่านเกณฑ์): ตัวเลือก Guanine 1.5% และ อื่นๆ 0.2% ผ่านเกณฑ์ ไม่ใช่คำตอบที่ถูกต้อง เนื่องจากมีกลไกทางเภสัชวิทยา ข้อบ่งใช้ หรือคุณสมบัติทางเภสัชเคมีที่ไม่ตรงกับเงื่อนไขที่โจทย์กำหนด
- ข้อ ค. (Guanine 0.5% ผ่าน แต่ตัวอื่นไม่ผ่าน): ตัวเลือก Guanine 0.5% ผ่าน แต่ตัวอื่นไม่ผ่าน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(ทุกตัวผ่านเกณฑ์มาตรฐาน): ตัวเลือก ทุกตัวผ่านเกณฑ์มาตรฐาน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(ผลการวิเคราะห์ไม่สามารถคำนวณได้): ตัวเลือก ผลการวิเคราะห์ไม่สามารถคำนวณได้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129" t="inlineStr">
        <is>
          <t>Chromatography</t>
        </is>
      </c>
      <c r="M129" t="inlineStr">
        <is>
          <t>Product</t>
        </is>
      </c>
      <c r="N129" t="inlineStr">
        <is>
          <t>[TEST] Quick Ingestion</t>
        </is>
      </c>
      <c r="O129" t="inlineStr">
        <is>
          <t>Mock</t>
        </is>
      </c>
      <c r="P129" t="inlineStr">
        <is>
          <t>Mock RxCU83 ครั้งที่ 1</t>
        </is>
      </c>
      <c r="Q129" t="inlineStr">
        <is>
          <t>1. Titrations</t>
        </is>
      </c>
      <c r="R129" t="inlineStr">
        <is>
          <t>CASE_PRD_M83_HSV_C01_Q3</t>
        </is>
      </c>
    </row>
    <row r="130">
      <c r="A130" t="n">
        <v>128</v>
      </c>
      <c r="B130" t="inlineStr">
        <is>
          <t>หัวข้อการทดสอบคุณภาพของยาครีม Acyclovir cream ในข้อใดต่อไปนี้ ไม่ต้องทดสอบ ตามเภสัชตำรับทั่วไป</t>
        </is>
      </c>
      <c r="D130" t="inlineStr">
        <is>
          <t>Assay</t>
        </is>
      </c>
      <c r="E130" t="inlineStr">
        <is>
          <t>Identification</t>
        </is>
      </c>
      <c r="F130" t="inlineStr">
        <is>
          <t>Dissolution test</t>
        </is>
      </c>
      <c r="G130" t="inlineStr">
        <is>
          <t>Minimum fill</t>
        </is>
      </c>
      <c r="H130" t="inlineStr">
        <is>
          <t>Microbial limit test</t>
        </is>
      </c>
      <c r="I130" t="n">
        <v>3</v>
      </c>
      <c r="J130" t="inlineStr">
        <is>
          <t>✅ คำตอบที่ถูกต้อง: ข้อ ค. Dissolution test
💡 Background: หลักการบริบาลทางเภสัชกรรมและการควบคุมคุณภาพในหมวด 1. Titrations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(Assay): ตัวเลือก Assay ไม่ใช่คำตอบที่ถูกต้อง เนื่องจากมีกลไกทางเภสัชวิทยา ข้อบ่งใช้ หรือคุณสมบัติทางเภสัชเคมีที่ไม่ตรงกับเงื่อนไขที่โจทย์กำหนด
- ข้อ ข. (Identification): ตัวเลือก Identification ไม่ใช่คำตอบที่ถูกต้อง เนื่องจากมีกลไกทางเภสัชวิทยา ข้อบ่งใช้ หรือคุณสมบัติทางเภสัชเคมีที่ไม่ตรงกับเงื่อนไขที่โจทย์กำหนด
- ข้อ ง. (Minimum fill): ตัวเลือก Minimum fill ไม่ใช่คำตอบที่ถูกต้อง เนื่องจากมีกลไกทางเภสัชวิทยา ข้อบ่งใช้ หรือคุณสมบัติทางเภสัชเคมีที่ไม่ตรงกับเงื่อนไขที่โจทย์กำหนด
- ข้อ จ. (Microbial limit test): ตัวเลือก Microbial limit test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 Titrations อย่างแม่นยำก่อนสอบ</t>
        </is>
      </c>
      <c r="L130" t="inlineStr">
        <is>
          <t>Liquid &amp; Semisolids</t>
        </is>
      </c>
      <c r="M130" t="inlineStr">
        <is>
          <t>Product</t>
        </is>
      </c>
      <c r="N130" t="inlineStr">
        <is>
          <t>[TEST] Quick Ingestion</t>
        </is>
      </c>
      <c r="O130" t="inlineStr">
        <is>
          <t>Mock</t>
        </is>
      </c>
      <c r="P130" t="inlineStr">
        <is>
          <t>Mock RxCU83 ครั้งที่ 1</t>
        </is>
      </c>
      <c r="Q130" t="inlineStr">
        <is>
          <t>1. Titrations</t>
        </is>
      </c>
      <c r="R130" t="inlineStr">
        <is>
          <t>CASE_PRD_M83_HSV_C01_Q4</t>
        </is>
      </c>
    </row>
    <row r="131">
      <c r="A131" t="n">
        <v>129</v>
      </c>
      <c r="B131" t="inlineStr">
        <is>
          <t>หากพบว่าเนื้อยาครีม acyclovir มีความหนืดต่ำเกินไปหรือเหลวเกินไป ควรเติมสารช่วยปรับความข้นหนืด (Stiffening agent) ในข้อใดเพื่อเพิ่มความคงรูป</t>
        </is>
      </c>
      <c r="D131" t="inlineStr">
        <is>
          <t>Sodium lauryl sulfate</t>
        </is>
      </c>
      <c r="E131" t="inlineStr">
        <is>
          <t>Mineral oil</t>
        </is>
      </c>
      <c r="F131" t="inlineStr">
        <is>
          <t>Cetostearyl alcohol</t>
        </is>
      </c>
      <c r="G131" t="inlineStr">
        <is>
          <t>Propylene glycol</t>
        </is>
      </c>
      <c r="H131" t="inlineStr">
        <is>
          <t>Purified water</t>
        </is>
      </c>
      <c r="I131" t="n">
        <v>3</v>
      </c>
      <c r="J131" t="inlineStr">
        <is>
          <t>✅ คำตอบที่ถูกต้อง: ข้อ ค. Cetostearyl alcohol
💡 Background: หลักการบริบาลทางเภสัชกรรมและการควบคุมคุณภาพในหมวด 6. Solid Dosage Forms (Track: General)
🎯 ทำไมข้อนี้ถึงถูก: ตัวเลือก ข้อ ค.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(Sodium lauryl sulfate): ตัวเลือก Sodium lauryl sulfate ไม่ใช่คำตอบที่ถูกต้อง เนื่องจากมีกลไกทางเภสัชวิทยา ข้อบ่งใช้ หรือคุณสมบัติทางเภสัชเคมีที่ไม่ตรงกับเงื่อนไขที่โจทย์กำหนด
- ข้อ ข. (Mineral oil): ตัวเลือก Mineral oil ไม่ใช่คำตอบที่ถูกต้อง เนื่องจากมีกลไกทางเภสัชวิทยา ข้อบ่งใช้ หรือคุณสมบัติทางเภสัชเคมีที่ไม่ตรงกับเงื่อนไขที่โจทย์กำหนด
- ข้อ ง. (Propylene glycol): ตัวเลือก Propylene glycol ไม่ใช่คำตอบที่ถูกต้อง เนื่องจากมีกลไกทางเภสัชวิทยา ข้อบ่งใช้ หรือคุณสมบัติทางเภสัชเคมีที่ไม่ตรงกับเงื่อนไขที่โจทย์กำหนด
- ข้อ จ. (Purified water): ตัวเลือก Purified water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131" t="inlineStr">
        <is>
          <t>Excipients classification</t>
        </is>
      </c>
      <c r="M131" t="inlineStr">
        <is>
          <t>Product</t>
        </is>
      </c>
      <c r="N131" t="inlineStr">
        <is>
          <t>[TEST] Quick Ingestion</t>
        </is>
      </c>
      <c r="O131" t="inlineStr">
        <is>
          <t>Mock</t>
        </is>
      </c>
      <c r="P131" t="inlineStr">
        <is>
          <t>Mock RxCU83 ครั้งที่ 1</t>
        </is>
      </c>
      <c r="Q131" t="inlineStr">
        <is>
          <t>6. Solid Dosage Forms</t>
        </is>
      </c>
      <c r="R131" t="inlineStr">
        <is>
          <t>CASE_PRD_M83_HSV_C01_Q5</t>
        </is>
      </c>
    </row>
    <row r="132">
      <c r="A132" t="n">
        <v>130</v>
      </c>
      <c r="B132" t="inlineStr">
        <is>
          <t>ยาสมุนไพรในบัญชียาหลักแห่งชาติที่มีข้อบ่งใช้สำหรับรักษาโรคเริมและงูสวัดคือสมุนไพรในข้อใด</t>
        </is>
      </c>
      <c r="D132" t="inlineStr">
        <is>
          <t>ยาพญายอ (เสลดพังพอนตัวเมีย)</t>
        </is>
      </c>
      <c r="E132" t="inlineStr">
        <is>
          <t>ยาเปลือกมังคุด</t>
        </is>
      </c>
      <c r="F132" t="inlineStr">
        <is>
          <t>ยาบัวบก</t>
        </is>
      </c>
      <c r="G132" t="inlineStr">
        <is>
          <t>ยาทิงเจอร์พลู</t>
        </is>
      </c>
      <c r="H132" t="inlineStr">
        <is>
          <t>ยาทิงเจอร์ทองพันชั่ง</t>
        </is>
      </c>
      <c r="I132" t="n">
        <v>1</v>
      </c>
      <c r="J132" t="inlineStr">
        <is>
          <t>✅ คำตอบที่ถูกต้อง: ข้อ ก. ยาพญายอ (เสลดพังพอนตัวเมีย)
💡 Background: หลักการบริบาลทางเภสัชกรรมและการควบคุมคุณภาพในหมวด 11. Herbal Products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(ยาเปลือกมังคุด): ตัวเลือก ยาเปลือกมังคุด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(ยาบัวบก): ตัวเลือก ยาบัวบก ไม่ใช่คำตอบที่ถูกต้อง เนื่องจากมีกลไกทางเภสัชวิทยา ข้อบ่งใช้ หรือคุณสมบัติทางเภสัชเคมีที่ไม่ตรงกับเงื่อนไขที่โจทย์กำหนด
- ข้อ ง. (ยาทิงเจอร์พลู): ตัวเลือก ยาทิงเจอร์พลู ไม่ใช่คำตอบที่ถูกต้อง เนื่องจากมีกลไกทางเภสัชวิทยา ข้อบ่งใช้ หรือคุณสมบัติทางเภสัชเคมีที่ไม่ตรงกับเงื่อนไขที่โจทย์กำหนด
- ข้อ จ. (ยาทิงเจอร์ทองพันชั่ง): ตัวเลือก ยาทิงเจอร์ทองพันชั่ง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11. Herbal Products อย่างแม่นยำก่อนสอบ</t>
        </is>
      </c>
      <c r="L132" t="inlineStr">
        <is>
          <t>Herbal Products</t>
        </is>
      </c>
      <c r="M132" t="inlineStr">
        <is>
          <t>Product</t>
        </is>
      </c>
      <c r="N132" t="inlineStr">
        <is>
          <t>[TEST] Quick Ingestion</t>
        </is>
      </c>
      <c r="O132" t="inlineStr">
        <is>
          <t>Mock</t>
        </is>
      </c>
      <c r="P132" t="inlineStr">
        <is>
          <t>Mock RxCU83 ครั้งที่ 1</t>
        </is>
      </c>
      <c r="Q132" t="inlineStr">
        <is>
          <t>11. Herbal Products</t>
        </is>
      </c>
      <c r="R132" t="inlineStr">
        <is>
          <t>CASE_PRD_M83_HSV_C01_Q6</t>
        </is>
      </c>
    </row>
    <row r="133">
      <c r="A133" t="n">
        <v>131</v>
      </c>
      <c r="B133" t="inlineStr">
        <is>
          <t>ส่วนของสมุนไพรพญายอ (เสลดพังพอนตัวเมีย) ที่นำมาใช้ในการสกัดเพื่อทำยารักษาโรคเริมคือนำส่วนใดมาใช้</t>
        </is>
      </c>
      <c r="D133" t="inlineStr">
        <is>
          <t>ใบ (Leaves)</t>
        </is>
      </c>
      <c r="E133" t="inlineStr">
        <is>
          <t>เถา (Stems)</t>
        </is>
      </c>
      <c r="F133" t="inlineStr">
        <is>
          <t>ราก (Roots)</t>
        </is>
      </c>
      <c r="G133" t="inlineStr">
        <is>
          <t>เมล็ด (Seeds)</t>
        </is>
      </c>
      <c r="H133" t="inlineStr">
        <is>
          <t>เปลือกผล (Rinds)</t>
        </is>
      </c>
      <c r="I133" t="n">
        <v>1</v>
      </c>
      <c r="J133" t="inlineStr">
        <is>
          <t>✅ คำตอบที่ถูกต้อง: ข้อ ก. ใบ (Leaves)
💡 Background: หลักการบริบาลทางเภสัชกรรมและการควบคุมคุณภาพในหมวด 11. Herbal Products (Track: General)
🎯 ทำไมข้อนี้ถึงถูก: ตัวเลือก ข้อ ก.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ข. (เถา (Stems)): ตัวเลือก เถา (Stems)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(ราก (Roots)): ตัวเลือก ราก (Roots) ไม่ใช่คำตอบที่ถูกต้อง เนื่องจากมีกลไกทางเภสัชวิทยา ข้อบ่งใช้ หรือคุณสมบัติทางเภสัชเคมีที่ไม่ตรงกับเงื่อนไขที่โจทย์กำหนด
- ข้อ ง. (เมล็ด (Seeds)): ตัวเลือก เมล็ด (Seeds)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(เปลือกผล (Rinds)): ตัวเลือก เปลือกผล (Rinds)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11. Herbal Products อย่างแม่นยำก่อนสอบ</t>
        </is>
      </c>
      <c r="L133" t="inlineStr">
        <is>
          <t>Herbal Products</t>
        </is>
      </c>
      <c r="M133" t="inlineStr">
        <is>
          <t>Product</t>
        </is>
      </c>
      <c r="N133" t="inlineStr">
        <is>
          <t>[TEST] Quick Ingestion</t>
        </is>
      </c>
      <c r="O133" t="inlineStr">
        <is>
          <t>Mock</t>
        </is>
      </c>
      <c r="P133" t="inlineStr">
        <is>
          <t>Mock RxCU83 ครั้งที่ 1</t>
        </is>
      </c>
      <c r="Q133" t="inlineStr">
        <is>
          <t>11. Herbal Products</t>
        </is>
      </c>
      <c r="R133" t="inlineStr">
        <is>
          <t>CASE_PRD_M83_HSV_C01_Q7</t>
        </is>
      </c>
    </row>
    <row r="134">
      <c r="A134" t="n">
        <v>132</v>
      </c>
      <c r="B134" t="inlineStr">
        <is>
          <t>Acyclovir มีคุณสมบัติ MW 225 และละลายน้ำได้จำกัด (Solubility ประมาณ 2.5 mg/mL) ในขั้นตอนการเตรียม Acyclovir cream ควรมีเทคนิคการกระจายตัวยาลงในเบสครีมอย่างไร</t>
        </is>
      </c>
      <c r="D134" t="inlineStr">
        <is>
          <t>ละลายตัวยาทั้งหมดในน้ำแล้วค่อยเตรียมครีม</t>
        </is>
      </c>
      <c r="E134" t="inlineStr">
        <is>
          <t>ละลายตัวยาใน Phase น้ำโดยใช้ความร้อนสูงแล้วค่อยผสมกับ Base</t>
        </is>
      </c>
      <c r="F134" t="inlineStr">
        <is>
          <t>นำผงยาไปบดกระจายกับ Mineral oil ก่อนนำไปผสม Base</t>
        </is>
      </c>
      <c r="G134" t="inlineStr">
        <is>
          <t>นำผงยาไตรจูเรตกระจายตัวกับตัวทำละลายและสารช่วยดูดซึม เช่น Propylene glycol (Levigating agent) ก่อนนำไปผสมเข้ากับเนื้อครีม</t>
        </is>
      </c>
      <c r="H134" t="inlineStr">
        <is>
          <t>เทผงยาแห้งลงผสมกับเนื้อครีมโดยตรงทันที</t>
        </is>
      </c>
      <c r="I134" t="n">
        <v>4</v>
      </c>
      <c r="J134" t="inlineStr">
        <is>
          <t>✅ คำตอบที่ถูกต้อง: ข้อ ง. นำผงยาไตรจูเรตกระจายตัวกับตัวทำละลายและสารช่วยดูดซึม เช่น Propylene glycol (Levigating agent) ก่อนนำไปผสมเข้ากับเนื้อครีม
💡 Background: หลักการบริบาลทางเภสัชกรรมและการควบคุมคุณภาพในหมวด 6. Solid Dosage Forms (Track: General)
🎯 ทำไมข้อนี้ถึงถูก: ตัวเลือก ข้อ ง. เป็นคำตอบที่ถูกต้องตามหลักการทางเภสัชวิทยาและเภสัชตำรับ เนื่องจากสอดคล้องกับพยาธิสรีรวิทยาของโรคและข้อกำหนดมาตรฐานสากล
🔍 ข้ออื่นผิดเพราะอะไร:
- ข้อ ก. (ละลายตัวยาทั้งหมดในน้ำแล้วค่อยเตรียมครีม): ตัวเลือก ละลายตัวยาทั้งหมดในน้ำแล้วค่อยเตรียมครีม ไม่ใช่คำตอบที่ถูกต้อง เนื่องจากมีกลไกทางเภสัชวิทยา ข้อบ่งใช้ หรือคุณสมบัติทางเภสัชเคมีที่ไม่ตรงกับเงื่อนไขที่โจทย์กำหนด
- ข้อ ข. (ละลายตัวยาใน Phase น้ำโดยใช้ความร้อนสูงแล้วค่อยผสม): ตัวเลือก ละลายตัวยาใน Phase น้ำโดยใช้ความร้อนสูงแล้วค่อยผสมกับ Base ไม่ใช่คำตอบที่ถูกต้อง เนื่องจากมีกลไกทางเภสัชวิทยา ข้อบ่งใช้ หรือคุณสมบัติทางเภสัชเคมีที่ไม่ตรงกับเงื่อนไขที่โจทย์กำหนด
- ข้อ ค. (นำผงยาไปบดกระจายกับ Mineral oil ก่อนนำไปผสม Base): ตัวเลือก นำผงยาไปบดกระจายกับ Mineral oil ก่อนนำไปผสม Base ไม่ใช่คำตอบที่ถูกต้อง เนื่องจากมีกลไกทางเภสัชวิทยา ข้อบ่งใช้ หรือคุณสมบัติทางเภสัชเคมีที่ไม่ตรงกับเงื่อนไขที่โจทย์กำหนด
- ข้อ จ. (เทผงยาแห้งลงผสมกับเนื้อครีมโดยตรงทันที): ตัวเลือก เทผงยาแห้งลงผสมกับเนื้อครีมโดยตรงทันที ไม่ใช่คำตอบที่ถูกต้อง เนื่องจากมีกลไกทางเภสัชวิทยา ข้อบ่งใช้ หรือคุณสมบัติทางเภสัชเคมีที่ไม่ตรงกับเงื่อนไขที่โจทย์กำหนด
📖 Guideline อ้างอิง: แนวทางเวชปฏิบัติทางการแพทย์และเภสัชกรรมแห่งประเทศไทย และ United States Pharmacopeia (USP-NF)
📌 จุดจำก่อนสอบ: ทำความเข้าใจกลไกหลัก ข้อห้ามใช้ และข้อกำหนดทางเภสัชตำรับในหัวข้อ 6. Solid Dosage Forms อย่างแม่นยำก่อนสอบ</t>
        </is>
      </c>
      <c r="L134" t="inlineStr">
        <is>
          <t>Liquid &amp; Semisolids</t>
        </is>
      </c>
      <c r="M134" t="inlineStr">
        <is>
          <t>Product</t>
        </is>
      </c>
      <c r="N134" t="inlineStr">
        <is>
          <t>[TEST] Quick Ingestion</t>
        </is>
      </c>
      <c r="O134" t="inlineStr">
        <is>
          <t>Mock</t>
        </is>
      </c>
      <c r="P134" t="inlineStr">
        <is>
          <t>Mock RxCU83 ครั้งที่ 1</t>
        </is>
      </c>
      <c r="Q134" t="inlineStr">
        <is>
          <t>6. Solid Dosage Forms</t>
        </is>
      </c>
      <c r="R134" t="inlineStr">
        <is>
          <t>CASE_PRD_M83_HSV_C01_Q8</t>
        </is>
      </c>
    </row>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c r="A1" s="1" t="inlineStr">
        <is>
          <t>Timestamp</t>
        </is>
      </c>
      <c r="B1" s="1" t="inlineStr">
        <is>
          <t>User</t>
        </is>
      </c>
      <c r="C1" s="1" t="inlineStr">
        <is>
          <t>Category/Mode</t>
        </is>
      </c>
      <c r="D1" s="1" t="inlineStr">
        <is>
          <t>Score</t>
        </is>
      </c>
      <c r="E1" s="1" t="inlineStr">
        <is>
          <t>Total</t>
        </is>
      </c>
      <c r="F1" s="1" t="inlineStr">
        <is>
          <t>Percentage</t>
        </is>
      </c>
      <c r="G1" s="1" t="inlineStr">
        <is>
          <t>TimeSpentSeconds</t>
        </is>
      </c>
    </row>
    <row r="2">
      <c r="A2" s="2" t="inlineStr">
        <is>
          <t>2026-09-24T13:21:44.697Z</t>
        </is>
      </c>
      <c r="B2" s="2" t="inlineStr">
        <is>
          <t>บุคคลทั่วไป</t>
        </is>
      </c>
      <c r="C2" s="2" t="inlineStr">
        <is>
          <t>⏱️ จำลองสอบจริง PLE-CC1 (20 ข้อ)</t>
        </is>
      </c>
      <c r="D2" s="2" t="n">
        <v>4</v>
      </c>
      <c r="E2" s="2" t="n">
        <v>20</v>
      </c>
      <c r="F2" s="4" t="n">
        <v>0.2</v>
      </c>
      <c r="G2" s="2" t="n">
        <v>0</v>
      </c>
    </row>
    <row r="3">
      <c r="A3" s="2" t="inlineStr">
        <is>
          <t>2026-09-24T13:36:42.772Z</t>
        </is>
      </c>
      <c r="B3" s="2" t="inlineStr">
        <is>
          <t>idea</t>
        </is>
      </c>
      <c r="C3" s="2" t="inlineStr">
        <is>
          <t>18. Clinical Nutrition</t>
        </is>
      </c>
      <c r="D3" s="2" t="n">
        <v>15</v>
      </c>
      <c r="E3" s="2" t="n">
        <v>23</v>
      </c>
      <c r="F3" s="4" t="n">
        <v>0.65</v>
      </c>
      <c r="G3" s="2"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7" customHeight="1" s="49">
      <c r="A1" s="48">
        <f>HYPERLINK("#gid=0", "🏠 กลับสู่หน้าแรก (Go to Home Page)")</f>
        <v/>
      </c>
    </row>
    <row r="2" ht="21.6" customHeight="1" s="49">
      <c r="A2" s="5" t="inlineStr">
        <is>
          <t>⚙️ ตัวกรอง:</t>
        </is>
      </c>
      <c r="B2" s="5" t="inlineStr">
        <is>
          <t>ประเภทข้อสอบ (Col O)</t>
        </is>
      </c>
      <c r="C2" s="5" t="inlineStr">
        <is>
          <t>ปี / เลขชุด (Col P)</t>
        </is>
      </c>
      <c r="D2" s="5" t="inlineStr">
        <is>
          <t>หมวดหลัก (Clinic/Product/SAP)</t>
        </is>
      </c>
      <c r="E2" s="5" t="inlineStr">
        <is>
          <t>ค้นหาคีย์เวิร์ดในโจทย์ / ยา</t>
        </is>
      </c>
      <c r="F2" s="5" t="inlineStr">
        <is>
          <t>จำนวนข้อที่พบ</t>
        </is>
      </c>
    </row>
    <row r="3" ht="21.6" customHeight="1" s="49">
      <c r="A3" s="6" t="inlineStr">
        <is>
          <t>เลือกค่า 👉</t>
        </is>
      </c>
      <c r="B3" s="6" t="inlineStr">
        <is>
          <t>ทั้งหมด</t>
        </is>
      </c>
      <c r="C3" s="6" t="inlineStr">
        <is>
          <t>ชุด 1</t>
        </is>
      </c>
      <c r="D3" s="6" t="inlineStr">
        <is>
          <t>Product</t>
        </is>
      </c>
      <c r="E3" s="6" t="n"/>
      <c r="F3" s="6">
        <f>COUNTA(A6:A11000)</f>
        <v/>
      </c>
    </row>
    <row r="5" ht="21.6" customHeight="1" s="49">
      <c r="A5" s="9" t="inlineStr">
        <is>
          <t>ข้อที่</t>
        </is>
      </c>
      <c r="B5" s="9" t="inlineStr">
        <is>
          <t>คำถาม</t>
        </is>
      </c>
      <c r="C5" s="9" t="inlineStr">
        <is>
          <t>รูปถาม</t>
        </is>
      </c>
      <c r="D5" s="9" t="inlineStr">
        <is>
          <t>ตัวเลือก 1</t>
        </is>
      </c>
      <c r="E5" s="9" t="inlineStr">
        <is>
          <t>ตัวเลือก 2</t>
        </is>
      </c>
      <c r="F5" s="9" t="inlineStr">
        <is>
          <t>ตัวเลือก 3</t>
        </is>
      </c>
      <c r="G5" s="9" t="inlineStr">
        <is>
          <t>ตัวเลือก 4</t>
        </is>
      </c>
      <c r="H5" s="9" t="inlineStr">
        <is>
          <t>ตัวเลือก 5</t>
        </is>
      </c>
      <c r="I5" s="9" t="inlineStr">
        <is>
          <t>เฉลย</t>
        </is>
      </c>
      <c r="J5" s="9" t="inlineStr">
        <is>
          <t>คำอธิบายเฉลย</t>
        </is>
      </c>
      <c r="K5" s="9" t="inlineStr">
        <is>
          <t>รูปเฉลย</t>
        </is>
      </c>
      <c r="L5" s="9" t="inlineStr">
        <is>
          <t>หมวด/Subtopic</t>
        </is>
      </c>
      <c r="M5" s="9" t="inlineStr">
        <is>
          <t>Product/Clinic/SAP</t>
        </is>
      </c>
      <c r="N5" s="9" t="inlineStr">
        <is>
          <t>หมายเหตุ</t>
        </is>
      </c>
      <c r="O5" s="9" t="inlineStr">
        <is>
          <t>ประเภทข้อสอบ</t>
        </is>
      </c>
      <c r="P5" s="9" t="inlineStr">
        <is>
          <t>ปี / เลขชุด</t>
        </is>
      </c>
      <c r="Q5" s="9" t="inlineStr">
        <is>
          <t>ต้นทาง (Tab)</t>
        </is>
      </c>
    </row>
    <row r="6" ht="13.2" customHeight="1" s="49">
      <c r="A6" s="2">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2">
        <f>IFERROR(__xludf.DUMMYFUNCTION("""COMPUTED_VALUE"""),"ในการเตรียม Aspirin Suspension หากต้องการเติมสารบัฟเฟอร์ ปรับ pH ให้มี pH เท่ากับ 6.8 ภก.ควรจะใช้บัฟเฟอร์ใด")</f>
        <v/>
      </c>
      <c r="C6" s="2" t="n"/>
      <c r="D6" s="2">
        <f>IFERROR(__xludf.DUMMYFUNCTION("""COMPUTED_VALUE"""),"NaH2PO4 (pKa 7.21)/ Na2HPO4")</f>
        <v/>
      </c>
      <c r="E6" s="2">
        <f>IFERROR(__xludf.DUMMYFUNCTION("""COMPUTED_VALUE"""),"Na2HPO4 / Na3PO4")</f>
        <v/>
      </c>
      <c r="F6" s="2">
        <f>IFERROR(__xludf.DUMMYFUNCTION("""COMPUTED_VALUE"""),"Acetic acid (pKa 4.76)/ Sodium acetate")</f>
        <v/>
      </c>
      <c r="G6" s="2">
        <f>IFERROR(__xludf.DUMMYFUNCTION("""COMPUTED_VALUE"""),"Boric acid (pKa 8.24)/Sodium borate")</f>
        <v/>
      </c>
      <c r="H6" s="2">
        <f>IFERROR(__xludf.DUMMYFUNCTION("""COMPUTED_VALUE"""),"HCl/NaOH")</f>
        <v/>
      </c>
      <c r="I6" s="2">
        <f>IFERROR(__xludf.DUMMYFUNCTION("""COMPUTED_VALUE"""),"1")</f>
        <v/>
      </c>
      <c r="J6" s="2">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2" t="n"/>
      <c r="L6" s="2">
        <f>IFERROR(__xludf.DUMMYFUNCTION("""COMPUTED_VALUE"""),"Tablet Manufacturing")</f>
        <v/>
      </c>
      <c r="M6" s="2">
        <f>IFERROR(__xludf.DUMMYFUNCTION("""COMPUTED_VALUE"""),"Product")</f>
        <v/>
      </c>
      <c r="N6" s="2">
        <f>IFERROR(__xludf.DUMMYFUNCTION("""COMPUTED_VALUE"""),"ข้อ 7 Pharma Plus เล่มม่วง (เฉลยข้อ ก)")</f>
        <v/>
      </c>
      <c r="O6" s="2">
        <f>IFERROR(__xludf.DUMMYFUNCTION("""COMPUTED_VALUE"""),"Mock")</f>
        <v/>
      </c>
      <c r="P6" s="2">
        <f>IFERROR(__xludf.DUMMYFUNCTION("""COMPUTED_VALUE"""),"Pharma Plus เล่มม่วง")</f>
        <v/>
      </c>
    </row>
    <row r="7" ht="13.2" customHeight="1" s="49">
      <c r="A7" s="2">
        <f>IFERROR(__xludf.DUMMYFUNCTION("""COMPUTED_VALUE"""),"8")</f>
        <v/>
      </c>
      <c r="B7" s="2">
        <f>IFERROR(__xludf.DUMMYFUNCTION("""COMPUTED_VALUE"""),"ในการเตรียม aspirin suspension หากต้องการให้ยาตกตะกอนไม่เร็วเกินไป สารปรุงแต่งที่ต้องเติมคือ")</f>
        <v/>
      </c>
      <c r="C7" s="2" t="n"/>
      <c r="D7" s="2">
        <f>IFERROR(__xludf.DUMMYFUNCTION("""COMPUTED_VALUE"""),"Glycerin")</f>
        <v/>
      </c>
      <c r="E7" s="2">
        <f>IFERROR(__xludf.DUMMYFUNCTION("""COMPUTED_VALUE"""),"Tween 80")</f>
        <v/>
      </c>
      <c r="F7" s="2">
        <f>IFERROR(__xludf.DUMMYFUNCTION("""COMPUTED_VALUE"""),"Methylcellulose")</f>
        <v/>
      </c>
      <c r="G7" s="2">
        <f>IFERROR(__xludf.DUMMYFUNCTION("""COMPUTED_VALUE"""),"Aluminium chloride")</f>
        <v/>
      </c>
      <c r="H7" s="2">
        <f>IFERROR(__xludf.DUMMYFUNCTION("""COMPUTED_VALUE"""),"Sodium citrate")</f>
        <v/>
      </c>
      <c r="I7" s="2">
        <f>IFERROR(__xludf.DUMMYFUNCTION("""COMPUTED_VALUE"""),"3")</f>
        <v/>
      </c>
      <c r="J7" s="2">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2" t="n"/>
      <c r="L7" s="2">
        <f>IFERROR(__xludf.DUMMYFUNCTION("""COMPUTED_VALUE"""),"Tablet Manufacturing")</f>
        <v/>
      </c>
      <c r="M7" s="2">
        <f>IFERROR(__xludf.DUMMYFUNCTION("""COMPUTED_VALUE"""),"Product")</f>
        <v/>
      </c>
      <c r="N7" s="2">
        <f>IFERROR(__xludf.DUMMYFUNCTION("""COMPUTED_VALUE"""),"ข้อ 8 Pharma Plus เล่มม่วง (เฉลยข้อ ค)")</f>
        <v/>
      </c>
      <c r="O7" s="2">
        <f>IFERROR(__xludf.DUMMYFUNCTION("""COMPUTED_VALUE"""),"Mock")</f>
        <v/>
      </c>
      <c r="P7" s="2">
        <f>IFERROR(__xludf.DUMMYFUNCTION("""COMPUTED_VALUE"""),"Pharma Plus เล่มม่วง")</f>
        <v/>
      </c>
    </row>
    <row r="8" ht="13.2" customHeight="1" s="49">
      <c r="A8" s="2">
        <f>IFERROR(__xludf.DUMMYFUNCTION("""COMPUTED_VALUE"""),"9")</f>
        <v/>
      </c>
      <c r="B8" s="2">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2" t="n"/>
      <c r="D8" s="2">
        <f>IFERROR(__xludf.DUMMYFUNCTION("""COMPUTED_VALUE"""),"Flocculation")</f>
        <v/>
      </c>
      <c r="E8" s="2">
        <f>IFERROR(__xludf.DUMMYFUNCTION("""COMPUTED_VALUE"""),"Lamination")</f>
        <v/>
      </c>
      <c r="F8" s="2">
        <f>IFERROR(__xludf.DUMMYFUNCTION("""COMPUTED_VALUE"""),"Creaming")</f>
        <v/>
      </c>
      <c r="G8" s="2">
        <f>IFERROR(__xludf.DUMMYFUNCTION("""COMPUTED_VALUE"""),"Coalescence")</f>
        <v/>
      </c>
      <c r="H8" s="2">
        <f>IFERROR(__xludf.DUMMYFUNCTION("""COMPUTED_VALUE"""),"Caking")</f>
        <v/>
      </c>
      <c r="I8" s="2">
        <f>IFERROR(__xludf.DUMMYFUNCTION("""COMPUTED_VALUE"""),"5")</f>
        <v/>
      </c>
      <c r="J8"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2" t="n"/>
      <c r="L8" s="2">
        <f>IFERROR(__xludf.DUMMYFUNCTION("""COMPUTED_VALUE"""),"Tablet Manufacturing")</f>
        <v/>
      </c>
      <c r="M8" s="2">
        <f>IFERROR(__xludf.DUMMYFUNCTION("""COMPUTED_VALUE"""),"Product")</f>
        <v/>
      </c>
      <c r="N8" s="2">
        <f>IFERROR(__xludf.DUMMYFUNCTION("""COMPUTED_VALUE"""),"ข้อ 9 Pharma Plus เล่มม่วง (เฉลยข้อ จ)")</f>
        <v/>
      </c>
      <c r="O8" s="2">
        <f>IFERROR(__xludf.DUMMYFUNCTION("""COMPUTED_VALUE"""),"Mock")</f>
        <v/>
      </c>
      <c r="P8" s="2">
        <f>IFERROR(__xludf.DUMMYFUNCTION("""COMPUTED_VALUE"""),"Pharma Plus เล่มม่วง")</f>
        <v/>
      </c>
    </row>
    <row r="9" ht="13.2" customHeight="1" s="49">
      <c r="A9" s="2">
        <f>IFERROR(__xludf.DUMMYFUNCTION("""COMPUTED_VALUE"""),"10")</f>
        <v/>
      </c>
      <c r="B9" s="2">
        <f>IFERROR(__xludf.DUMMYFUNCTION("""COMPUTED_VALUE"""),"สูตรตำรับย้ำน้ำ Ferrous sulfate
- Ferrous sulfate 12.5 g
- Citric acid 0.2 g
- Paraben conc. 1 ml
- Syrup add qs 100 ml
ข้อใดถูก")</f>
        <v/>
      </c>
      <c r="C9" s="2" t="n"/>
      <c r="D9" s="2">
        <f>IFERROR(__xludf.DUMMYFUNCTION("""COMPUTED_VALUE"""),"มีปัญหาการละลาย")</f>
        <v/>
      </c>
      <c r="E9" s="2">
        <f>IFERROR(__xludf.DUMMYFUNCTION("""COMPUTED_VALUE"""),"ต้องเก็บในตู้เย็น")</f>
        <v/>
      </c>
      <c r="F9" s="2">
        <f>IFERROR(__xludf.DUMMYFUNCTION("""COMPUTED_VALUE"""),"เก็บในขวดใส ปิดสนิท")</f>
        <v/>
      </c>
      <c r="G9" s="2">
        <f>IFERROR(__xludf.DUMMYFUNCTION("""COMPUTED_VALUE"""),"ไม่มีสารแต่งรส")</f>
        <v/>
      </c>
      <c r="H9" s="2">
        <f>IFERROR(__xludf.DUMMYFUNCTION("""COMPUTED_VALUE"""),"ไม่มีสารเพิ่มความคงตัว")</f>
        <v/>
      </c>
      <c r="I9" s="2">
        <f>IFERROR(__xludf.DUMMYFUNCTION("""COMPUTED_VALUE"""),"1")</f>
        <v/>
      </c>
      <c r="J9" s="2">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2" t="n"/>
      <c r="L9" s="2">
        <f>IFERROR(__xludf.DUMMYFUNCTION("""COMPUTED_VALUE"""),"Tablet Manufacturing")</f>
        <v/>
      </c>
      <c r="M9" s="2">
        <f>IFERROR(__xludf.DUMMYFUNCTION("""COMPUTED_VALUE"""),"Product")</f>
        <v/>
      </c>
      <c r="N9" s="2">
        <f>IFERROR(__xludf.DUMMYFUNCTION("""COMPUTED_VALUE"""),"ข้อ 10 Pharma Plus เล่มม่วง (เฉลยข้อ ก)")</f>
        <v/>
      </c>
      <c r="O9" s="2">
        <f>IFERROR(__xludf.DUMMYFUNCTION("""COMPUTED_VALUE"""),"Mock")</f>
        <v/>
      </c>
      <c r="P9" s="2">
        <f>IFERROR(__xludf.DUMMYFUNCTION("""COMPUTED_VALUE"""),"Pharma Plus เล่มม่วง")</f>
        <v/>
      </c>
    </row>
    <row r="10" ht="13.2" customHeight="1" s="49">
      <c r="A10" s="2">
        <f>IFERROR(__xludf.DUMMYFUNCTION("""COMPUTED_VALUE"""),"11")</f>
        <v/>
      </c>
      <c r="B10" s="2">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2" t="n"/>
      <c r="D10" s="2">
        <f>IFERROR(__xludf.DUMMYFUNCTION("""COMPUTED_VALUE"""),"0.625 mg")</f>
        <v/>
      </c>
      <c r="E10" s="2">
        <f>IFERROR(__xludf.DUMMYFUNCTION("""COMPUTED_VALUE"""),"2.625 mg")</f>
        <v/>
      </c>
      <c r="F10" s="2">
        <f>IFERROR(__xludf.DUMMYFUNCTION("""COMPUTED_VALUE"""),"62.5 mg")</f>
        <v/>
      </c>
      <c r="G10" s="2">
        <f>IFERROR(__xludf.DUMMYFUNCTION("""COMPUTED_VALUE"""),"375 mg")</f>
        <v/>
      </c>
      <c r="H10" s="2">
        <f>IFERROR(__xludf.DUMMYFUNCTION("""COMPUTED_VALUE"""),"125 mg")</f>
        <v/>
      </c>
      <c r="I10" s="2">
        <f>IFERROR(__xludf.DUMMYFUNCTION("""COMPUTED_VALUE"""),"5")</f>
        <v/>
      </c>
      <c r="J10" s="2">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2" t="n"/>
      <c r="L10" s="2">
        <f>IFERROR(__xludf.DUMMYFUNCTION("""COMPUTED_VALUE"""),"Tablet Manufacturing")</f>
        <v/>
      </c>
      <c r="M10" s="2">
        <f>IFERROR(__xludf.DUMMYFUNCTION("""COMPUTED_VALUE"""),"Product")</f>
        <v/>
      </c>
      <c r="N10" s="2">
        <f>IFERROR(__xludf.DUMMYFUNCTION("""COMPUTED_VALUE"""),"ข้อ 11 Pharma Plus เล่มม่วง (เฉลยข้อ จ)")</f>
        <v/>
      </c>
      <c r="O10" s="2">
        <f>IFERROR(__xludf.DUMMYFUNCTION("""COMPUTED_VALUE"""),"Mock")</f>
        <v/>
      </c>
      <c r="P10" s="2">
        <f>IFERROR(__xludf.DUMMYFUNCTION("""COMPUTED_VALUE"""),"Pharma Plus เล่มม่วง")</f>
        <v/>
      </c>
    </row>
    <row r="11" ht="13.2" customHeight="1" s="49">
      <c r="A11" s="2">
        <f>IFERROR(__xludf.DUMMYFUNCTION("""COMPUTED_VALUE"""),"22")</f>
        <v/>
      </c>
      <c r="B11" s="2">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2" t="n"/>
      <c r="D11" s="2">
        <f>IFERROR(__xludf.DUMMYFUNCTION("""COMPUTED_VALUE"""),"Stearic acid")</f>
        <v/>
      </c>
      <c r="E11" s="2">
        <f>IFERROR(__xludf.DUMMYFUNCTION("""COMPUTED_VALUE"""),"Lanolin")</f>
        <v/>
      </c>
      <c r="F11" s="2">
        <f>IFERROR(__xludf.DUMMYFUNCTION("""COMPUTED_VALUE"""),"Cetyl alcohol")</f>
        <v/>
      </c>
      <c r="G11" s="2">
        <f>IFERROR(__xludf.DUMMYFUNCTION("""COMPUTED_VALUE"""),"Potassium hydroxide")</f>
        <v/>
      </c>
      <c r="H11" s="2">
        <f>IFERROR(__xludf.DUMMYFUNCTION("""COMPUTED_VALUE"""),"Potassium stearate")</f>
        <v/>
      </c>
      <c r="I11" s="2">
        <f>IFERROR(__xludf.DUMMYFUNCTION("""COMPUTED_VALUE"""),"5")</f>
        <v/>
      </c>
      <c r="J11" s="2">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2" t="n"/>
      <c r="L11" s="2">
        <f>IFERROR(__xludf.DUMMYFUNCTION("""COMPUTED_VALUE"""),"Tablet Manufacturing")</f>
        <v/>
      </c>
      <c r="M11" s="2">
        <f>IFERROR(__xludf.DUMMYFUNCTION("""COMPUTED_VALUE"""),"Product")</f>
        <v/>
      </c>
      <c r="N11" s="2">
        <f>IFERROR(__xludf.DUMMYFUNCTION("""COMPUTED_VALUE"""),"ข้อ 22 Pharma Plus เล่มม่วง (เฉลยข้อ จ)")</f>
        <v/>
      </c>
      <c r="O11" s="2">
        <f>IFERROR(__xludf.DUMMYFUNCTION("""COMPUTED_VALUE"""),"Mock")</f>
        <v/>
      </c>
      <c r="P11" s="2">
        <f>IFERROR(__xludf.DUMMYFUNCTION("""COMPUTED_VALUE"""),"Pharma Plus เล่มม่วง")</f>
        <v/>
      </c>
    </row>
    <row r="12" ht="13.2" customHeight="1" s="49">
      <c r="A12" s="2">
        <f>IFERROR(__xludf.DUMMYFUNCTION("""COMPUTED_VALUE"""),"23")</f>
        <v/>
      </c>
      <c r="B12" s="2">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2" t="n"/>
      <c r="D12" s="2">
        <f>IFERROR(__xludf.DUMMYFUNCTION("""COMPUTED_VALUE"""),"เพิ่มการละลายของ Neomycin")</f>
        <v/>
      </c>
      <c r="E12" s="2">
        <f>IFERROR(__xludf.DUMMYFUNCTION("""COMPUTED_VALUE"""),"ป้องกันการตกตะกอนขุ่นของสารละลาย")</f>
        <v/>
      </c>
      <c r="F12" s="2">
        <f>IFERROR(__xludf.DUMMYFUNCTION("""COMPUTED_VALUE"""),"เพิ่มฤทธิ์ฆ่าเชื้อแบคทีเรีย")</f>
        <v/>
      </c>
      <c r="G12" s="2">
        <f>IFERROR(__xludf.DUMMYFUNCTION("""COMPUTED_VALUE"""),"ลดการแสบระคายเคืองตา")</f>
        <v/>
      </c>
      <c r="H12" s="2">
        <f>IFERROR(__xludf.DUMMYFUNCTION("""COMPUTED_VALUE"""),"เพิ่มการติดของสารละลายกับดวงตา")</f>
        <v/>
      </c>
      <c r="I12" s="2">
        <f>IFERROR(__xludf.DUMMYFUNCTION("""COMPUTED_VALUE"""),"5")</f>
        <v/>
      </c>
      <c r="J12" s="2">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2" t="n"/>
      <c r="L12" s="2">
        <f>IFERROR(__xludf.DUMMYFUNCTION("""COMPUTED_VALUE"""),"Tablet Manufacturing")</f>
        <v/>
      </c>
      <c r="M12" s="2">
        <f>IFERROR(__xludf.DUMMYFUNCTION("""COMPUTED_VALUE"""),"Product")</f>
        <v/>
      </c>
      <c r="N12" s="2">
        <f>IFERROR(__xludf.DUMMYFUNCTION("""COMPUTED_VALUE"""),"ข้อ 23 Pharma Plus เล่มม่วง (เฉลยข้อ จ)")</f>
        <v/>
      </c>
      <c r="O12" s="2">
        <f>IFERROR(__xludf.DUMMYFUNCTION("""COMPUTED_VALUE"""),"Mock")</f>
        <v/>
      </c>
      <c r="P12" s="2">
        <f>IFERROR(__xludf.DUMMYFUNCTION("""COMPUTED_VALUE"""),"Pharma Plus เล่มม่วง")</f>
        <v/>
      </c>
    </row>
    <row r="13" ht="13.2" customHeight="1" s="49">
      <c r="A13" s="2">
        <f>IFERROR(__xludf.DUMMYFUNCTION("""COMPUTED_VALUE"""),"24")</f>
        <v/>
      </c>
      <c r="B13" s="2">
        <f>IFERROR(__xludf.DUMMYFUNCTION("""COMPUTED_VALUE"""),"คุณสมบัติที่สำคัญที่สุดของยาตา")</f>
        <v/>
      </c>
      <c r="C13" s="2" t="n"/>
      <c r="D13" s="2">
        <f>IFERROR(__xludf.DUMMYFUNCTION("""COMPUTED_VALUE"""),"Isotonic")</f>
        <v/>
      </c>
      <c r="E13" s="2">
        <f>IFERROR(__xludf.DUMMYFUNCTION("""COMPUTED_VALUE"""),"Sterile")</f>
        <v/>
      </c>
      <c r="F13" s="2">
        <f>IFERROR(__xludf.DUMMYFUNCTION("""COMPUTED_VALUE"""),"pH")</f>
        <v/>
      </c>
      <c r="G13" s="2">
        <f>IFERROR(__xludf.DUMMYFUNCTION("""COMPUTED_VALUE"""),"Preservative")</f>
        <v/>
      </c>
      <c r="H13" s="2">
        <f>IFERROR(__xludf.DUMMYFUNCTION("""COMPUTED_VALUE"""),"ต้องเป็นสารละลาย")</f>
        <v/>
      </c>
      <c r="I13" s="2">
        <f>IFERROR(__xludf.DUMMYFUNCTION("""COMPUTED_VALUE"""),"2")</f>
        <v/>
      </c>
      <c r="J13" s="2">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2" t="n"/>
      <c r="L13" s="2">
        <f>IFERROR(__xludf.DUMMYFUNCTION("""COMPUTED_VALUE"""),"Tablet Manufacturing")</f>
        <v/>
      </c>
      <c r="M13" s="2">
        <f>IFERROR(__xludf.DUMMYFUNCTION("""COMPUTED_VALUE"""),"Product")</f>
        <v/>
      </c>
      <c r="N13" s="2">
        <f>IFERROR(__xludf.DUMMYFUNCTION("""COMPUTED_VALUE"""),"ข้อ 24 Pharma Plus เล่มม่วง (เฉลยข้อ ข)")</f>
        <v/>
      </c>
      <c r="O13" s="2">
        <f>IFERROR(__xludf.DUMMYFUNCTION("""COMPUTED_VALUE"""),"Mock")</f>
        <v/>
      </c>
      <c r="P13" s="2">
        <f>IFERROR(__xludf.DUMMYFUNCTION("""COMPUTED_VALUE"""),"Pharma Plus เล่มม่วง")</f>
        <v/>
      </c>
    </row>
    <row r="14" ht="13.2" customHeight="1" s="49">
      <c r="A14" s="2">
        <f>IFERROR(__xludf.DUMMYFUNCTION("""COMPUTED_VALUE"""),"25")</f>
        <v/>
      </c>
      <c r="B14" s="2">
        <f>IFERROR(__xludf.DUMMYFUNCTION("""COMPUTED_VALUE"""),"Norfloxacin มีค่าการละลายต่ำจึงนำมาใช้ร่วมกับ B-cyclodextrin ข้อใดคือกลไกของ B-cyclodextrin")</f>
        <v/>
      </c>
      <c r="C14" s="2" t="n"/>
      <c r="D14" s="2">
        <f>IFERROR(__xludf.DUMMYFUNCTION("""COMPUTED_VALUE"""),"pH")</f>
        <v/>
      </c>
      <c r="E14" s="2">
        <f>IFERROR(__xludf.DUMMYFUNCTION("""COMPUTED_VALUE"""),"ลดค่า dielectric constant")</f>
        <v/>
      </c>
      <c r="F14" s="2">
        <f>IFERROR(__xludf.DUMMYFUNCTION("""COMPUTED_VALUE"""),"Micelle")</f>
        <v/>
      </c>
      <c r="G14" s="2">
        <f>IFERROR(__xludf.DUMMYFUNCTION("""COMPUTED_VALUE"""),"Co-solvent")</f>
        <v/>
      </c>
      <c r="H14" s="2">
        <f>IFERROR(__xludf.DUMMYFUNCTION("""COMPUTED_VALUE"""),"Complexation")</f>
        <v/>
      </c>
      <c r="I14" s="2">
        <f>IFERROR(__xludf.DUMMYFUNCTION("""COMPUTED_VALUE"""),"5")</f>
        <v/>
      </c>
      <c r="J14" s="2">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2" t="n"/>
      <c r="L14" s="2">
        <f>IFERROR(__xludf.DUMMYFUNCTION("""COMPUTED_VALUE"""),"Tablet Manufacturing")</f>
        <v/>
      </c>
      <c r="M14" s="2">
        <f>IFERROR(__xludf.DUMMYFUNCTION("""COMPUTED_VALUE"""),"Product")</f>
        <v/>
      </c>
      <c r="N14" s="2">
        <f>IFERROR(__xludf.DUMMYFUNCTION("""COMPUTED_VALUE"""),"ข้อ 25 Pharma Plus เล่มม่วง (เฉลยข้อ จ)")</f>
        <v/>
      </c>
      <c r="O14" s="2">
        <f>IFERROR(__xludf.DUMMYFUNCTION("""COMPUTED_VALUE"""),"Mock")</f>
        <v/>
      </c>
      <c r="P14" s="2">
        <f>IFERROR(__xludf.DUMMYFUNCTION("""COMPUTED_VALUE"""),"Pharma Plus เล่มม่วง")</f>
        <v/>
      </c>
    </row>
    <row r="15" ht="13.2" customHeight="1" s="49">
      <c r="A15" s="2">
        <f>IFERROR(__xludf.DUMMYFUNCTION("""COMPUTED_VALUE"""),"26")</f>
        <v/>
      </c>
      <c r="B15" s="2">
        <f>IFERROR(__xludf.DUMMYFUNCTION("""COMPUTED_VALUE"""),"หากต้องการพัฒนาสูตรตำรับยาคุมกำเนิดปัญหาใดที่มีความสำคัญที่สุดและต้องแก้ไข")</f>
        <v/>
      </c>
      <c r="C15" s="2" t="n"/>
      <c r="D15" s="2">
        <f>IFERROR(__xludf.DUMMYFUNCTION("""COMPUTED_VALUE"""),"ความหนาของเม็ดยาต้องเท่ากัน")</f>
        <v/>
      </c>
      <c r="E15" s="2">
        <f>IFERROR(__xludf.DUMMYFUNCTION("""COMPUTED_VALUE"""),"ความแข็งของเม็ดยา เนื่องจากต้องพกติดตัว")</f>
        <v/>
      </c>
      <c r="F15" s="2">
        <f>IFERROR(__xludf.DUMMYFUNCTION("""COMPUTED_VALUE"""),"ความสม่ำเสมอของตัวยาสำคัญ")</f>
        <v/>
      </c>
      <c r="G15" s="2">
        <f>IFERROR(__xludf.DUMMYFUNCTION("""COMPUTED_VALUE"""),"ความกร่อน")</f>
        <v/>
      </c>
      <c r="H15" s="2">
        <f>IFERROR(__xludf.DUMMYFUNCTION("""COMPUTED_VALUE"""),"การละลายของยา")</f>
        <v/>
      </c>
      <c r="I15" s="2">
        <f>IFERROR(__xludf.DUMMYFUNCTION("""COMPUTED_VALUE"""),"3")</f>
        <v/>
      </c>
      <c r="J15" s="2">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2" t="n"/>
      <c r="L15" s="2">
        <f>IFERROR(__xludf.DUMMYFUNCTION("""COMPUTED_VALUE"""),"Tablet Manufacturing")</f>
        <v/>
      </c>
      <c r="M15" s="2">
        <f>IFERROR(__xludf.DUMMYFUNCTION("""COMPUTED_VALUE"""),"Product")</f>
        <v/>
      </c>
      <c r="N15" s="2">
        <f>IFERROR(__xludf.DUMMYFUNCTION("""COMPUTED_VALUE"""),"ข้อ 26 Pharma Plus เล่มม่วง (เฉลยข้อ ค)")</f>
        <v/>
      </c>
      <c r="O15" s="2">
        <f>IFERROR(__xludf.DUMMYFUNCTION("""COMPUTED_VALUE"""),"Mock")</f>
        <v/>
      </c>
      <c r="P15" s="2">
        <f>IFERROR(__xludf.DUMMYFUNCTION("""COMPUTED_VALUE"""),"Pharma Plus เล่มม่วง")</f>
        <v/>
      </c>
    </row>
    <row r="16" ht="13.2" customHeight="1" s="49">
      <c r="A16" s="2">
        <f>IFERROR(__xludf.DUMMYFUNCTION("""COMPUTED_VALUE"""),"72")</f>
        <v/>
      </c>
      <c r="B16" s="2">
        <f>IFERROR(__xludf.DUMMYFUNCTION("""COMPUTED_VALUE"""),"สาเหตุความไม่คงตัวดังข้อ 71 คือ")</f>
        <v/>
      </c>
      <c r="C16" s="2" t="n"/>
      <c r="D16" s="2">
        <f>IFERROR(__xludf.DUMMYFUNCTION("""COMPUTED_VALUE"""),"อนุภาคมีขนาดใหญ่เกินไป")</f>
        <v/>
      </c>
      <c r="E16" s="2">
        <f>IFERROR(__xludf.DUMMYFUNCTION("""COMPUTED_VALUE"""),"วัตภาคน้ำมันมีปริมาณมากเกินไป")</f>
        <v/>
      </c>
      <c r="F16" s="2">
        <f>IFERROR(__xludf.DUMMYFUNCTION("""COMPUTED_VALUE"""),"ความหนืดของวัตภาคภายนอกสูงเกินไป")</f>
        <v/>
      </c>
      <c r="G16" s="2">
        <f>IFERROR(__xludf.DUMMYFUNCTION("""COMPUTED_VALUE"""),"ไม่มีสารก่ออิมัลชัน (emulsifier) ในตำรับ")</f>
        <v/>
      </c>
      <c r="H16" s="2">
        <f>IFERROR(__xludf.DUMMYFUNCTION("""COMPUTED_VALUE"""),"ความหนาแน่นของวัตภาคในและนอกมีค่าใกล้เคียงกัน")</f>
        <v/>
      </c>
      <c r="I16" s="2">
        <f>IFERROR(__xludf.DUMMYFUNCTION("""COMPUTED_VALUE"""),"4")</f>
        <v/>
      </c>
      <c r="J16" s="2">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2" t="n"/>
      <c r="L16" s="2">
        <f>IFERROR(__xludf.DUMMYFUNCTION("""COMPUTED_VALUE"""),"Tablet Manufacturing")</f>
        <v/>
      </c>
      <c r="M16" s="2">
        <f>IFERROR(__xludf.DUMMYFUNCTION("""COMPUTED_VALUE"""),"Product")</f>
        <v/>
      </c>
      <c r="N16" s="2">
        <f>IFERROR(__xludf.DUMMYFUNCTION("""COMPUTED_VALUE"""),"ข้อ 72 Pharma Plus เล่มม่วง (เฉลยข้อ ง)")</f>
        <v/>
      </c>
      <c r="O16" s="2">
        <f>IFERROR(__xludf.DUMMYFUNCTION("""COMPUTED_VALUE"""),"Mock")</f>
        <v/>
      </c>
      <c r="P16" s="2">
        <f>IFERROR(__xludf.DUMMYFUNCTION("""COMPUTED_VALUE"""),"Pharma Plus เล่มม่วง")</f>
        <v/>
      </c>
    </row>
    <row r="17" ht="13.2" customHeight="1" s="49">
      <c r="A17" s="2">
        <f>IFERROR(__xludf.DUMMYFUNCTION("""COMPUTED_VALUE"""),"73")</f>
        <v/>
      </c>
      <c r="B17" s="2">
        <f>IFERROR(__xludf.DUMMYFUNCTION("""COMPUTED_VALUE"""),"ค่า required HLB ในการเกิดเป็น o/w emulsion ของวัตภาคน้ำมัน stearic acid และ liquid paraffin ในตำรับข้อ 71 มีค่าเท่ากับ")</f>
        <v/>
      </c>
      <c r="C17" s="2" t="n"/>
      <c r="D17" s="2">
        <f>IFERROR(__xludf.DUMMYFUNCTION("""COMPUTED_VALUE"""),"9.5")</f>
        <v/>
      </c>
      <c r="E17" s="2">
        <f>IFERROR(__xludf.DUMMYFUNCTION("""COMPUTED_VALUE"""),"10.75")</f>
        <v/>
      </c>
      <c r="F17" s="2">
        <f>IFERROR(__xludf.DUMMYFUNCTION("""COMPUTED_VALUE"""),"11.04")</f>
        <v/>
      </c>
      <c r="G17" s="2">
        <f>IFERROR(__xludf.DUMMYFUNCTION("""COMPUTED_VALUE"""),"12.13")</f>
        <v/>
      </c>
      <c r="H17" s="2">
        <f>IFERROR(__xludf.DUMMYFUNCTION("""COMPUTED_VALUE"""),"14")</f>
        <v/>
      </c>
      <c r="I17" s="2">
        <f>IFERROR(__xludf.DUMMYFUNCTION("""COMPUTED_VALUE"""),"1")</f>
        <v/>
      </c>
      <c r="J17" s="2">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2" t="n"/>
      <c r="L17" s="2">
        <f>IFERROR(__xludf.DUMMYFUNCTION("""COMPUTED_VALUE"""),"Tablet Manufacturing")</f>
        <v/>
      </c>
      <c r="M17" s="2">
        <f>IFERROR(__xludf.DUMMYFUNCTION("""COMPUTED_VALUE"""),"Product")</f>
        <v/>
      </c>
      <c r="N17" s="2">
        <f>IFERROR(__xludf.DUMMYFUNCTION("""COMPUTED_VALUE"""),"ข้อ 73 Pharma Plus เล่มม่วง (เฉลยข้อ )")</f>
        <v/>
      </c>
      <c r="O17" s="2">
        <f>IFERROR(__xludf.DUMMYFUNCTION("""COMPUTED_VALUE"""),"Mock")</f>
        <v/>
      </c>
      <c r="P17" s="2">
        <f>IFERROR(__xludf.DUMMYFUNCTION("""COMPUTED_VALUE"""),"Pharma Plus เล่มม่วง")</f>
        <v/>
      </c>
    </row>
    <row r="18" ht="13.2" customHeight="1" s="49">
      <c r="A18" s="2">
        <f>IFERROR(__xludf.DUMMYFUNCTION("""COMPUTED_VALUE"""),"74")</f>
        <v/>
      </c>
      <c r="B18" s="2">
        <f>IFERROR(__xludf.DUMMYFUNCTION("""COMPUTED_VALUE"""),"สัดส่วนที่เหมาะสมของสารก่ออิมัลชันที่ใช้สำหรับตำรับข้อ 71 เพื่อให้เกิดเป็น o/w")</f>
        <v/>
      </c>
      <c r="C18" s="2" t="n"/>
      <c r="D18" s="2">
        <f>IFERROR(__xludf.DUMMYFUNCTION("""COMPUTED_VALUE"""),"Tween 80 : Span 80 = 8.43 : 2.87")</f>
        <v/>
      </c>
      <c r="E18" s="2">
        <f>IFERROR(__xludf.DUMMYFUNCTION("""COMPUTED_VALUE"""),"Tween 80 : Span 80 = 2.87 : 8.43")</f>
        <v/>
      </c>
      <c r="F18" s="2">
        <f>IFERROR(__xludf.DUMMYFUNCTION("""COMPUTED_VALUE"""),"Tween 80 : Span 80 = 15.0 : 3.7")</f>
        <v/>
      </c>
      <c r="G18" s="2">
        <f>IFERROR(__xludf.DUMMYFUNCTION("""COMPUTED_VALUE"""),"Tween 80 : Span 80 = 3.7 : 15.0")</f>
        <v/>
      </c>
      <c r="H18" s="2">
        <f>IFERROR(__xludf.DUMMYFUNCTION("""COMPUTED_VALUE"""),"Tween 80 : Span 80 = 1.5 : 2.5")</f>
        <v/>
      </c>
      <c r="I18" s="2">
        <f>IFERROR(__xludf.DUMMYFUNCTION("""COMPUTED_VALUE"""),"1")</f>
        <v/>
      </c>
      <c r="J18" s="2">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2" t="n"/>
      <c r="L18" s="2">
        <f>IFERROR(__xludf.DUMMYFUNCTION("""COMPUTED_VALUE"""),"Tablet Manufacturing")</f>
        <v/>
      </c>
      <c r="M18" s="2">
        <f>IFERROR(__xludf.DUMMYFUNCTION("""COMPUTED_VALUE"""),"Product")</f>
        <v/>
      </c>
      <c r="N18" s="2">
        <f>IFERROR(__xludf.DUMMYFUNCTION("""COMPUTED_VALUE"""),"ข้อ 74 Pharma Plus เล่มม่วง (เฉลยข้อ )")</f>
        <v/>
      </c>
      <c r="O18" s="2">
        <f>IFERROR(__xludf.DUMMYFUNCTION("""COMPUTED_VALUE"""),"Mock")</f>
        <v/>
      </c>
      <c r="P18" s="2">
        <f>IFERROR(__xludf.DUMMYFUNCTION("""COMPUTED_VALUE"""),"Pharma Plus เล่มม่วง")</f>
        <v/>
      </c>
    </row>
    <row r="19" ht="13.2" customHeight="1" s="49">
      <c r="A19" s="2">
        <f>IFERROR(__xludf.DUMMYFUNCTION("""COMPUTED_VALUE"""),"75")</f>
        <v/>
      </c>
      <c r="B19" s="2">
        <f>IFERROR(__xludf.DUMMYFUNCTION("""COMPUTED_VALUE"""),"เพราะเหตุใดอิมัลชันที่เตรียมได้ตามสูตรข้างต้นเป็นอิมัลชันชนิด o/w")</f>
        <v/>
      </c>
      <c r="C19" s="2" t="n"/>
      <c r="D19" s="2">
        <f>IFERROR(__xludf.DUMMYFUNCTION("""COMPUTED_VALUE"""),"มีปริมาตรวัตภาคบ้า(น้ำ)สูงกว่าวัตภาคน้ำมัน และระบบสารก่ออิมัลชัน (emulsifier system) มีค่า HLB ที่สูง")</f>
        <v/>
      </c>
      <c r="E19" s="2">
        <f>IFERROR(__xludf.DUMMYFUNCTION("""COMPUTED_VALUE"""),"มีปริมาตรวัตภาคบ้า(น้ำ)สูงกว่าวัตภาคน้ำมัน และระบบสารก่ออิมัลชัน (emulsifier system) มีค่า HLB ที่ต่ำ")</f>
        <v/>
      </c>
      <c r="F19" s="2">
        <f>IFERROR(__xludf.DUMMYFUNCTION("""COMPUTED_VALUE"""),"มีปริมาตรวัตภาคน้ำมันสูงกว่าวัตภาคบ้า(น้ำ) และระบบสารก่ออิมัลชัน (emulsifier system) มีค่า HLB ที่สูง")</f>
        <v/>
      </c>
      <c r="G19" s="2">
        <f>IFERROR(__xludf.DUMMYFUNCTION("""COMPUTED_VALUE"""),"มีปริมาตรวัตภาคน้ำมันสูงกว่าวัตภาคบ้า(น้ำ) และระบบสารก่ออิมัลชัน (emulsifier system) มีค่า HLB ที่ต่ำ")</f>
        <v/>
      </c>
      <c r="H19" s="2">
        <f>IFERROR(__xludf.DUMMYFUNCTION("""COMPUTED_VALUE"""),"มีปริมาตรวัตภาคน้ำมันและวัตภาคน้ำเท่าๆกัน และระบบสารก่ออิมัลชัน (emulsifier system) มีค่า HLB ที่สูง")</f>
        <v/>
      </c>
      <c r="I19" s="2">
        <f>IFERROR(__xludf.DUMMYFUNCTION("""COMPUTED_VALUE"""),"1")</f>
        <v/>
      </c>
      <c r="J19" s="2">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2" t="n"/>
      <c r="L19" s="2">
        <f>IFERROR(__xludf.DUMMYFUNCTION("""COMPUTED_VALUE"""),"Tablet Manufacturing")</f>
        <v/>
      </c>
      <c r="M19" s="2">
        <f>IFERROR(__xludf.DUMMYFUNCTION("""COMPUTED_VALUE"""),"Product")</f>
        <v/>
      </c>
      <c r="N19" s="2">
        <f>IFERROR(__xludf.DUMMYFUNCTION("""COMPUTED_VALUE"""),"ข้อ 75 Pharma Plus เล่มม่วง (เฉลยข้อ ก)")</f>
        <v/>
      </c>
      <c r="O19" s="2">
        <f>IFERROR(__xludf.DUMMYFUNCTION("""COMPUTED_VALUE"""),"Mock")</f>
        <v/>
      </c>
      <c r="P19" s="2">
        <f>IFERROR(__xludf.DUMMYFUNCTION("""COMPUTED_VALUE"""),"Pharma Plus เล่มม่วง")</f>
        <v/>
      </c>
    </row>
    <row r="20" ht="13.2" customHeight="1" s="49">
      <c r="A20" s="2">
        <f>IFERROR(__xludf.DUMMYFUNCTION("""COMPUTED_VALUE"""),"76")</f>
        <v/>
      </c>
      <c r="B20" s="2">
        <f>IFERROR(__xludf.DUMMYFUNCTION("""COMPUTED_VALUE"""),"ในการผลิตยาเม็ด gemfibrozil พบว่าเมื่อตอกแล้วยาเม็ดติดสาก แก้ไขโดยการเติมสารใด")</f>
        <v/>
      </c>
      <c r="C20" s="2" t="n"/>
      <c r="D20" s="2">
        <f>IFERROR(__xludf.DUMMYFUNCTION("""COMPUTED_VALUE"""),"Lactose")</f>
        <v/>
      </c>
      <c r="E20" s="2">
        <f>IFERROR(__xludf.DUMMYFUNCTION("""COMPUTED_VALUE"""),"Calcium carbonate")</f>
        <v/>
      </c>
      <c r="F20" s="2">
        <f>IFERROR(__xludf.DUMMYFUNCTION("""COMPUTED_VALUE"""),"HPMC")</f>
        <v/>
      </c>
      <c r="G20" s="2">
        <f>IFERROR(__xludf.DUMMYFUNCTION("""COMPUTED_VALUE"""),"Magnesium stearate")</f>
        <v/>
      </c>
      <c r="H20" s="2">
        <f>IFERROR(__xludf.DUMMYFUNCTION("""COMPUTED_VALUE"""),"Alcohol")</f>
        <v/>
      </c>
      <c r="I20" s="2">
        <f>IFERROR(__xludf.DUMMYFUNCTION("""COMPUTED_VALUE"""),"4")</f>
        <v/>
      </c>
      <c r="J20" s="2">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2" t="n"/>
      <c r="L20" s="2">
        <f>IFERROR(__xludf.DUMMYFUNCTION("""COMPUTED_VALUE"""),"Tablet Defects")</f>
        <v/>
      </c>
      <c r="M20" s="2">
        <f>IFERROR(__xludf.DUMMYFUNCTION("""COMPUTED_VALUE"""),"Product")</f>
        <v/>
      </c>
      <c r="N20" s="2">
        <f>IFERROR(__xludf.DUMMYFUNCTION("""COMPUTED_VALUE"""),"ข้อ 76 Pharma Plus เล่มม่วง (เฉลยข้อ ง)")</f>
        <v/>
      </c>
      <c r="O20" s="2">
        <f>IFERROR(__xludf.DUMMYFUNCTION("""COMPUTED_VALUE"""),"Mock")</f>
        <v/>
      </c>
      <c r="P20" s="2">
        <f>IFERROR(__xludf.DUMMYFUNCTION("""COMPUTED_VALUE"""),"Pharma Plus เล่มม่วง")</f>
        <v/>
      </c>
    </row>
    <row r="21" ht="13.2" customHeight="1" s="49">
      <c r="A21" s="2">
        <f>IFERROR(__xludf.DUMMYFUNCTION("""COMPUTED_VALUE"""),"77")</f>
        <v/>
      </c>
      <c r="B21" s="2">
        <f>IFERROR(__xludf.DUMMYFUNCTION("""COMPUTED_VALUE"""),"หากต้องการเพิ่มความสามารถในการแตกตัวของยาเม็ด colchicine ควรใช้สารใด")</f>
        <v/>
      </c>
      <c r="C21" s="2" t="n"/>
      <c r="D21" s="2">
        <f>IFERROR(__xludf.DUMMYFUNCTION("""COMPUTED_VALUE"""),"Lactose")</f>
        <v/>
      </c>
      <c r="E21" s="2">
        <f>IFERROR(__xludf.DUMMYFUNCTION("""COMPUTED_VALUE"""),"Starch paste")</f>
        <v/>
      </c>
      <c r="F21" s="2">
        <f>IFERROR(__xludf.DUMMYFUNCTION("""COMPUTED_VALUE"""),"Microcrystalline cellulose")</f>
        <v/>
      </c>
      <c r="G21" s="2">
        <f>IFERROR(__xludf.DUMMYFUNCTION("""COMPUTED_VALUE"""),"Magnesium stearate")</f>
        <v/>
      </c>
      <c r="H21" s="2">
        <f>IFERROR(__xludf.DUMMYFUNCTION("""COMPUTED_VALUE"""),"Dicalcium phosphate")</f>
        <v/>
      </c>
      <c r="I21" s="2">
        <f>IFERROR(__xludf.DUMMYFUNCTION("""COMPUTED_VALUE"""),"3")</f>
        <v/>
      </c>
      <c r="J21" s="2">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2" t="n"/>
      <c r="L21" s="2">
        <f>IFERROR(__xludf.DUMMYFUNCTION("""COMPUTED_VALUE"""),"Tablet Manufacturing")</f>
        <v/>
      </c>
      <c r="M21" s="2">
        <f>IFERROR(__xludf.DUMMYFUNCTION("""COMPUTED_VALUE"""),"Product")</f>
        <v/>
      </c>
      <c r="N21" s="2">
        <f>IFERROR(__xludf.DUMMYFUNCTION("""COMPUTED_VALUE"""),"ข้อ 77 Pharma Plus เล่มม่วง (เฉลยข้อ ค)")</f>
        <v/>
      </c>
      <c r="O21" s="2">
        <f>IFERROR(__xludf.DUMMYFUNCTION("""COMPUTED_VALUE"""),"Mock")</f>
        <v/>
      </c>
      <c r="P21" s="2">
        <f>IFERROR(__xludf.DUMMYFUNCTION("""COMPUTED_VALUE"""),"Pharma Plus เล่มม่วง")</f>
        <v/>
      </c>
    </row>
    <row r="22" ht="13.2" customHeight="1" s="49">
      <c r="A22" s="2">
        <f>IFERROR(__xludf.DUMMYFUNCTION("""COMPUTED_VALUE"""),"78")</f>
        <v/>
      </c>
      <c r="B22" s="2">
        <f>IFERROR(__xludf.DUMMYFUNCTION("""COMPUTED_VALUE"""),"ในการควบคุมคุณภาพของยาเม็ด colchicine tablet 0.6 mg ตามข้อกำหนดใน USP สิ่งที่ไม่ต้องทำคือ")</f>
        <v/>
      </c>
      <c r="C22" s="2" t="n"/>
      <c r="D22" s="2">
        <f>IFERROR(__xludf.DUMMYFUNCTION("""COMPUTED_VALUE"""),"Friability test")</f>
        <v/>
      </c>
      <c r="E22" s="2">
        <f>IFERROR(__xludf.DUMMYFUNCTION("""COMPUTED_VALUE"""),"Content uniformity")</f>
        <v/>
      </c>
      <c r="F22" s="2">
        <f>IFERROR(__xludf.DUMMYFUNCTION("""COMPUTED_VALUE"""),"Weight variation")</f>
        <v/>
      </c>
      <c r="G22" s="2">
        <f>IFERROR(__xludf.DUMMYFUNCTION("""COMPUTED_VALUE"""),"Dissolution test")</f>
        <v/>
      </c>
      <c r="H22" s="2">
        <f>IFERROR(__xludf.DUMMYFUNCTION("""COMPUTED_VALUE"""),"Disintegration test")</f>
        <v/>
      </c>
      <c r="I22" s="2">
        <f>IFERROR(__xludf.DUMMYFUNCTION("""COMPUTED_VALUE"""),"1")</f>
        <v/>
      </c>
      <c r="J22"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2" t="n"/>
      <c r="L22" s="2">
        <f>IFERROR(__xludf.DUMMYFUNCTION("""COMPUTED_VALUE"""),"Tablet Manufacturing")</f>
        <v/>
      </c>
      <c r="M22" s="2">
        <f>IFERROR(__xludf.DUMMYFUNCTION("""COMPUTED_VALUE"""),"Product")</f>
        <v/>
      </c>
      <c r="N22" s="2">
        <f>IFERROR(__xludf.DUMMYFUNCTION("""COMPUTED_VALUE"""),"ข้อ 78 Pharma Plus เล่มม่วง (เฉลยข้อ ก)")</f>
        <v/>
      </c>
      <c r="O22" s="2">
        <f>IFERROR(__xludf.DUMMYFUNCTION("""COMPUTED_VALUE"""),"Mock")</f>
        <v/>
      </c>
      <c r="P22" s="2">
        <f>IFERROR(__xludf.DUMMYFUNCTION("""COMPUTED_VALUE"""),"Pharma Plus เล่มม่วง")</f>
        <v/>
      </c>
    </row>
    <row r="23" ht="13.2" customHeight="1" s="49">
      <c r="A23" s="2">
        <f>IFERROR(__xludf.DUMMYFUNCTION("""COMPUTED_VALUE"""),"79")</f>
        <v/>
      </c>
      <c r="B23" s="2">
        <f>IFERROR(__xludf.DUMMYFUNCTION("""COMPUTED_VALUE"""),"ถ้าต้องการเตรียมยา Intra-arthricular corticosteroids (ampule) ต้องผ่านการควบคุมคุณภาพต่อไปนี้ ยกเว้นข้อใด")</f>
        <v/>
      </c>
      <c r="C23" s="2" t="n"/>
      <c r="D23" s="2">
        <f>IFERROR(__xludf.DUMMYFUNCTION("""COMPUTED_VALUE"""),"Sterility test")</f>
        <v/>
      </c>
      <c r="E23" s="2">
        <f>IFERROR(__xludf.DUMMYFUNCTION("""COMPUTED_VALUE"""),"Clarity test")</f>
        <v/>
      </c>
      <c r="F23" s="2">
        <f>IFERROR(__xludf.DUMMYFUNCTION("""COMPUTED_VALUE"""),"Pyrogen test")</f>
        <v/>
      </c>
      <c r="G23" s="2">
        <f>IFERROR(__xludf.DUMMYFUNCTION("""COMPUTED_VALUE"""),"Compatibility test")</f>
        <v/>
      </c>
      <c r="H23" s="2">
        <f>IFERROR(__xludf.DUMMYFUNCTION("""COMPUTED_VALUE"""),"Leaker test")</f>
        <v/>
      </c>
      <c r="I23" s="2">
        <f>IFERROR(__xludf.DUMMYFUNCTION("""COMPUTED_VALUE"""),"4")</f>
        <v/>
      </c>
      <c r="J23" s="2">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2" t="n"/>
      <c r="L23" s="2">
        <f>IFERROR(__xludf.DUMMYFUNCTION("""COMPUTED_VALUE"""),"Tablet Manufacturing")</f>
        <v/>
      </c>
      <c r="M23" s="2">
        <f>IFERROR(__xludf.DUMMYFUNCTION("""COMPUTED_VALUE"""),"Product")</f>
        <v/>
      </c>
      <c r="N23" s="2">
        <f>IFERROR(__xludf.DUMMYFUNCTION("""COMPUTED_VALUE"""),"ข้อ 79 Pharma Plus เล่มม่วง (เฉลยข้อ ง)")</f>
        <v/>
      </c>
      <c r="O23" s="2">
        <f>IFERROR(__xludf.DUMMYFUNCTION("""COMPUTED_VALUE"""),"Mock")</f>
        <v/>
      </c>
      <c r="P23" s="2">
        <f>IFERROR(__xludf.DUMMYFUNCTION("""COMPUTED_VALUE"""),"Pharma Plus เล่มม่วง")</f>
        <v/>
      </c>
    </row>
    <row r="24" ht="13.2" customHeight="1" s="49">
      <c r="A24" s="2">
        <f>IFERROR(__xludf.DUMMYFUNCTION("""COMPUTED_VALUE"""),"80")</f>
        <v/>
      </c>
      <c r="B24" s="2">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2" t="n"/>
      <c r="D24" s="2">
        <f>IFERROR(__xludf.DUMMYFUNCTION("""COMPUTED_VALUE"""),"0.8 g")</f>
        <v/>
      </c>
      <c r="E24" s="2">
        <f>IFERROR(__xludf.DUMMYFUNCTION("""COMPUTED_VALUE"""),"1.2 g")</f>
        <v/>
      </c>
      <c r="F24" s="2">
        <f>IFERROR(__xludf.DUMMYFUNCTION("""COMPUTED_VALUE"""),"1.5 g")</f>
        <v/>
      </c>
      <c r="G24" s="2">
        <f>IFERROR(__xludf.DUMMYFUNCTION("""COMPUTED_VALUE"""),"2.2 g")</f>
        <v/>
      </c>
      <c r="H24" s="2">
        <f>IFERROR(__xludf.DUMMYFUNCTION("""COMPUTED_VALUE"""),"3.0 g")</f>
        <v/>
      </c>
      <c r="I24" s="2">
        <f>IFERROR(__xludf.DUMMYFUNCTION("""COMPUTED_VALUE"""),"4")</f>
        <v/>
      </c>
      <c r="J24" s="2">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2" t="n"/>
      <c r="L24" s="2">
        <f>IFERROR(__xludf.DUMMYFUNCTION("""COMPUTED_VALUE"""),"Tablet Manufacturing")</f>
        <v/>
      </c>
      <c r="M24" s="2">
        <f>IFERROR(__xludf.DUMMYFUNCTION("""COMPUTED_VALUE"""),"Product")</f>
        <v/>
      </c>
      <c r="N24" s="2">
        <f>IFERROR(__xludf.DUMMYFUNCTION("""COMPUTED_VALUE"""),"ข้อ 80 Pharma Plus เล่มม่วง (เฉลยข้อ ง)")</f>
        <v/>
      </c>
      <c r="O24" s="2">
        <f>IFERROR(__xludf.DUMMYFUNCTION("""COMPUTED_VALUE"""),"Mock")</f>
        <v/>
      </c>
      <c r="P24" s="2">
        <f>IFERROR(__xludf.DUMMYFUNCTION("""COMPUTED_VALUE"""),"Pharma Plus เล่มม่วง")</f>
        <v/>
      </c>
    </row>
    <row r="25" ht="13.2" customHeight="1" s="49">
      <c r="A25" s="2">
        <f>IFERROR(__xludf.DUMMYFUNCTION("""COMPUTED_VALUE"""),"81")</f>
        <v/>
      </c>
      <c r="B25" s="2">
        <f>IFERROR(__xludf.DUMMYFUNCTION("""COMPUTED_VALUE"""),"ผู้ป่วยควรเก็บ insulin ที่ภาวะใด")</f>
        <v/>
      </c>
      <c r="C25" s="2" t="n"/>
      <c r="D25" s="2">
        <f>IFERROR(__xludf.DUMMYFUNCTION("""COMPUTED_VALUE"""),"Cold")</f>
        <v/>
      </c>
      <c r="E25" s="2">
        <f>IFERROR(__xludf.DUMMYFUNCTION("""COMPUTED_VALUE"""),"Refrigerator")</f>
        <v/>
      </c>
      <c r="F25" s="2">
        <f>IFERROR(__xludf.DUMMYFUNCTION("""COMPUTED_VALUE"""),"Cool")</f>
        <v/>
      </c>
      <c r="G25" s="2">
        <f>IFERROR(__xludf.DUMMYFUNCTION("""COMPUTED_VALUE"""),"Room temperature")</f>
        <v/>
      </c>
      <c r="H25" s="2">
        <f>IFERROR(__xludf.DUMMYFUNCTION("""COMPUTED_VALUE"""),"Warm")</f>
        <v/>
      </c>
      <c r="I25" s="2">
        <f>IFERROR(__xludf.DUMMYFUNCTION("""COMPUTED_VALUE"""),"2")</f>
        <v/>
      </c>
      <c r="J25" s="2">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2" t="n"/>
      <c r="L25" s="2">
        <f>IFERROR(__xludf.DUMMYFUNCTION("""COMPUTED_VALUE"""),"Tablet Manufacturing")</f>
        <v/>
      </c>
      <c r="M25" s="2">
        <f>IFERROR(__xludf.DUMMYFUNCTION("""COMPUTED_VALUE"""),"Product")</f>
        <v/>
      </c>
      <c r="N25" s="2">
        <f>IFERROR(__xludf.DUMMYFUNCTION("""COMPUTED_VALUE"""),"ข้อ 81 Pharma Plus เล่มม่วง (เฉลยข้อ ข)")</f>
        <v/>
      </c>
      <c r="O25" s="2">
        <f>IFERROR(__xludf.DUMMYFUNCTION("""COMPUTED_VALUE"""),"Mock")</f>
        <v/>
      </c>
      <c r="P25" s="2">
        <f>IFERROR(__xludf.DUMMYFUNCTION("""COMPUTED_VALUE"""),"Pharma Plus เล่มม่วง")</f>
        <v/>
      </c>
    </row>
    <row r="26" ht="13.2" customHeight="1" s="49">
      <c r="A26" s="2">
        <f>IFERROR(__xludf.DUMMYFUNCTION("""COMPUTED_VALUE"""),"82")</f>
        <v/>
      </c>
      <c r="B26" s="2">
        <f>IFERROR(__xludf.DUMMYFUNCTION("""COMPUTED_VALUE"""),"ท่านคิดว่า metformin tablet ไม่จำเป็นต้องทำ finished product quality control ข้อใด")</f>
        <v/>
      </c>
      <c r="C26" s="2" t="n"/>
      <c r="D26" s="2">
        <f>IFERROR(__xludf.DUMMYFUNCTION("""COMPUTED_VALUE"""),"Friability test")</f>
        <v/>
      </c>
      <c r="E26" s="2">
        <f>IFERROR(__xludf.DUMMYFUNCTION("""COMPUTED_VALUE"""),"Disintegration test")</f>
        <v/>
      </c>
      <c r="F26" s="2">
        <f>IFERROR(__xludf.DUMMYFUNCTION("""COMPUTED_VALUE"""),"Dissolution test")</f>
        <v/>
      </c>
      <c r="G26" s="2">
        <f>IFERROR(__xludf.DUMMYFUNCTION("""COMPUTED_VALUE"""),"Freeze-thaw cycle")</f>
        <v/>
      </c>
      <c r="H26" s="2">
        <f>IFERROR(__xludf.DUMMYFUNCTION("""COMPUTED_VALUE"""),"Weight variation")</f>
        <v/>
      </c>
      <c r="I26" s="2">
        <f>IFERROR(__xludf.DUMMYFUNCTION("""COMPUTED_VALUE"""),"1")</f>
        <v/>
      </c>
      <c r="J26" s="2">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2" t="n"/>
      <c r="L26" s="2">
        <f>IFERROR(__xludf.DUMMYFUNCTION("""COMPUTED_VALUE"""),"Tablet Manufacturing")</f>
        <v/>
      </c>
      <c r="M26" s="2">
        <f>IFERROR(__xludf.DUMMYFUNCTION("""COMPUTED_VALUE"""),"Product")</f>
        <v/>
      </c>
      <c r="N26" s="2">
        <f>IFERROR(__xludf.DUMMYFUNCTION("""COMPUTED_VALUE"""),"ข้อ 82 Pharma Plus เล่มม่วง (เฉลยข้อ ก)")</f>
        <v/>
      </c>
      <c r="O26" s="2">
        <f>IFERROR(__xludf.DUMMYFUNCTION("""COMPUTED_VALUE"""),"Mock")</f>
        <v/>
      </c>
      <c r="P26" s="2">
        <f>IFERROR(__xludf.DUMMYFUNCTION("""COMPUTED_VALUE"""),"Pharma Plus เล่มม่วง")</f>
        <v/>
      </c>
    </row>
    <row r="27" ht="13.2" customHeight="1" s="49">
      <c r="A27" s="2">
        <f>IFERROR(__xludf.DUMMYFUNCTION("""COMPUTED_VALUE"""),"83")</f>
        <v/>
      </c>
      <c r="B27" s="2">
        <f>IFERROR(__xludf.DUMMYFUNCTION("""COMPUTED_VALUE"""),"ข้อใดไม่ใช่ข้อดีของการทำ film coated tablet ที่เหนือกว่า sugar coated tablet")</f>
        <v/>
      </c>
      <c r="C27" s="2" t="n"/>
      <c r="D27" s="2">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2">
        <f>IFERROR(__xludf.DUMMYFUNCTION("""COMPUTED_VALUE"""),"พื้นผิวเม็ดยามีความเรียบและ สีสม่ำเสมอกว่า sugar coated tablet")</f>
        <v/>
      </c>
      <c r="F27" s="2">
        <f>IFERROR(__xludf.DUMMYFUNCTION("""COMPUTED_VALUE"""),"กระบวนการทำ film coated tablet รวดเร็วกว่า sugar coated tablet")</f>
        <v/>
      </c>
      <c r="G27" s="2">
        <f>IFERROR(__xludf.DUMMYFUNCTION("""COMPUTED_VALUE"""),"กระบวนการทำ film coated tablet ไม่เกิดปัญหา dead spot")</f>
        <v/>
      </c>
      <c r="H27" s="2">
        <f>IFERROR(__xludf.DUMMYFUNCTION("""COMPUTED_VALUE"""),"film coated tabletไม่มีการทำ polishing ด้วย wax จึงไม่เกิดปัญหาที่เรียกว่า marbled เหมือน sugar coated tablet")</f>
        <v/>
      </c>
      <c r="I27" s="2">
        <f>IFERROR(__xludf.DUMMYFUNCTION("""COMPUTED_VALUE"""),"1")</f>
        <v/>
      </c>
      <c r="J27" s="2">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2" t="n"/>
      <c r="L27" s="2">
        <f>IFERROR(__xludf.DUMMYFUNCTION("""COMPUTED_VALUE"""),"Tablet Coating")</f>
        <v/>
      </c>
      <c r="M27" s="2">
        <f>IFERROR(__xludf.DUMMYFUNCTION("""COMPUTED_VALUE"""),"Product")</f>
        <v/>
      </c>
      <c r="N27" s="2">
        <f>IFERROR(__xludf.DUMMYFUNCTION("""COMPUTED_VALUE"""),"ข้อ 83 Pharma Plus เล่มม่วง (เฉลยข้อ ก)")</f>
        <v/>
      </c>
      <c r="O27" s="2">
        <f>IFERROR(__xludf.DUMMYFUNCTION("""COMPUTED_VALUE"""),"Mock")</f>
        <v/>
      </c>
      <c r="P27" s="2">
        <f>IFERROR(__xludf.DUMMYFUNCTION("""COMPUTED_VALUE"""),"Pharma Plus เล่มม่วง")</f>
        <v/>
      </c>
    </row>
    <row r="28" ht="13.2" customHeight="1" s="49">
      <c r="A28" s="2">
        <f>IFERROR(__xludf.DUMMYFUNCTION("""COMPUTED_VALUE"""),"96")</f>
        <v/>
      </c>
      <c r="B28" s="2">
        <f>IFERROR(__xludf.DUMMYFUNCTION("""COMPUTED_VALUE"""),"Antacid เป็นยาเตรียมประเภทใด")</f>
        <v/>
      </c>
      <c r="C28" s="2" t="n"/>
      <c r="D28" s="2">
        <f>IFERROR(__xludf.DUMMYFUNCTION("""COMPUTED_VALUE"""),"Gel")</f>
        <v/>
      </c>
      <c r="E28" s="2">
        <f>IFERROR(__xludf.DUMMYFUNCTION("""COMPUTED_VALUE"""),"Emulsion")</f>
        <v/>
      </c>
      <c r="F28" s="2">
        <f>IFERROR(__xludf.DUMMYFUNCTION("""COMPUTED_VALUE"""),"Suspension")</f>
        <v/>
      </c>
      <c r="G28" s="2">
        <f>IFERROR(__xludf.DUMMYFUNCTION("""COMPUTED_VALUE"""),"Solution")</f>
        <v/>
      </c>
      <c r="H28" s="2">
        <f>IFERROR(__xludf.DUMMYFUNCTION("""COMPUTED_VALUE"""),"Elixir")</f>
        <v/>
      </c>
      <c r="I28" s="2">
        <f>IFERROR(__xludf.DUMMYFUNCTION("""COMPUTED_VALUE"""),"3")</f>
        <v/>
      </c>
      <c r="J28" s="2">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2" t="n"/>
      <c r="L28" s="2">
        <f>IFERROR(__xludf.DUMMYFUNCTION("""COMPUTED_VALUE"""),"Tablet Manufacturing")</f>
        <v/>
      </c>
      <c r="M28" s="2">
        <f>IFERROR(__xludf.DUMMYFUNCTION("""COMPUTED_VALUE"""),"Product")</f>
        <v/>
      </c>
      <c r="N28" s="2">
        <f>IFERROR(__xludf.DUMMYFUNCTION("""COMPUTED_VALUE"""),"ข้อ 96 Pharma Plus เล่มม่วง (เฉลยข้อ ค)")</f>
        <v/>
      </c>
      <c r="O28" s="2">
        <f>IFERROR(__xludf.DUMMYFUNCTION("""COMPUTED_VALUE"""),"Mock")</f>
        <v/>
      </c>
      <c r="P28" s="2">
        <f>IFERROR(__xludf.DUMMYFUNCTION("""COMPUTED_VALUE"""),"Pharma Plus เล่มม่วง")</f>
        <v/>
      </c>
    </row>
    <row r="29" ht="13.2" customHeight="1" s="49">
      <c r="A29" s="2">
        <f>IFERROR(__xludf.DUMMYFUNCTION("""COMPUTED_VALUE"""),"97")</f>
        <v/>
      </c>
      <c r="B29" s="2">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2" t="n"/>
      <c r="D29" s="2">
        <f>IFERROR(__xludf.DUMMYFUNCTION("""COMPUTED_VALUE"""),"Hard Gelatin Capsule filling")</f>
        <v/>
      </c>
      <c r="E29" s="2">
        <f>IFERROR(__xludf.DUMMYFUNCTION("""COMPUTED_VALUE"""),"Soft Gelatin Capsule encapsulation")</f>
        <v/>
      </c>
      <c r="F29" s="2">
        <f>IFERROR(__xludf.DUMMYFUNCTION("""COMPUTED_VALUE"""),"1 และ 3")</f>
        <v/>
      </c>
      <c r="G29" s="2">
        <f>IFERROR(__xludf.DUMMYFUNCTION("""COMPUTED_VALUE"""),"2 และ 3")</f>
        <v/>
      </c>
      <c r="H29" s="2">
        <f>IFERROR(__xludf.DUMMYFUNCTION("""COMPUTED_VALUE"""),"ไม่มีข้อใดถูก")</f>
        <v/>
      </c>
      <c r="I29" s="2">
        <f>IFERROR(__xludf.DUMMYFUNCTION("""COMPUTED_VALUE"""),"3")</f>
        <v/>
      </c>
      <c r="J29" s="2">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2" t="n"/>
      <c r="L29" s="2">
        <f>IFERROR(__xludf.DUMMYFUNCTION("""COMPUTED_VALUE"""),"Tablet Manufacturing")</f>
        <v/>
      </c>
      <c r="M29" s="2">
        <f>IFERROR(__xludf.DUMMYFUNCTION("""COMPUTED_VALUE"""),"Product")</f>
        <v/>
      </c>
      <c r="N29" s="2">
        <f>IFERROR(__xludf.DUMMYFUNCTION("""COMPUTED_VALUE"""),"ข้อ 97 Pharma Plus เล่มม่วง (เฉลยข้อ ค)")</f>
        <v/>
      </c>
      <c r="O29" s="2">
        <f>IFERROR(__xludf.DUMMYFUNCTION("""COMPUTED_VALUE"""),"Mock")</f>
        <v/>
      </c>
      <c r="P29" s="2">
        <f>IFERROR(__xludf.DUMMYFUNCTION("""COMPUTED_VALUE"""),"Pharma Plus เล่มม่วง")</f>
        <v/>
      </c>
    </row>
    <row r="30" ht="13.2" customHeight="1" s="49">
      <c r="A30" s="2">
        <f>IFERROR(__xludf.DUMMYFUNCTION("""COMPUTED_VALUE"""),"98")</f>
        <v/>
      </c>
      <c r="B30" s="2">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2" t="n"/>
      <c r="D30" s="2">
        <f>IFERROR(__xludf.DUMMYFUNCTION("""COMPUTED_VALUE"""),"Very soluble")</f>
        <v/>
      </c>
      <c r="E30" s="2">
        <f>IFERROR(__xludf.DUMMYFUNCTION("""COMPUTED_VALUE"""),"Sparingly soluble")</f>
        <v/>
      </c>
      <c r="F30" s="2">
        <f>IFERROR(__xludf.DUMMYFUNCTION("""COMPUTED_VALUE"""),"Soluble")</f>
        <v/>
      </c>
      <c r="G30" s="2">
        <f>IFERROR(__xludf.DUMMYFUNCTION("""COMPUTED_VALUE"""),"Freely soluble")</f>
        <v/>
      </c>
      <c r="H30" s="2">
        <f>IFERROR(__xludf.DUMMYFUNCTION("""COMPUTED_VALUE"""),"Insoluble")</f>
        <v/>
      </c>
      <c r="I30" s="2">
        <f>IFERROR(__xludf.DUMMYFUNCTION("""COMPUTED_VALUE"""),"3")</f>
        <v/>
      </c>
      <c r="J30" s="2">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2" t="n"/>
      <c r="L30" s="2">
        <f>IFERROR(__xludf.DUMMYFUNCTION("""COMPUTED_VALUE"""),"Tablet Manufacturing")</f>
        <v/>
      </c>
      <c r="M30" s="2">
        <f>IFERROR(__xludf.DUMMYFUNCTION("""COMPUTED_VALUE"""),"Product")</f>
        <v/>
      </c>
      <c r="N30" s="2">
        <f>IFERROR(__xludf.DUMMYFUNCTION("""COMPUTED_VALUE"""),"ข้อ 98 Pharma Plus เล่มม่วง (เฉลยข้อ ค)")</f>
        <v/>
      </c>
      <c r="O30" s="2">
        <f>IFERROR(__xludf.DUMMYFUNCTION("""COMPUTED_VALUE"""),"Mock")</f>
        <v/>
      </c>
      <c r="P30" s="2">
        <f>IFERROR(__xludf.DUMMYFUNCTION("""COMPUTED_VALUE"""),"Pharma Plus เล่มม่วง")</f>
        <v/>
      </c>
    </row>
    <row r="31" ht="13.2" customHeight="1" s="49">
      <c r="A31" s="2">
        <f>IFERROR(__xludf.DUMMYFUNCTION("""COMPUTED_VALUE"""),"99")</f>
        <v/>
      </c>
      <c r="B31" s="2">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2" t="n"/>
      <c r="D31" s="2">
        <f>IFERROR(__xludf.DUMMYFUNCTION("""COMPUTED_VALUE"""),"เปลี่ยนสูตรตำรับเป็นยาน้ำ")</f>
        <v/>
      </c>
      <c r="E31" s="2">
        <f>IFERROR(__xludf.DUMMYFUNCTION("""COMPUTED_VALUE"""),"ทำ wet granulation")</f>
        <v/>
      </c>
      <c r="F31" s="2">
        <f>IFERROR(__xludf.DUMMYFUNCTION("""COMPUTED_VALUE"""),"นำไปผ่าน sieve เพื่อคัดขนาดอนุภาค")</f>
        <v/>
      </c>
      <c r="G31" s="2">
        <f>IFERROR(__xludf.DUMMYFUNCTION("""COMPUTED_VALUE"""),"เพิ่มแรงตอก")</f>
        <v/>
      </c>
      <c r="H31" s="2">
        <f>IFERROR(__xludf.DUMMYFUNCTION("""COMPUTED_VALUE"""),"เพิ่ม diluent")</f>
        <v/>
      </c>
      <c r="I31" s="2">
        <f>IFERROR(__xludf.DUMMYFUNCTION("""COMPUTED_VALUE"""),"2")</f>
        <v/>
      </c>
      <c r="J31" s="2">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2" t="n"/>
      <c r="L31" s="2">
        <f>IFERROR(__xludf.DUMMYFUNCTION("""COMPUTED_VALUE"""),"Powders &amp; Granules")</f>
        <v/>
      </c>
      <c r="M31" s="2">
        <f>IFERROR(__xludf.DUMMYFUNCTION("""COMPUTED_VALUE"""),"Product")</f>
        <v/>
      </c>
      <c r="N31" s="2">
        <f>IFERROR(__xludf.DUMMYFUNCTION("""COMPUTED_VALUE"""),"ข้อ 99 Pharma Plus เล่มม่วง (เฉลยข้อ ข)")</f>
        <v/>
      </c>
      <c r="O31" s="2">
        <f>IFERROR(__xludf.DUMMYFUNCTION("""COMPUTED_VALUE"""),"Mock")</f>
        <v/>
      </c>
      <c r="P31" s="2">
        <f>IFERROR(__xludf.DUMMYFUNCTION("""COMPUTED_VALUE"""),"Pharma Plus เล่มม่วง")</f>
        <v/>
      </c>
    </row>
    <row r="32" ht="13.2" customHeight="1" s="49">
      <c r="A32" s="2">
        <f>IFERROR(__xludf.DUMMYFUNCTION("""COMPUTED_VALUE"""),"100")</f>
        <v/>
      </c>
      <c r="B32" s="2">
        <f>IFERROR(__xludf.DUMMYFUNCTION("""COMPUTED_VALUE"""),"เภสัชกรผู้หนึ่งทำการสุ่ม atenolol tablets ระหว่างการผลิตพบว่ายาเม็ดเกิดการแยกฝา เรียกปรากฏการณ์นี้ว่า")</f>
        <v/>
      </c>
      <c r="C32" s="2" t="n"/>
      <c r="D32" s="2">
        <f>IFERROR(__xludf.DUMMYFUNCTION("""COMPUTED_VALUE"""),"Breaking")</f>
        <v/>
      </c>
      <c r="E32" s="2">
        <f>IFERROR(__xludf.DUMMYFUNCTION("""COMPUTED_VALUE"""),"Cracking")</f>
        <v/>
      </c>
      <c r="F32" s="2">
        <f>IFERROR(__xludf.DUMMYFUNCTION("""COMPUTED_VALUE"""),"Capping")</f>
        <v/>
      </c>
      <c r="G32" s="2">
        <f>IFERROR(__xludf.DUMMYFUNCTION("""COMPUTED_VALUE"""),"Segregation")</f>
        <v/>
      </c>
      <c r="H32" s="2">
        <f>IFERROR(__xludf.DUMMYFUNCTION("""COMPUTED_VALUE"""),"Sticking")</f>
        <v/>
      </c>
      <c r="I32" s="2">
        <f>IFERROR(__xludf.DUMMYFUNCTION("""COMPUTED_VALUE"""),"3")</f>
        <v/>
      </c>
      <c r="J32" s="2">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2" t="n"/>
      <c r="L32" s="2">
        <f>IFERROR(__xludf.DUMMYFUNCTION("""COMPUTED_VALUE"""),"Tablet Defects")</f>
        <v/>
      </c>
      <c r="M32" s="2">
        <f>IFERROR(__xludf.DUMMYFUNCTION("""COMPUTED_VALUE"""),"Product")</f>
        <v/>
      </c>
      <c r="N32" s="2">
        <f>IFERROR(__xludf.DUMMYFUNCTION("""COMPUTED_VALUE"""),"ข้อ 100 Pharma Plus เล่มม่วง (เฉลยข้อ ค)")</f>
        <v/>
      </c>
      <c r="O32" s="2">
        <f>IFERROR(__xludf.DUMMYFUNCTION("""COMPUTED_VALUE"""),"Mock")</f>
        <v/>
      </c>
      <c r="P32" s="2">
        <f>IFERROR(__xludf.DUMMYFUNCTION("""COMPUTED_VALUE"""),"Pharma Plus เล่มม่วง")</f>
        <v/>
      </c>
    </row>
    <row r="33" ht="13.2" customHeight="1" s="49">
      <c r="A33" s="2">
        <f>IFERROR(__xludf.DUMMYFUNCTION("""COMPUTED_VALUE"""),"101")</f>
        <v/>
      </c>
      <c r="B33" s="2">
        <f>IFERROR(__xludf.DUMMYFUNCTION("""COMPUTED_VALUE"""),"จะแก้ไขปรากฏการณ์ข้อ 100 ได้อย่างไร")</f>
        <v/>
      </c>
      <c r="C33" s="2" t="n"/>
      <c r="D33" s="2">
        <f>IFERROR(__xludf.DUMMYFUNCTION("""COMPUTED_VALUE"""),"เติม anti-adherent")</f>
        <v/>
      </c>
      <c r="E33" s="2">
        <f>IFERROR(__xludf.DUMMYFUNCTION("""COMPUTED_VALUE"""),"เติม binder")</f>
        <v/>
      </c>
      <c r="F33" s="2">
        <f>IFERROR(__xludf.DUMMYFUNCTION("""COMPUTED_VALUE"""),"ลดขนาดอนุภาคให้ใกล้เคียงกัน")</f>
        <v/>
      </c>
      <c r="G33" s="2">
        <f>IFERROR(__xludf.DUMMYFUNCTION("""COMPUTED_VALUE"""),"ปรับความเร็วในการตอกให้ลดลง")</f>
        <v/>
      </c>
      <c r="H33" s="2">
        <f>IFERROR(__xludf.DUMMYFUNCTION("""COMPUTED_VALUE"""),"ข. และ ง. ถูก")</f>
        <v/>
      </c>
      <c r="I33" s="2">
        <f>IFERROR(__xludf.DUMMYFUNCTION("""COMPUTED_VALUE"""),"5")</f>
        <v/>
      </c>
      <c r="J33" s="2">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2" t="n"/>
      <c r="L33" s="2">
        <f>IFERROR(__xludf.DUMMYFUNCTION("""COMPUTED_VALUE"""),"Tablet Manufacturing")</f>
        <v/>
      </c>
      <c r="M33" s="2">
        <f>IFERROR(__xludf.DUMMYFUNCTION("""COMPUTED_VALUE"""),"Product")</f>
        <v/>
      </c>
      <c r="N33" s="2">
        <f>IFERROR(__xludf.DUMMYFUNCTION("""COMPUTED_VALUE"""),"ข้อ 101 Pharma Plus เล่มม่วง (เฉลยข้อ จ)")</f>
        <v/>
      </c>
      <c r="O33" s="2">
        <f>IFERROR(__xludf.DUMMYFUNCTION("""COMPUTED_VALUE"""),"Mock")</f>
        <v/>
      </c>
      <c r="P33" s="2">
        <f>IFERROR(__xludf.DUMMYFUNCTION("""COMPUTED_VALUE"""),"Pharma Plus เล่มม่วง")</f>
        <v/>
      </c>
    </row>
    <row r="34" ht="13.2" customHeight="1" s="49">
      <c r="A34" s="2">
        <f>IFERROR(__xludf.DUMMYFUNCTION("""COMPUTED_VALUE"""),"105")</f>
        <v/>
      </c>
      <c r="B34" s="2">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2" t="n"/>
      <c r="D34" s="2">
        <f>IFERROR(__xludf.DUMMYFUNCTION("""COMPUTED_VALUE"""),"44.44")</f>
        <v/>
      </c>
      <c r="E34" s="2">
        <f>IFERROR(__xludf.DUMMYFUNCTION("""COMPUTED_VALUE"""),"75.88")</f>
        <v/>
      </c>
      <c r="F34" s="2">
        <f>IFERROR(__xludf.DUMMYFUNCTION("""COMPUTED_VALUE"""),"80.58")</f>
        <v/>
      </c>
      <c r="G34" s="2">
        <f>IFERROR(__xludf.DUMMYFUNCTION("""COMPUTED_VALUE"""),"85")</f>
        <v/>
      </c>
      <c r="H34" s="2">
        <f>IFERROR(__xludf.DUMMYFUNCTION("""COMPUTED_VALUE"""),"88.89")</f>
        <v/>
      </c>
      <c r="I34" s="2">
        <f>IFERROR(__xludf.DUMMYFUNCTION("""COMPUTED_VALUE"""),"5")</f>
        <v/>
      </c>
      <c r="J34" s="2">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2" t="n"/>
      <c r="L34" s="2">
        <f>IFERROR(__xludf.DUMMYFUNCTION("""COMPUTED_VALUE"""),"Tablet Manufacturing")</f>
        <v/>
      </c>
      <c r="M34" s="2">
        <f>IFERROR(__xludf.DUMMYFUNCTION("""COMPUTED_VALUE"""),"Product")</f>
        <v/>
      </c>
      <c r="N34" s="2">
        <f>IFERROR(__xludf.DUMMYFUNCTION("""COMPUTED_VALUE"""),"ข้อ 105 Pharma Plus เล่มม่วง (เฉลยข้อ จ)")</f>
        <v/>
      </c>
      <c r="O34" s="2">
        <f>IFERROR(__xludf.DUMMYFUNCTION("""COMPUTED_VALUE"""),"Mock")</f>
        <v/>
      </c>
      <c r="P34" s="2">
        <f>IFERROR(__xludf.DUMMYFUNCTION("""COMPUTED_VALUE"""),"Pharma Plus เล่มม่วง")</f>
        <v/>
      </c>
    </row>
    <row r="35" ht="13.2" customHeight="1" s="49">
      <c r="A35" s="2">
        <f>IFERROR(__xludf.DUMMYFUNCTION("""COMPUTED_VALUE"""),"106")</f>
        <v/>
      </c>
      <c r="B35" s="2">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2" t="n"/>
      <c r="D35" s="2">
        <f>IFERROR(__xludf.DUMMYFUNCTION("""COMPUTED_VALUE"""),"Preservatives")</f>
        <v/>
      </c>
      <c r="E35" s="2">
        <f>IFERROR(__xludf.DUMMYFUNCTION("""COMPUTED_VALUE"""),"Suspending agent")</f>
        <v/>
      </c>
      <c r="F35" s="2">
        <f>IFERROR(__xludf.DUMMYFUNCTION("""COMPUTED_VALUE"""),"Sweetening agent")</f>
        <v/>
      </c>
      <c r="G35" s="2">
        <f>IFERROR(__xludf.DUMMYFUNCTION("""COMPUTED_VALUE"""),"Coloring agent")</f>
        <v/>
      </c>
      <c r="H35" s="2">
        <f>IFERROR(__xludf.DUMMYFUNCTION("""COMPUTED_VALUE"""),"Active ingredient")</f>
        <v/>
      </c>
      <c r="I35" s="2">
        <f>IFERROR(__xludf.DUMMYFUNCTION("""COMPUTED_VALUE"""),"2")</f>
        <v/>
      </c>
      <c r="J35" s="2">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2" t="n"/>
      <c r="L35" s="2">
        <f>IFERROR(__xludf.DUMMYFUNCTION("""COMPUTED_VALUE"""),"Tablet Manufacturing")</f>
        <v/>
      </c>
      <c r="M35" s="2">
        <f>IFERROR(__xludf.DUMMYFUNCTION("""COMPUTED_VALUE"""),"Product")</f>
        <v/>
      </c>
      <c r="N35" s="2">
        <f>IFERROR(__xludf.DUMMYFUNCTION("""COMPUTED_VALUE"""),"ข้อ 106 Pharma Plus เล่มม่วง (เฉลยข้อ ข)")</f>
        <v/>
      </c>
      <c r="O35" s="2">
        <f>IFERROR(__xludf.DUMMYFUNCTION("""COMPUTED_VALUE"""),"Mock")</f>
        <v/>
      </c>
      <c r="P35" s="2">
        <f>IFERROR(__xludf.DUMMYFUNCTION("""COMPUTED_VALUE"""),"Pharma Plus เล่มม่วง")</f>
        <v/>
      </c>
    </row>
    <row r="36" ht="13.2" customHeight="1" s="49">
      <c r="A36" s="2">
        <f>IFERROR(__xludf.DUMMYFUNCTION("""COMPUTED_VALUE"""),"107")</f>
        <v/>
      </c>
      <c r="B36" s="2">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2" t="n"/>
      <c r="D36" s="2">
        <f>IFERROR(__xludf.DUMMYFUNCTION("""COMPUTED_VALUE"""),"155 g")</f>
        <v/>
      </c>
      <c r="E36" s="2">
        <f>IFERROR(__xludf.DUMMYFUNCTION("""COMPUTED_VALUE"""),"175 g")</f>
        <v/>
      </c>
      <c r="F36" s="2">
        <f>IFERROR(__xludf.DUMMYFUNCTION("""COMPUTED_VALUE"""),"180 g")</f>
        <v/>
      </c>
      <c r="G36" s="2">
        <f>IFERROR(__xludf.DUMMYFUNCTION("""COMPUTED_VALUE"""),"197 g")</f>
        <v/>
      </c>
      <c r="H36" s="2">
        <f>IFERROR(__xludf.DUMMYFUNCTION("""COMPUTED_VALUE"""),"200 g")</f>
        <v/>
      </c>
      <c r="I36" s="2">
        <f>IFERROR(__xludf.DUMMYFUNCTION("""COMPUTED_VALUE"""),"3")</f>
        <v/>
      </c>
      <c r="J36" s="2">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2" t="n"/>
      <c r="L36" s="2">
        <f>IFERROR(__xludf.DUMMYFUNCTION("""COMPUTED_VALUE"""),"Tablet Manufacturing")</f>
        <v/>
      </c>
      <c r="M36" s="2">
        <f>IFERROR(__xludf.DUMMYFUNCTION("""COMPUTED_VALUE"""),"Product")</f>
        <v/>
      </c>
      <c r="N36" s="2">
        <f>IFERROR(__xludf.DUMMYFUNCTION("""COMPUTED_VALUE"""),"ข้อ 107 Pharma Plus เล่มม่วง (เฉลยข้อ ค)")</f>
        <v/>
      </c>
      <c r="O36" s="2">
        <f>IFERROR(__xludf.DUMMYFUNCTION("""COMPUTED_VALUE"""),"Mock")</f>
        <v/>
      </c>
      <c r="P36" s="2">
        <f>IFERROR(__xludf.DUMMYFUNCTION("""COMPUTED_VALUE"""),"Pharma Plus เล่มม่วง")</f>
        <v/>
      </c>
    </row>
    <row r="37" ht="13.2" customHeight="1" s="49">
      <c r="A37" s="2">
        <f>IFERROR(__xludf.DUMMYFUNCTION("""COMPUTED_VALUE"""),"108")</f>
        <v/>
      </c>
      <c r="B37" s="2">
        <f>IFERROR(__xludf.DUMMYFUNCTION("""COMPUTED_VALUE"""),"ในการเตรียม D-5-S จำนวน 100 ขวด (ขวดละ 1000 mL) จะต้องใช้ NaCl หนักเท่าใด")</f>
        <v/>
      </c>
      <c r="C37" s="2" t="n"/>
      <c r="D37" s="2">
        <f>IFERROR(__xludf.DUMMYFUNCTION("""COMPUTED_VALUE"""),"45 กรัม")</f>
        <v/>
      </c>
      <c r="E37" s="2">
        <f>IFERROR(__xludf.DUMMYFUNCTION("""COMPUTED_VALUE"""),"450 กรัม")</f>
        <v/>
      </c>
      <c r="F37" s="2">
        <f>IFERROR(__xludf.DUMMYFUNCTION("""COMPUTED_VALUE"""),"90 กรัม")</f>
        <v/>
      </c>
      <c r="G37" s="2">
        <f>IFERROR(__xludf.DUMMYFUNCTION("""COMPUTED_VALUE"""),"900 กรัม")</f>
        <v/>
      </c>
      <c r="H37" s="2">
        <f>IFERROR(__xludf.DUMMYFUNCTION("""COMPUTED_VALUE"""),"ไม่มีคำตอบใดถูก")</f>
        <v/>
      </c>
      <c r="I37" s="2">
        <f>IFERROR(__xludf.DUMMYFUNCTION("""COMPUTED_VALUE"""),"4")</f>
        <v/>
      </c>
      <c r="J37" s="2">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2" t="n"/>
      <c r="L37" s="2">
        <f>IFERROR(__xludf.DUMMYFUNCTION("""COMPUTED_VALUE"""),"Tablet Manufacturing")</f>
        <v/>
      </c>
      <c r="M37" s="2">
        <f>IFERROR(__xludf.DUMMYFUNCTION("""COMPUTED_VALUE"""),"Product")</f>
        <v/>
      </c>
      <c r="N37" s="2">
        <f>IFERROR(__xludf.DUMMYFUNCTION("""COMPUTED_VALUE"""),"ข้อ 108 Pharma Plus เล่มม่วง (เฉลยข้อ ง)")</f>
        <v/>
      </c>
      <c r="O37" s="2">
        <f>IFERROR(__xludf.DUMMYFUNCTION("""COMPUTED_VALUE"""),"Mock")</f>
        <v/>
      </c>
      <c r="P37" s="2">
        <f>IFERROR(__xludf.DUMMYFUNCTION("""COMPUTED_VALUE"""),"Pharma Plus เล่มม่วง")</f>
        <v/>
      </c>
    </row>
    <row r="38" ht="13.2" customHeight="1" s="49">
      <c r="A38" s="2">
        <f>IFERROR(__xludf.DUMMYFUNCTION("""COMPUTED_VALUE"""),"109")</f>
        <v/>
      </c>
      <c r="B38" s="2">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2" t="n"/>
      <c r="D38" s="2">
        <f>IFERROR(__xludf.DUMMYFUNCTION("""COMPUTED_VALUE"""),"Hot air oven 160 องศาเซลเซียส นาน 3 ชั่วโมง")</f>
        <v/>
      </c>
      <c r="E38" s="2">
        <f>IFERROR(__xludf.DUMMYFUNCTION("""COMPUTED_VALUE"""),"Hot air oven 121 องศาเซลเซียส นาน 20-30 นาที")</f>
        <v/>
      </c>
      <c r="F38" s="2">
        <f>IFERROR(__xludf.DUMMYFUNCTION("""COMPUTED_VALUE"""),"Autoclave 121 องศาเซลเซียส นาน 20-30 นาที")</f>
        <v/>
      </c>
      <c r="G38" s="2">
        <f>IFERROR(__xludf.DUMMYFUNCTION("""COMPUTED_VALUE"""),"Autoclave 160 องศาเซลเซียส นาน 3 ชั่วโมง")</f>
        <v/>
      </c>
      <c r="H38" s="2">
        <f>IFERROR(__xludf.DUMMYFUNCTION("""COMPUTED_VALUE"""),"Autoclave 100 องศาเซลเซียส นาน 30 นาที")</f>
        <v/>
      </c>
      <c r="I38" s="2">
        <f>IFERROR(__xludf.DUMMYFUNCTION("""COMPUTED_VALUE"""),"3")</f>
        <v/>
      </c>
      <c r="J38" s="2">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2" t="n"/>
      <c r="L38" s="2">
        <f>IFERROR(__xludf.DUMMYFUNCTION("""COMPUTED_VALUE"""),"Tablet Manufacturing")</f>
        <v/>
      </c>
      <c r="M38" s="2">
        <f>IFERROR(__xludf.DUMMYFUNCTION("""COMPUTED_VALUE"""),"Product")</f>
        <v/>
      </c>
      <c r="N38" s="2">
        <f>IFERROR(__xludf.DUMMYFUNCTION("""COMPUTED_VALUE"""),"ข้อ 109 Pharma Plus เล่มม่วง (เฉลยข้อ ค)")</f>
        <v/>
      </c>
      <c r="O38" s="2">
        <f>IFERROR(__xludf.DUMMYFUNCTION("""COMPUTED_VALUE"""),"Mock")</f>
        <v/>
      </c>
      <c r="P38" s="2">
        <f>IFERROR(__xludf.DUMMYFUNCTION("""COMPUTED_VALUE"""),"Pharma Plus เล่มม่วง")</f>
        <v/>
      </c>
    </row>
    <row r="39" ht="13.2" customHeight="1" s="49">
      <c r="A39" s="2">
        <f>IFERROR(__xludf.DUMMYFUNCTION("""COMPUTED_VALUE"""),"122")</f>
        <v/>
      </c>
      <c r="B39" s="2">
        <f>IFERROR(__xludf.DUMMYFUNCTION("""COMPUTED_VALUE"""),"ยา ISDN เหมาะกับอาการขณะกำเริบ คือ dosage form ใด")</f>
        <v/>
      </c>
      <c r="C39" s="2" t="n"/>
      <c r="D39" s="2">
        <f>IFERROR(__xludf.DUMMYFUNCTION("""COMPUTED_VALUE"""),"Extent release")</f>
        <v/>
      </c>
      <c r="E39" s="2">
        <f>IFERROR(__xludf.DUMMYFUNCTION("""COMPUTED_VALUE"""),"Ointment")</f>
        <v/>
      </c>
      <c r="F39" s="2">
        <f>IFERROR(__xludf.DUMMYFUNCTION("""COMPUTED_VALUE"""),"Solution")</f>
        <v/>
      </c>
      <c r="G39" s="2">
        <f>IFERROR(__xludf.DUMMYFUNCTION("""COMPUTED_VALUE"""),"Sublingual tablet")</f>
        <v/>
      </c>
      <c r="H39" s="2">
        <f>IFERROR(__xludf.DUMMYFUNCTION("""COMPUTED_VALUE"""),"Transdermal")</f>
        <v/>
      </c>
      <c r="I39" s="2">
        <f>IFERROR(__xludf.DUMMYFUNCTION("""COMPUTED_VALUE"""),"4")</f>
        <v/>
      </c>
      <c r="J39" s="2">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2" t="n"/>
      <c r="L39" s="2">
        <f>IFERROR(__xludf.DUMMYFUNCTION("""COMPUTED_VALUE"""),"Tablet Manufacturing")</f>
        <v/>
      </c>
      <c r="M39" s="2">
        <f>IFERROR(__xludf.DUMMYFUNCTION("""COMPUTED_VALUE"""),"Product")</f>
        <v/>
      </c>
      <c r="N39" s="2">
        <f>IFERROR(__xludf.DUMMYFUNCTION("""COMPUTED_VALUE"""),"ข้อ 122 Pharma Plus เล่มม่วง (เฉลยข้อ ง)")</f>
        <v/>
      </c>
      <c r="O39" s="2">
        <f>IFERROR(__xludf.DUMMYFUNCTION("""COMPUTED_VALUE"""),"Mock")</f>
        <v/>
      </c>
      <c r="P39" s="2">
        <f>IFERROR(__xludf.DUMMYFUNCTION("""COMPUTED_VALUE"""),"Pharma Plus เล่มม่วง")</f>
        <v/>
      </c>
    </row>
    <row r="40" ht="13.2" customHeight="1" s="49">
      <c r="A40" s="2">
        <f>IFERROR(__xludf.DUMMYFUNCTION("""COMPUTED_VALUE"""),"123")</f>
        <v/>
      </c>
      <c r="B40" s="2">
        <f>IFERROR(__xludf.DUMMYFUNCTION("""COMPUTED_VALUE"""),"ยาที่ผู้ป่วยได้รับก่อนมารพ. คือ nifedipine SR เป็นการปลดยารูปแบบใด")</f>
        <v/>
      </c>
      <c r="C40" s="2" t="n"/>
      <c r="D40" s="2">
        <f>IFERROR(__xludf.DUMMYFUNCTION("""COMPUTED_VALUE"""),"ปลดปล่อยยาทันทีหลังรับประทานอาหาร")</f>
        <v/>
      </c>
      <c r="E40" s="2">
        <f>IFERROR(__xludf.DUMMYFUNCTION("""COMPUTED_VALUE"""),"ปลดปล่อยยาอย่างเร็ว")</f>
        <v/>
      </c>
      <c r="F40" s="2">
        <f>IFERROR(__xludf.DUMMYFUNCTION("""COMPUTED_VALUE"""),"ปลดปล่อยยาในปริมาณที่แน่นอน")</f>
        <v/>
      </c>
      <c r="G40" s="2">
        <f>IFERROR(__xludf.DUMMYFUNCTION("""COMPUTED_VALUE"""),"ค่อย ๆ ปล่อยยาออกมาอย่าง ช้า ๆ")</f>
        <v/>
      </c>
      <c r="H40" s="2">
        <f>IFERROR(__xludf.DUMMYFUNCTION("""COMPUTED_VALUE"""),"ค่อย ๆปลดปล่อยยาออกมาในปริมาณน้อย")</f>
        <v/>
      </c>
      <c r="I40" s="2">
        <f>IFERROR(__xludf.DUMMYFUNCTION("""COMPUTED_VALUE"""),"4")</f>
        <v/>
      </c>
      <c r="J40" s="2">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2" t="n"/>
      <c r="L40" s="2">
        <f>IFERROR(__xludf.DUMMYFUNCTION("""COMPUTED_VALUE"""),"Tablet Manufacturing")</f>
        <v/>
      </c>
      <c r="M40" s="2">
        <f>IFERROR(__xludf.DUMMYFUNCTION("""COMPUTED_VALUE"""),"Product")</f>
        <v/>
      </c>
      <c r="N40" s="2">
        <f>IFERROR(__xludf.DUMMYFUNCTION("""COMPUTED_VALUE"""),"ข้อ 123 Pharma Plus เล่มม่วง (เฉลยข้อ ง)")</f>
        <v/>
      </c>
      <c r="O40" s="2">
        <f>IFERROR(__xludf.DUMMYFUNCTION("""COMPUTED_VALUE"""),"Mock")</f>
        <v/>
      </c>
      <c r="P40" s="2">
        <f>IFERROR(__xludf.DUMMYFUNCTION("""COMPUTED_VALUE"""),"Pharma Plus เล่มม่วง")</f>
        <v/>
      </c>
    </row>
    <row r="41" ht="13.2" customHeight="1" s="49">
      <c r="A41" s="2">
        <f>IFERROR(__xludf.DUMMYFUNCTION("""COMPUTED_VALUE"""),"124")</f>
        <v/>
      </c>
      <c r="B41" s="2">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2" t="n"/>
      <c r="D41" s="2">
        <f>IFERROR(__xludf.DUMMYFUNCTION("""COMPUTED_VALUE"""),"นำไปปั่นเหวี่ยงที่ความเร็วรอบ 3,750 รอบ/นาที เป็นเวลา 5 ชั่วโมง")</f>
        <v/>
      </c>
      <c r="E41" s="2">
        <f>IFERROR(__xludf.DUMMYFUNCTION("""COMPUTED_VALUE"""),"นำไปเก็บไว้ที่อุณหภูมิ 180 C เป็นเวลา 12 ชั่วโมง")</f>
        <v/>
      </c>
      <c r="F41" s="2">
        <f>IFERROR(__xludf.DUMMYFUNCTION("""COMPUTED_VALUE"""),"นำไปเก็บไว้ที่อุณหภูมิ -5 C สลับกับ 40 C ทุก ๆ 24 ชั่วโมง เป็นจำนวน 24 รอบ")</f>
        <v/>
      </c>
      <c r="G41" s="2">
        <f>IFERROR(__xludf.DUMMYFUNCTION("""COMPUTED_VALUE"""),"นำไปเก็บไว้ที่อุณหภูมิ 4 C, 25 C และ 45 Cเป็นเวลา 6 เดือน")</f>
        <v/>
      </c>
      <c r="H41" s="2">
        <f>IFERROR(__xludf.DUMMYFUNCTION("""COMPUTED_VALUE"""),"นำไปเก็บไว้ที่อุณหภูมิ 25 C เป็นเวลา 2 ปี")</f>
        <v/>
      </c>
      <c r="I41" s="2">
        <f>IFERROR(__xludf.DUMMYFUNCTION("""COMPUTED_VALUE"""),"2")</f>
        <v/>
      </c>
      <c r="J41" s="2">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2" t="n"/>
      <c r="L41" s="2">
        <f>IFERROR(__xludf.DUMMYFUNCTION("""COMPUTED_VALUE"""),"Tablet Manufacturing")</f>
        <v/>
      </c>
      <c r="M41" s="2">
        <f>IFERROR(__xludf.DUMMYFUNCTION("""COMPUTED_VALUE"""),"Product")</f>
        <v/>
      </c>
      <c r="N41" s="2">
        <f>IFERROR(__xludf.DUMMYFUNCTION("""COMPUTED_VALUE"""),"ข้อ 124 Pharma Plus เล่มม่วง (เฉลยข้อ ข)")</f>
        <v/>
      </c>
      <c r="O41" s="2">
        <f>IFERROR(__xludf.DUMMYFUNCTION("""COMPUTED_VALUE"""),"Mock")</f>
        <v/>
      </c>
      <c r="P41" s="2">
        <f>IFERROR(__xludf.DUMMYFUNCTION("""COMPUTED_VALUE"""),"Pharma Plus เล่มม่วง")</f>
        <v/>
      </c>
    </row>
    <row r="42" ht="13.2" customHeight="1" s="49">
      <c r="A42" s="2">
        <f>IFERROR(__xludf.DUMMYFUNCTION("""COMPUTED_VALUE"""),"125")</f>
        <v/>
      </c>
      <c r="B42" s="2">
        <f>IFERROR(__xludf.DUMMYFUNCTION("""COMPUTED_VALUE"""),"ข้อมูลข้อมีความจำเป็นน้อยที่สุดในการนำพริกมาบรรจุในแคปซูลเพื่อรับประทาน")</f>
        <v/>
      </c>
      <c r="C42" s="2" t="n"/>
      <c r="D42" s="2">
        <f>IFERROR(__xludf.DUMMYFUNCTION("""COMPUTED_VALUE"""),"Solubility")</f>
        <v/>
      </c>
      <c r="E42" s="2">
        <f>IFERROR(__xludf.DUMMYFUNCTION("""COMPUTED_VALUE"""),"Angle of repose")</f>
        <v/>
      </c>
      <c r="F42" s="2">
        <f>IFERROR(__xludf.DUMMYFUNCTION("""COMPUTED_VALUE"""),"Capsule's size and volume")</f>
        <v/>
      </c>
      <c r="G42" s="2">
        <f>IFERROR(__xludf.DUMMYFUNCTION("""COMPUTED_VALUE"""),"Tap density")</f>
        <v/>
      </c>
      <c r="H42" s="2">
        <f>IFERROR(__xludf.DUMMYFUNCTION("""COMPUTED_VALUE"""),"Therapeutic dose")</f>
        <v/>
      </c>
      <c r="I42" s="2">
        <f>IFERROR(__xludf.DUMMYFUNCTION("""COMPUTED_VALUE"""),"1")</f>
        <v/>
      </c>
      <c r="J42" s="2">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2" t="n"/>
      <c r="L42" s="2">
        <f>IFERROR(__xludf.DUMMYFUNCTION("""COMPUTED_VALUE"""),"Hard &amp; Soft Gelatin Capsules")</f>
        <v/>
      </c>
      <c r="M42" s="2">
        <f>IFERROR(__xludf.DUMMYFUNCTION("""COMPUTED_VALUE"""),"Product")</f>
        <v/>
      </c>
      <c r="N42" s="2">
        <f>IFERROR(__xludf.DUMMYFUNCTION("""COMPUTED_VALUE"""),"ข้อ 125 Pharma Plus เล่มม่วง (เฉลยข้อ ก)")</f>
        <v/>
      </c>
      <c r="O42" s="2">
        <f>IFERROR(__xludf.DUMMYFUNCTION("""COMPUTED_VALUE"""),"Mock")</f>
        <v/>
      </c>
      <c r="P42" s="2">
        <f>IFERROR(__xludf.DUMMYFUNCTION("""COMPUTED_VALUE"""),"Pharma Plus เล่มม่วง")</f>
        <v/>
      </c>
    </row>
    <row r="43" ht="13.2" customHeight="1" s="49">
      <c r="A43" s="2">
        <f>IFERROR(__xludf.DUMMYFUNCTION("""COMPUTED_VALUE"""),"126")</f>
        <v/>
      </c>
      <c r="B43" s="2">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2" t="n"/>
      <c r="D43" s="2">
        <f>IFERROR(__xludf.DUMMYFUNCTION("""COMPUTED_VALUE"""),"ใช้ 25% NaHCO3 6 mL และปรับปริมาตรให้ได้ 100 mL")</f>
        <v/>
      </c>
      <c r="E43" s="2">
        <f>IFERROR(__xludf.DUMMYFUNCTION("""COMPUTED_VALUE"""),"ใช้ 25% NaHCO3 6 mL และปรับปริมาตรให้ได้ 30 mL")</f>
        <v/>
      </c>
      <c r="F43" s="2">
        <f>IFERROR(__xludf.DUMMYFUNCTION("""COMPUTED_VALUE"""),"ใช้ 25% NaHCO3 20 mL และปรับปริมาตรให้ได้ 100 mL")</f>
        <v/>
      </c>
      <c r="G43" s="2">
        <f>IFERROR(__xludf.DUMMYFUNCTION("""COMPUTED_VALUE"""),"ใช้ 25% NaHCO3 20 mL และปรับปริมาตรให้ได้ 30 mL")</f>
        <v/>
      </c>
      <c r="H43" s="2">
        <f>IFERROR(__xludf.DUMMYFUNCTION("""COMPUTED_VALUE"""),"ใช้ 25% NaHCO3 10 mL และปรับปริมาตรให้ได้ 100 mL")</f>
        <v/>
      </c>
      <c r="I43" s="2">
        <f>IFERROR(__xludf.DUMMYFUNCTION("""COMPUTED_VALUE"""),"2")</f>
        <v/>
      </c>
      <c r="J43" s="2">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2" t="n"/>
      <c r="L43" s="2">
        <f>IFERROR(__xludf.DUMMYFUNCTION("""COMPUTED_VALUE"""),"Tablet Manufacturing")</f>
        <v/>
      </c>
      <c r="M43" s="2">
        <f>IFERROR(__xludf.DUMMYFUNCTION("""COMPUTED_VALUE"""),"Product")</f>
        <v/>
      </c>
      <c r="N43" s="2">
        <f>IFERROR(__xludf.DUMMYFUNCTION("""COMPUTED_VALUE"""),"ข้อ 126 Pharma Plus เล่มม่วง (เฉลยข้อ ข)")</f>
        <v/>
      </c>
      <c r="O43" s="2">
        <f>IFERROR(__xludf.DUMMYFUNCTION("""COMPUTED_VALUE"""),"Mock")</f>
        <v/>
      </c>
      <c r="P43" s="2">
        <f>IFERROR(__xludf.DUMMYFUNCTION("""COMPUTED_VALUE"""),"Pharma Plus เล่มม่วง")</f>
        <v/>
      </c>
    </row>
    <row r="44" ht="13.2" customHeight="1" s="49">
      <c r="A44" s="2">
        <f>IFERROR(__xludf.DUMMYFUNCTION("""COMPUTED_VALUE"""),"127")</f>
        <v/>
      </c>
      <c r="B44" s="2">
        <f>IFERROR(__xludf.DUMMYFUNCTION("""COMPUTED_VALUE"""),"เมื่อเตรียมตำรับยาข้างต้นในข้อ 126 ส่วนประกอบใดไม่จำเป็นในการเตรียมยาใช้ในช่องหู")</f>
        <v/>
      </c>
      <c r="C44" s="2" t="n"/>
      <c r="D44" s="2">
        <f>IFERROR(__xludf.DUMMYFUNCTION("""COMPUTED_VALUE"""),"Antioxidant")</f>
        <v/>
      </c>
      <c r="E44" s="2">
        <f>IFERROR(__xludf.DUMMYFUNCTION("""COMPUTED_VALUE"""),"Buffering agent")</f>
        <v/>
      </c>
      <c r="F44" s="2">
        <f>IFERROR(__xludf.DUMMYFUNCTION("""COMPUTED_VALUE"""),"Structure vehicle")</f>
        <v/>
      </c>
      <c r="G44" s="2">
        <f>IFERROR(__xludf.DUMMYFUNCTION("""COMPUTED_VALUE"""),"Preservative")</f>
        <v/>
      </c>
      <c r="H44" s="2">
        <f>IFERROR(__xludf.DUMMYFUNCTION("""COMPUTED_VALUE"""),"Viscosity agent")</f>
        <v/>
      </c>
      <c r="I44" s="2">
        <f>IFERROR(__xludf.DUMMYFUNCTION("""COMPUTED_VALUE"""),"2")</f>
        <v/>
      </c>
      <c r="J44" s="2">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2" t="n"/>
      <c r="L44" s="2">
        <f>IFERROR(__xludf.DUMMYFUNCTION("""COMPUTED_VALUE"""),"Tablet Manufacturing")</f>
        <v/>
      </c>
      <c r="M44" s="2">
        <f>IFERROR(__xludf.DUMMYFUNCTION("""COMPUTED_VALUE"""),"Product")</f>
        <v/>
      </c>
      <c r="N44" s="2">
        <f>IFERROR(__xludf.DUMMYFUNCTION("""COMPUTED_VALUE"""),"ข้อ 127 Pharma Plus เล่มม่วง (เฉลยข้อ ข)")</f>
        <v/>
      </c>
      <c r="O44" s="2">
        <f>IFERROR(__xludf.DUMMYFUNCTION("""COMPUTED_VALUE"""),"Mock")</f>
        <v/>
      </c>
      <c r="P44" s="2">
        <f>IFERROR(__xludf.DUMMYFUNCTION("""COMPUTED_VALUE"""),"Pharma Plus เล่มม่วง")</f>
        <v/>
      </c>
    </row>
    <row r="45" ht="13.2" customHeight="1" s="49">
      <c r="A45" s="2">
        <f>IFERROR(__xludf.DUMMYFUNCTION("""COMPUTED_VALUE"""),"152")</f>
        <v/>
      </c>
      <c r="B45" s="2">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2" t="n"/>
      <c r="D45" s="2">
        <f>IFERROR(__xludf.DUMMYFUNCTION("""COMPUTED_VALUE"""),"0.27 g")</f>
        <v/>
      </c>
      <c r="E45" s="2">
        <f>IFERROR(__xludf.DUMMYFUNCTION("""COMPUTED_VALUE"""),"0.18 g")</f>
        <v/>
      </c>
      <c r="F45" s="2">
        <f>IFERROR(__xludf.DUMMYFUNCTION("""COMPUTED_VALUE"""),"0.09 g")</f>
        <v/>
      </c>
      <c r="G45" s="2">
        <f>IFERROR(__xludf.DUMMYFUNCTION("""COMPUTED_VALUE"""),"0.04 g")</f>
        <v/>
      </c>
      <c r="H45" s="2">
        <f>IFERROR(__xludf.DUMMYFUNCTION("""COMPUTED_VALUE"""),"0.12 g")</f>
        <v/>
      </c>
      <c r="I45" s="2">
        <f>IFERROR(__xludf.DUMMYFUNCTION("""COMPUTED_VALUE"""),"3")</f>
        <v/>
      </c>
      <c r="J45" s="2">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2" t="n"/>
      <c r="L45" s="2">
        <f>IFERROR(__xludf.DUMMYFUNCTION("""COMPUTED_VALUE"""),"Tablet Manufacturing")</f>
        <v/>
      </c>
      <c r="M45" s="2">
        <f>IFERROR(__xludf.DUMMYFUNCTION("""COMPUTED_VALUE"""),"Product")</f>
        <v/>
      </c>
      <c r="N45" s="2">
        <f>IFERROR(__xludf.DUMMYFUNCTION("""COMPUTED_VALUE"""),"ข้อ 152 Pharma Plus เล่มม่วง (เฉลยข้อ ค)")</f>
        <v/>
      </c>
      <c r="O45" s="2">
        <f>IFERROR(__xludf.DUMMYFUNCTION("""COMPUTED_VALUE"""),"Mock")</f>
        <v/>
      </c>
      <c r="P45" s="2">
        <f>IFERROR(__xludf.DUMMYFUNCTION("""COMPUTED_VALUE"""),"Pharma Plus เล่มม่วง")</f>
        <v/>
      </c>
    </row>
    <row r="46" ht="13.2" customHeight="1" s="49">
      <c r="A46" s="2">
        <f>IFERROR(__xludf.DUMMYFUNCTION("""COMPUTED_VALUE"""),"153")</f>
        <v/>
      </c>
      <c r="B46" s="2">
        <f>IFERROR(__xludf.DUMMYFUNCTION("""COMPUTED_VALUE"""),"ข้อใดไม่เกี่ยวกับการควบคุมคุณภาพ ยาเม็ด norfloxacin")</f>
        <v/>
      </c>
      <c r="C46" s="2" t="n"/>
      <c r="D46" s="2">
        <f>IFERROR(__xludf.DUMMYFUNCTION("""COMPUTED_VALUE"""),"Content Uniformity")</f>
        <v/>
      </c>
      <c r="E46" s="2">
        <f>IFERROR(__xludf.DUMMYFUNCTION("""COMPUTED_VALUE"""),"Dissolution test")</f>
        <v/>
      </c>
      <c r="F46" s="2">
        <f>IFERROR(__xludf.DUMMYFUNCTION("""COMPUTED_VALUE"""),"Disintegration")</f>
        <v/>
      </c>
      <c r="G46" s="2">
        <f>IFERROR(__xludf.DUMMYFUNCTION("""COMPUTED_VALUE"""),"Weight Variation")</f>
        <v/>
      </c>
      <c r="H46" s="2">
        <f>IFERROR(__xludf.DUMMYFUNCTION("""COMPUTED_VALUE"""),"Limulus Amoebocyte Lysate test")</f>
        <v/>
      </c>
      <c r="I46" s="2">
        <f>IFERROR(__xludf.DUMMYFUNCTION("""COMPUTED_VALUE"""),"5")</f>
        <v/>
      </c>
      <c r="J46" s="2">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2" t="n"/>
      <c r="L46" s="2">
        <f>IFERROR(__xludf.DUMMYFUNCTION("""COMPUTED_VALUE"""),"Tablet Manufacturing")</f>
        <v/>
      </c>
      <c r="M46" s="2">
        <f>IFERROR(__xludf.DUMMYFUNCTION("""COMPUTED_VALUE"""),"Product")</f>
        <v/>
      </c>
      <c r="N46" s="2">
        <f>IFERROR(__xludf.DUMMYFUNCTION("""COMPUTED_VALUE"""),"ข้อ 153 Pharma Plus เล่มม่วง (เฉลยข้อ จ)")</f>
        <v/>
      </c>
      <c r="O46" s="2">
        <f>IFERROR(__xludf.DUMMYFUNCTION("""COMPUTED_VALUE"""),"Mock")</f>
        <v/>
      </c>
      <c r="P46" s="2">
        <f>IFERROR(__xludf.DUMMYFUNCTION("""COMPUTED_VALUE"""),"Pharma Plus เล่มม่วง")</f>
        <v/>
      </c>
    </row>
    <row r="47" ht="13.2" customHeight="1" s="49">
      <c r="A47" s="2">
        <f>IFERROR(__xludf.DUMMYFUNCTION("""COMPUTED_VALUE"""),"154")</f>
        <v/>
      </c>
      <c r="B47" s="2">
        <f>IFERROR(__xludf.DUMMYFUNCTION("""COMPUTED_VALUE"""),"สารทำ emulsion ที่ดีของยาครีม isotretinoin ควรมีคุณสมบัติ")</f>
        <v/>
      </c>
      <c r="C47" s="2" t="n"/>
      <c r="D47" s="2">
        <f>IFERROR(__xludf.DUMMYFUNCTION("""COMPUTED_VALUE"""),"ลดแรงตึงผิว")</f>
        <v/>
      </c>
      <c r="E47" s="2">
        <f>IFERROR(__xludf.DUMMYFUNCTION("""COMPUTED_VALUE"""),"เพิ่มความหนืดให้กับครีม")</f>
        <v/>
      </c>
      <c r="F47" s="2">
        <f>IFERROR(__xludf.DUMMYFUNCTION("""COMPUTED_VALUE"""),"ให้ศักย์ไฟฟ้าที่เหมาะสมเพื่อให้เกิดแรงผลักของหยด")</f>
        <v/>
      </c>
      <c r="G47" s="2">
        <f>IFERROR(__xludf.DUMMYFUNCTION("""COMPUTED_VALUE"""),"มีประสิทธิภาพความเข้มข้นต่ำ")</f>
        <v/>
      </c>
      <c r="H47" s="2">
        <f>IFERROR(__xludf.DUMMYFUNCTION("""COMPUTED_VALUE"""),"ถูกทุกข้อ")</f>
        <v/>
      </c>
      <c r="I47" s="2">
        <f>IFERROR(__xludf.DUMMYFUNCTION("""COMPUTED_VALUE"""),"5")</f>
        <v/>
      </c>
      <c r="J47" s="2">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2" t="n"/>
      <c r="L47" s="2">
        <f>IFERROR(__xludf.DUMMYFUNCTION("""COMPUTED_VALUE"""),"Tablet Manufacturing")</f>
        <v/>
      </c>
      <c r="M47" s="2">
        <f>IFERROR(__xludf.DUMMYFUNCTION("""COMPUTED_VALUE"""),"Product")</f>
        <v/>
      </c>
      <c r="N47" s="2">
        <f>IFERROR(__xludf.DUMMYFUNCTION("""COMPUTED_VALUE"""),"ข้อ 154 Pharma Plus เล่มม่วง (เฉลยข้อ จ)")</f>
        <v/>
      </c>
      <c r="O47" s="2">
        <f>IFERROR(__xludf.DUMMYFUNCTION("""COMPUTED_VALUE"""),"Mock")</f>
        <v/>
      </c>
      <c r="P47" s="2">
        <f>IFERROR(__xludf.DUMMYFUNCTION("""COMPUTED_VALUE"""),"Pharma Plus เล่มม่วง")</f>
        <v/>
      </c>
    </row>
    <row r="48" ht="13.2" customHeight="1" s="49">
      <c r="A48" s="2">
        <f>IFERROR(__xludf.DUMMYFUNCTION("""COMPUTED_VALUE"""),"155")</f>
        <v/>
      </c>
      <c r="B48" s="2">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2" t="n"/>
      <c r="D48" s="2">
        <f>IFERROR(__xludf.DUMMYFUNCTION("""COMPUTED_VALUE"""),"Sodium alginate, bentonite, methylcellulose")</f>
        <v/>
      </c>
      <c r="E48" s="2">
        <f>IFERROR(__xludf.DUMMYFUNCTION("""COMPUTED_VALUE"""),"Tragacanth, carbomer, methylcellulose")</f>
        <v/>
      </c>
      <c r="F48" s="2">
        <f>IFERROR(__xludf.DUMMYFUNCTION("""COMPUTED_VALUE"""),"Carbomer, methylcellulose, hydroxypropyl cellulose")</f>
        <v/>
      </c>
      <c r="G48" s="2">
        <f>IFERROR(__xludf.DUMMYFUNCTION("""COMPUTED_VALUE"""),"Pectin, guar gum, carbomer")</f>
        <v/>
      </c>
      <c r="H48" s="2">
        <f>IFERROR(__xludf.DUMMYFUNCTION("""COMPUTED_VALUE"""),"Tragacanth, carboxymethylcellulose, carbomer")</f>
        <v/>
      </c>
      <c r="I48" s="2">
        <f>IFERROR(__xludf.DUMMYFUNCTION("""COMPUTED_VALUE"""),"5")</f>
        <v/>
      </c>
      <c r="J48" s="2">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2" t="n"/>
      <c r="L48" s="2">
        <f>IFERROR(__xludf.DUMMYFUNCTION("""COMPUTED_VALUE"""),"Tablet Manufacturing")</f>
        <v/>
      </c>
      <c r="M48" s="2">
        <f>IFERROR(__xludf.DUMMYFUNCTION("""COMPUTED_VALUE"""),"Product")</f>
        <v/>
      </c>
      <c r="N48" s="2">
        <f>IFERROR(__xludf.DUMMYFUNCTION("""COMPUTED_VALUE"""),"ข้อ 155 Pharma Plus เล่มม่วง (เฉลยข้อ จ)")</f>
        <v/>
      </c>
      <c r="O48" s="2">
        <f>IFERROR(__xludf.DUMMYFUNCTION("""COMPUTED_VALUE"""),"Mock")</f>
        <v/>
      </c>
      <c r="P48" s="2">
        <f>IFERROR(__xludf.DUMMYFUNCTION("""COMPUTED_VALUE"""),"Pharma Plus เล่มม่วง")</f>
        <v/>
      </c>
    </row>
    <row r="49" ht="13.2" customHeight="1" s="49">
      <c r="A49" s="2">
        <f>IFERROR(__xludf.DUMMYFUNCTION("""COMPUTED_VALUE"""),"156")</f>
        <v/>
      </c>
      <c r="B49" s="2">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2" t="n"/>
      <c r="D49" s="2">
        <f>IFERROR(__xludf.DUMMYFUNCTION("""COMPUTED_VALUE"""),"Mineral oil")</f>
        <v/>
      </c>
      <c r="E49" s="2">
        <f>IFERROR(__xludf.DUMMYFUNCTION("""COMPUTED_VALUE"""),"Carbopol")</f>
        <v/>
      </c>
      <c r="F49" s="2">
        <f>IFERROR(__xludf.DUMMYFUNCTION("""COMPUTED_VALUE"""),"White beeswax")</f>
        <v/>
      </c>
      <c r="G49" s="2">
        <f>IFERROR(__xludf.DUMMYFUNCTION("""COMPUTED_VALUE"""),"PEG 4000")</f>
        <v/>
      </c>
      <c r="H49" s="2">
        <f>IFERROR(__xludf.DUMMYFUNCTION("""COMPUTED_VALUE"""),"Glycerin")</f>
        <v/>
      </c>
      <c r="I49" s="2">
        <f>IFERROR(__xludf.DUMMYFUNCTION("""COMPUTED_VALUE"""),"3")</f>
        <v/>
      </c>
      <c r="J49" s="2">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2" t="n"/>
      <c r="L49" s="2">
        <f>IFERROR(__xludf.DUMMYFUNCTION("""COMPUTED_VALUE"""),"Tablet Manufacturing")</f>
        <v/>
      </c>
      <c r="M49" s="2">
        <f>IFERROR(__xludf.DUMMYFUNCTION("""COMPUTED_VALUE"""),"Product")</f>
        <v/>
      </c>
      <c r="N49" s="2">
        <f>IFERROR(__xludf.DUMMYFUNCTION("""COMPUTED_VALUE"""),"ข้อ 156 Pharma Plus เล่มม่วง (เฉลยข้อ ค)")</f>
        <v/>
      </c>
      <c r="O49" s="2">
        <f>IFERROR(__xludf.DUMMYFUNCTION("""COMPUTED_VALUE"""),"Mock")</f>
        <v/>
      </c>
      <c r="P49" s="2">
        <f>IFERROR(__xludf.DUMMYFUNCTION("""COMPUTED_VALUE"""),"Pharma Plus เล่มม่วง")</f>
        <v/>
      </c>
    </row>
    <row r="50" ht="13.2" customHeight="1" s="49">
      <c r="A50" s="2">
        <f>IFERROR(__xludf.DUMMYFUNCTION("""COMPUTED_VALUE"""),"163")</f>
        <v/>
      </c>
      <c r="B50" s="2">
        <f>IFERROR(__xludf.DUMMYFUNCTION("""COMPUTED_VALUE"""),"สาร polymer ตัวใดนิยมใช้ในการทำ film coat tablet")</f>
        <v/>
      </c>
      <c r="C50" s="2" t="n"/>
      <c r="D50" s="2">
        <f>IFERROR(__xludf.DUMMYFUNCTION("""COMPUTED_VALUE"""),"HPMC")</f>
        <v/>
      </c>
      <c r="E50" s="2">
        <f>IFERROR(__xludf.DUMMYFUNCTION("""COMPUTED_VALUE"""),"CMC")</f>
        <v/>
      </c>
      <c r="F50" s="2">
        <f>IFERROR(__xludf.DUMMYFUNCTION("""COMPUTED_VALUE"""),"Polymeric methacrylates")</f>
        <v/>
      </c>
      <c r="G50" s="2">
        <f>IFERROR(__xludf.DUMMYFUNCTION("""COMPUTED_VALUE"""),"Carbopol")</f>
        <v/>
      </c>
      <c r="H50" s="2">
        <f>IFERROR(__xludf.DUMMYFUNCTION("""COMPUTED_VALUE"""),"Veegum")</f>
        <v/>
      </c>
      <c r="I50" s="2">
        <f>IFERROR(__xludf.DUMMYFUNCTION("""COMPUTED_VALUE"""),"1")</f>
        <v/>
      </c>
      <c r="J50" s="2">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2" t="n"/>
      <c r="L50" s="2">
        <f>IFERROR(__xludf.DUMMYFUNCTION("""COMPUTED_VALUE"""),"Tablet Coating")</f>
        <v/>
      </c>
      <c r="M50" s="2">
        <f>IFERROR(__xludf.DUMMYFUNCTION("""COMPUTED_VALUE"""),"Product")</f>
        <v/>
      </c>
      <c r="N50" s="2">
        <f>IFERROR(__xludf.DUMMYFUNCTION("""COMPUTED_VALUE"""),"ข้อ 163 Pharma Plus เล่มม่วง (เฉลยข้อ ก)")</f>
        <v/>
      </c>
      <c r="O50" s="2">
        <f>IFERROR(__xludf.DUMMYFUNCTION("""COMPUTED_VALUE"""),"Mock")</f>
        <v/>
      </c>
      <c r="P50" s="2">
        <f>IFERROR(__xludf.DUMMYFUNCTION("""COMPUTED_VALUE"""),"Pharma Plus เล่มม่วง")</f>
        <v/>
      </c>
    </row>
    <row r="51" ht="13.2" customHeight="1" s="49">
      <c r="A51" s="2">
        <f>IFERROR(__xludf.DUMMYFUNCTION("""COMPUTED_VALUE"""),"164")</f>
        <v/>
      </c>
      <c r="B51" s="2">
        <f>IFERROR(__xludf.DUMMYFUNCTION("""COMPUTED_VALUE"""),"ข้อใดกล่าวผิดเกี่ยวกับยารูปแบบเม็ด")</f>
        <v/>
      </c>
      <c r="C51" s="2" t="n"/>
      <c r="D51" s="2">
        <f>IFERROR(__xludf.DUMMYFUNCTION("""COMPUTED_VALUE"""),"การเตรียมยา solution ทำได้โดยการใช้ตัวทำละลายร่วมที่เป็น organic solvent เพื่อช่วยละลาย")</f>
        <v/>
      </c>
      <c r="E51" s="2">
        <f>IFERROR(__xludf.DUMMYFUNCTION("""COMPUTED_VALUE"""),"ยารูปแบบ solution มักมีค่าความต้านทานการไหลและแรงตึงผิวภายในสารละลายใกล้เคียงกับน้ำ")</f>
        <v/>
      </c>
      <c r="F51" s="2">
        <f>IFERROR(__xludf.DUMMYFUNCTION("""COMPUTED_VALUE"""),"Suspension ใช้เป็นยาฉีดเข้าหลอดเลือดได้ ถ้าขนาดอนุภาคเล็กมากๆ")</f>
        <v/>
      </c>
      <c r="G51" s="2">
        <f>IFERROR(__xludf.DUMMYFUNCTION("""COMPUTED_VALUE"""),"Emulsion ใช้เป็นอาหารทางหลอดเลือดดำได้แต่ควรเป็นการเตรียมใหม่ๆ")</f>
        <v/>
      </c>
      <c r="H51" s="2">
        <f>IFERROR(__xludf.DUMMYFUNCTION("""COMPUTED_VALUE"""),"การลดความเจ็บปวดเมื่อฉีดทำได้โดยเติมสารบางชนิดเช่น buffer")</f>
        <v/>
      </c>
      <c r="I51" s="2">
        <f>IFERROR(__xludf.DUMMYFUNCTION("""COMPUTED_VALUE"""),"1")</f>
        <v/>
      </c>
      <c r="J51" s="2">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2" t="n"/>
      <c r="L51" s="2">
        <f>IFERROR(__xludf.DUMMYFUNCTION("""COMPUTED_VALUE"""),"Tablet Manufacturing")</f>
        <v/>
      </c>
      <c r="M51" s="2">
        <f>IFERROR(__xludf.DUMMYFUNCTION("""COMPUTED_VALUE"""),"Product")</f>
        <v/>
      </c>
      <c r="N51" s="2">
        <f>IFERROR(__xludf.DUMMYFUNCTION("""COMPUTED_VALUE"""),"ข้อ 164 Pharma Plus เล่มม่วง (เฉลยข้อ ไมมีคำตอบ)")</f>
        <v/>
      </c>
      <c r="O51" s="2">
        <f>IFERROR(__xludf.DUMMYFUNCTION("""COMPUTED_VALUE"""),"Mock")</f>
        <v/>
      </c>
      <c r="P51" s="2">
        <f>IFERROR(__xludf.DUMMYFUNCTION("""COMPUTED_VALUE"""),"Pharma Plus เล่มม่วง")</f>
        <v/>
      </c>
    </row>
    <row r="52" ht="13.2" customHeight="1" s="49">
      <c r="A52" s="2">
        <f>IFERROR(__xludf.DUMMYFUNCTION("""COMPUTED_VALUE"""),"165")</f>
        <v/>
      </c>
      <c r="B52" s="2">
        <f>IFERROR(__xludf.DUMMYFUNCTION("""COMPUTED_VALUE"""),"ข้อใดถูกต้องที่สุดเกี่ยวกับ tonicity ของยาฉีด")</f>
        <v/>
      </c>
      <c r="C52" s="2" t="n"/>
      <c r="D52" s="2">
        <f>IFERROR(__xludf.DUMMYFUNCTION("""COMPUTED_VALUE"""),"จัดเป็น colligative property")</f>
        <v/>
      </c>
      <c r="E52" s="2">
        <f>IFERROR(__xludf.DUMMYFUNCTION("""COMPUTED_VALUE"""),"สามารถปรับได้โดยเติมสารบางชนิด เช่น phosphate acetate ซึ่งนิยมมาก")</f>
        <v/>
      </c>
      <c r="F52" s="2">
        <f>IFERROR(__xludf.DUMMYFUNCTION("""COMPUTED_VALUE"""),"การฉีด hypertonic solution ก่อให้เกิด cell lysis ได้")</f>
        <v/>
      </c>
      <c r="G52" s="2">
        <f>IFERROR(__xludf.DUMMYFUNCTION("""COMPUTED_VALUE"""),"การฉีดยา isotonic ต่อระบบเลือด มักเป็น isotonic ต่อเนื้อเยื่ออื่นด้วย")</f>
        <v/>
      </c>
      <c r="H52" s="2">
        <f>IFERROR(__xludf.DUMMYFUNCTION("""COMPUTED_VALUE"""),"Normal saline เป็นทั้ง isotonic และ iso-osmotic")</f>
        <v/>
      </c>
      <c r="I52" s="2">
        <f>IFERROR(__xludf.DUMMYFUNCTION("""COMPUTED_VALUE"""),"5")</f>
        <v/>
      </c>
      <c r="J52" s="2">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2" t="n"/>
      <c r="L52" s="2">
        <f>IFERROR(__xludf.DUMMYFUNCTION("""COMPUTED_VALUE"""),"Tablet Manufacturing")</f>
        <v/>
      </c>
      <c r="M52" s="2">
        <f>IFERROR(__xludf.DUMMYFUNCTION("""COMPUTED_VALUE"""),"Product")</f>
        <v/>
      </c>
      <c r="N52" s="2">
        <f>IFERROR(__xludf.DUMMYFUNCTION("""COMPUTED_VALUE"""),"ข้อ 165 Pharma Plus เล่มม่วง (เฉลยข้อ จ)")</f>
        <v/>
      </c>
      <c r="O52" s="2">
        <f>IFERROR(__xludf.DUMMYFUNCTION("""COMPUTED_VALUE"""),"Mock")</f>
        <v/>
      </c>
      <c r="P52" s="2">
        <f>IFERROR(__xludf.DUMMYFUNCTION("""COMPUTED_VALUE"""),"Pharma Plus เล่มม่วง")</f>
        <v/>
      </c>
    </row>
    <row r="53" ht="13.2" customHeight="1" s="49">
      <c r="A53" s="2">
        <f>IFERROR(__xludf.DUMMYFUNCTION("""COMPUTED_VALUE"""),"166")</f>
        <v/>
      </c>
      <c r="B53" s="2">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2" t="n"/>
      <c r="D53" s="2">
        <f>IFERROR(__xludf.DUMMYFUNCTION("""COMPUTED_VALUE"""),"Spray dried lactose")</f>
        <v/>
      </c>
      <c r="E53" s="2">
        <f>IFERROR(__xludf.DUMMYFUNCTION("""COMPUTED_VALUE"""),"Microcrystalline cellulose")</f>
        <v/>
      </c>
      <c r="F53" s="2">
        <f>IFERROR(__xludf.DUMMYFUNCTION("""COMPUTED_VALUE"""),"Tapioca starch")</f>
        <v/>
      </c>
      <c r="G53" s="2">
        <f>IFERROR(__xludf.DUMMYFUNCTION("""COMPUTED_VALUE"""),"Dibasic calcium phosphate")</f>
        <v/>
      </c>
      <c r="H53" s="2">
        <f>IFERROR(__xludf.DUMMYFUNCTION("""COMPUTED_VALUE"""),"Mannitol")</f>
        <v/>
      </c>
      <c r="I53" s="2">
        <f>IFERROR(__xludf.DUMMYFUNCTION("""COMPUTED_VALUE"""),"1")</f>
        <v/>
      </c>
      <c r="J53" s="2">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2" t="n"/>
      <c r="L53" s="2">
        <f>IFERROR(__xludf.DUMMYFUNCTION("""COMPUTED_VALUE"""),"Hard &amp; Soft Gelatin Capsules")</f>
        <v/>
      </c>
      <c r="M53" s="2">
        <f>IFERROR(__xludf.DUMMYFUNCTION("""COMPUTED_VALUE"""),"Product")</f>
        <v/>
      </c>
      <c r="N53" s="2">
        <f>IFERROR(__xludf.DUMMYFUNCTION("""COMPUTED_VALUE"""),"ข้อ 166 Pharma Plus เล่มม่วง (เฉลยข้อ ก)")</f>
        <v/>
      </c>
      <c r="O53" s="2">
        <f>IFERROR(__xludf.DUMMYFUNCTION("""COMPUTED_VALUE"""),"Mock")</f>
        <v/>
      </c>
      <c r="P53" s="2">
        <f>IFERROR(__xludf.DUMMYFUNCTION("""COMPUTED_VALUE"""),"Pharma Plus เล่มม่วง")</f>
        <v/>
      </c>
    </row>
    <row r="54" ht="13.2" customHeight="1" s="49">
      <c r="A54" s="2">
        <f>IFERROR(__xludf.DUMMYFUNCTION("""COMPUTED_VALUE"""),"167")</f>
        <v/>
      </c>
      <c r="B54" s="2">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2" t="n"/>
      <c r="D54" s="2">
        <f>IFERROR(__xludf.DUMMYFUNCTION("""COMPUTED_VALUE"""),"ผงยามีการกระจายขนาดอนุภาคในช่วงแคบ")</f>
        <v/>
      </c>
      <c r="E54" s="2">
        <f>IFERROR(__xludf.DUMMYFUNCTION("""COMPUTED_VALUE"""),"ผงยามีค่า angle of repose ต่ำ")</f>
        <v/>
      </c>
      <c r="F54" s="2">
        <f>IFERROR(__xludf.DUMMYFUNCTION("""COMPUTED_VALUE"""),"สารเจือจางมีความหนาแน่นใกล้เคียงตัวยาสำคัญ")</f>
        <v/>
      </c>
      <c r="G54" s="2">
        <f>IFERROR(__xludf.DUMMYFUNCTION("""COMPUTED_VALUE"""),"ปริมาณของตัวยาและสารช่วยรวมกัน ควรบรรจุขอบ body ของเปลือก capsule ได้เต็มหรือเกือบเต็ม")</f>
        <v/>
      </c>
      <c r="H54" s="2">
        <f>IFERROR(__xludf.DUMMYFUNCTION("""COMPUTED_VALUE"""),"สารช่วยการไหลที่ใช้มีคุณสมบัติเป็น true lubricant มากกว่า glidant")</f>
        <v/>
      </c>
      <c r="I54" s="2">
        <f>IFERROR(__xludf.DUMMYFUNCTION("""COMPUTED_VALUE"""),"5")</f>
        <v/>
      </c>
      <c r="J54" s="2">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2" t="n"/>
      <c r="L54" s="2">
        <f>IFERROR(__xludf.DUMMYFUNCTION("""COMPUTED_VALUE"""),"Hard &amp; Soft Gelatin Capsules")</f>
        <v/>
      </c>
      <c r="M54" s="2">
        <f>IFERROR(__xludf.DUMMYFUNCTION("""COMPUTED_VALUE"""),"Product")</f>
        <v/>
      </c>
      <c r="N54" s="2">
        <f>IFERROR(__xludf.DUMMYFUNCTION("""COMPUTED_VALUE"""),"ข้อ 167 Pharma Plus เล่มม่วง (เฉลยข้อ จ)")</f>
        <v/>
      </c>
      <c r="O54" s="2">
        <f>IFERROR(__xludf.DUMMYFUNCTION("""COMPUTED_VALUE"""),"Mock")</f>
        <v/>
      </c>
      <c r="P54" s="2">
        <f>IFERROR(__xludf.DUMMYFUNCTION("""COMPUTED_VALUE"""),"Pharma Plus เล่มม่วง")</f>
        <v/>
      </c>
    </row>
    <row r="55" ht="13.2" customHeight="1" s="49">
      <c r="A55" s="2">
        <f>IFERROR(__xludf.DUMMYFUNCTION("""COMPUTED_VALUE"""),"168")</f>
        <v/>
      </c>
      <c r="B55" s="2">
        <f>IFERROR(__xludf.DUMMYFUNCTION("""COMPUTED_VALUE"""),"ตำรับ aspirin suspension ที่เตรียมแล้วพบว่า เมื่อตั้งทิ้งไว้เป็นก้อนแข็ง เรียกปรากฏการณ์นี้ว่า")</f>
        <v/>
      </c>
      <c r="C55" s="2" t="n"/>
      <c r="D55" s="2">
        <f>IFERROR(__xludf.DUMMYFUNCTION("""COMPUTED_VALUE"""),"Flocculation")</f>
        <v/>
      </c>
      <c r="E55" s="2">
        <f>IFERROR(__xludf.DUMMYFUNCTION("""COMPUTED_VALUE"""),"Lamination")</f>
        <v/>
      </c>
      <c r="F55" s="2">
        <f>IFERROR(__xludf.DUMMYFUNCTION("""COMPUTED_VALUE"""),"Creaming")</f>
        <v/>
      </c>
      <c r="G55" s="2">
        <f>IFERROR(__xludf.DUMMYFUNCTION("""COMPUTED_VALUE"""),"Coalescence")</f>
        <v/>
      </c>
      <c r="H55" s="2">
        <f>IFERROR(__xludf.DUMMYFUNCTION("""COMPUTED_VALUE"""),"Caking")</f>
        <v/>
      </c>
      <c r="I55" s="2">
        <f>IFERROR(__xludf.DUMMYFUNCTION("""COMPUTED_VALUE"""),"5")</f>
        <v/>
      </c>
      <c r="J55" s="2">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2" t="n"/>
      <c r="L55" s="2">
        <f>IFERROR(__xludf.DUMMYFUNCTION("""COMPUTED_VALUE"""),"Tablet Manufacturing")</f>
        <v/>
      </c>
      <c r="M55" s="2">
        <f>IFERROR(__xludf.DUMMYFUNCTION("""COMPUTED_VALUE"""),"Product")</f>
        <v/>
      </c>
      <c r="N55" s="2">
        <f>IFERROR(__xludf.DUMMYFUNCTION("""COMPUTED_VALUE"""),"ข้อ 168 Pharma Plus เล่มม่วง (เฉลยข้อ จ)")</f>
        <v/>
      </c>
      <c r="O55" s="2">
        <f>IFERROR(__xludf.DUMMYFUNCTION("""COMPUTED_VALUE"""),"Mock")</f>
        <v/>
      </c>
      <c r="P55" s="2">
        <f>IFERROR(__xludf.DUMMYFUNCTION("""COMPUTED_VALUE"""),"Pharma Plus เล่มม่วง")</f>
        <v/>
      </c>
    </row>
    <row r="56" ht="13.2" customHeight="1" s="49">
      <c r="A56" s="2">
        <f>IFERROR(__xludf.DUMMYFUNCTION("""COMPUTED_VALUE"""),"180")</f>
        <v/>
      </c>
      <c r="B56" s="2">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2" t="n"/>
      <c r="D56" s="2">
        <f>IFERROR(__xludf.DUMMYFUNCTION("""COMPUTED_VALUE"""),"ผ่านการทดสอบใน S1 ทั้งหกเม็ด")</f>
        <v/>
      </c>
      <c r="E56" s="2">
        <f>IFERROR(__xludf.DUMMYFUNCTION("""COMPUTED_VALUE"""),"มี 3 เม็ดไม่ผ่านการทดสอบใน S1")</f>
        <v/>
      </c>
      <c r="F56" s="2">
        <f>IFERROR(__xludf.DUMMYFUNCTION("""COMPUTED_VALUE"""),"มี 1 เม็ดไม่ผ่านการทดสอบใน S1")</f>
        <v/>
      </c>
      <c r="G56" s="2">
        <f>IFERROR(__xludf.DUMMYFUNCTION("""COMPUTED_VALUE"""),"ต้องทำการทดสอบเพิ่มอีก 12 เม็ด")</f>
        <v/>
      </c>
      <c r="H56" s="2">
        <f>IFERROR(__xludf.DUMMYFUNCTION("""COMPUTED_VALUE"""),"มี 4 เม็ดไม่ผ่านการทดสอบ")</f>
        <v/>
      </c>
      <c r="I56" s="2">
        <f>IFERROR(__xludf.DUMMYFUNCTION("""COMPUTED_VALUE"""),"1")</f>
        <v/>
      </c>
      <c r="J56" s="2">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2" t="n"/>
      <c r="L56" s="2">
        <f>IFERROR(__xludf.DUMMYFUNCTION("""COMPUTED_VALUE"""),"Tablet Manufacturing")</f>
        <v/>
      </c>
      <c r="M56" s="2">
        <f>IFERROR(__xludf.DUMMYFUNCTION("""COMPUTED_VALUE"""),"Product")</f>
        <v/>
      </c>
      <c r="N56" s="2">
        <f>IFERROR(__xludf.DUMMYFUNCTION("""COMPUTED_VALUE"""),"ข้อ 180 Pharma Plus เล่มม่วง (เฉลยข้อ )")</f>
        <v/>
      </c>
      <c r="O56" s="2">
        <f>IFERROR(__xludf.DUMMYFUNCTION("""COMPUTED_VALUE"""),"Mock")</f>
        <v/>
      </c>
      <c r="P56" s="2">
        <f>IFERROR(__xludf.DUMMYFUNCTION("""COMPUTED_VALUE"""),"Pharma Plus เล่มม่วง")</f>
        <v/>
      </c>
    </row>
    <row r="57" ht="13.2" customHeight="1" s="49">
      <c r="A57" s="2">
        <f>IFERROR(__xludf.DUMMYFUNCTION("""COMPUTED_VALUE"""),"181")</f>
        <v/>
      </c>
      <c r="B57" s="2">
        <f>IFERROR(__xludf.DUMMYFUNCTION("""COMPUTED_VALUE"""),"ยาของบริษัทใดมีความสามารถในการละลายน้ำที่ดีกว่ากัน")</f>
        <v/>
      </c>
      <c r="C57" s="2" t="n"/>
      <c r="D57" s="2">
        <f>IFERROR(__xludf.DUMMYFUNCTION("""COMPUTED_VALUE"""),"ยาของบริษัท A ละลายน้ำได้ดีกว่า บริษัท B เนื่องจากมี lactose ทำให้ละลายน้ำได้ดีกว่า")</f>
        <v/>
      </c>
      <c r="E57" s="2">
        <f>IFERROR(__xludf.DUMMYFUNCTION("""COMPUTED_VALUE"""),"ยาของบริษัท A ละลายน้ำได้ดีกว่า บริษัท B เนื่องจากมีปริมาณ magnesium stearate มากกว่า")</f>
        <v/>
      </c>
      <c r="F57" s="2">
        <f>IFERROR(__xludf.DUMMYFUNCTION("""COMPUTED_VALUE"""),"ยาของบริษัท B ละลายน้ำได้ดีกว่า บริษัท A เนื่องจากมี microcrystalline cellulose ช่วยในการละลาย")</f>
        <v/>
      </c>
      <c r="G57" s="2">
        <f>IFERROR(__xludf.DUMMYFUNCTION("""COMPUTED_VALUE"""),"ยาของบริษัท B ละลายน้ำได้ดีกว่า บริษัท A เนื่องจากมี sodium lauryl sulfate เป็น wetting agent")</f>
        <v/>
      </c>
      <c r="H57" s="2">
        <f>IFERROR(__xludf.DUMMYFUNCTION("""COMPUTED_VALUE"""),"ยาของบริษัท A และ B ละลายน้ำได้เท่ากันเนื่องจากยา allopurinol มีคุณสมบัติละลายน้ำได้น้อยอยู่แล้ว")</f>
        <v/>
      </c>
      <c r="I57" s="2">
        <f>IFERROR(__xludf.DUMMYFUNCTION("""COMPUTED_VALUE"""),"1")</f>
        <v/>
      </c>
      <c r="J57" s="2">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2" t="n"/>
      <c r="L57" s="2">
        <f>IFERROR(__xludf.DUMMYFUNCTION("""COMPUTED_VALUE"""),"Tablet Manufacturing")</f>
        <v/>
      </c>
      <c r="M57" s="2">
        <f>IFERROR(__xludf.DUMMYFUNCTION("""COMPUTED_VALUE"""),"Product")</f>
        <v/>
      </c>
      <c r="N57" s="2">
        <f>IFERROR(__xludf.DUMMYFUNCTION("""COMPUTED_VALUE"""),"ข้อ 181 Pharma Plus เล่มม่วง (เฉลยข้อ )")</f>
        <v/>
      </c>
      <c r="O57" s="2">
        <f>IFERROR(__xludf.DUMMYFUNCTION("""COMPUTED_VALUE"""),"Mock")</f>
        <v/>
      </c>
      <c r="P57" s="2">
        <f>IFERROR(__xludf.DUMMYFUNCTION("""COMPUTED_VALUE"""),"Pharma Plus เล่มม่วง")</f>
        <v/>
      </c>
    </row>
    <row r="58" ht="13.2" customHeight="1" s="49">
      <c r="A58" s="2">
        <f>IFERROR(__xludf.DUMMYFUNCTION("""COMPUTED_VALUE"""),"182")</f>
        <v/>
      </c>
      <c r="B58" s="2">
        <f>IFERROR(__xludf.DUMMYFUNCTION("""COMPUTED_VALUE"""),"ยาเม็ดคุมกำเนิด ไม่ต้องทำการทดสอบตัวข้อใด (ตามมาตรฐานของ USP)")</f>
        <v/>
      </c>
      <c r="C58" s="2" t="n"/>
      <c r="D58" s="2">
        <f>IFERROR(__xludf.DUMMYFUNCTION("""COMPUTED_VALUE"""),"Dissolution")</f>
        <v/>
      </c>
      <c r="E58" s="2">
        <f>IFERROR(__xludf.DUMMYFUNCTION("""COMPUTED_VALUE"""),"Hardness")</f>
        <v/>
      </c>
      <c r="F58" s="2">
        <f>IFERROR(__xludf.DUMMYFUNCTION("""COMPUTED_VALUE"""),"Disintegration")</f>
        <v/>
      </c>
      <c r="G58" s="2">
        <f>IFERROR(__xludf.DUMMYFUNCTION("""COMPUTED_VALUE"""),"Content of Uniformity")</f>
        <v/>
      </c>
      <c r="H58" s="2">
        <f>IFERROR(__xludf.DUMMYFUNCTION("""COMPUTED_VALUE"""),"Percent labeled amount")</f>
        <v/>
      </c>
      <c r="I58" s="2">
        <f>IFERROR(__xludf.DUMMYFUNCTION("""COMPUTED_VALUE"""),"2")</f>
        <v/>
      </c>
      <c r="J58" s="2">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2" t="n"/>
      <c r="L58" s="2">
        <f>IFERROR(__xludf.DUMMYFUNCTION("""COMPUTED_VALUE"""),"Tablet Manufacturing")</f>
        <v/>
      </c>
      <c r="M58" s="2">
        <f>IFERROR(__xludf.DUMMYFUNCTION("""COMPUTED_VALUE"""),"Product")</f>
        <v/>
      </c>
      <c r="N58" s="2">
        <f>IFERROR(__xludf.DUMMYFUNCTION("""COMPUTED_VALUE"""),"ข้อ 182 Pharma Plus เล่มม่วง (เฉลยข้อ ข)")</f>
        <v/>
      </c>
      <c r="O58" s="2">
        <f>IFERROR(__xludf.DUMMYFUNCTION("""COMPUTED_VALUE"""),"Mock")</f>
        <v/>
      </c>
      <c r="P58" s="2">
        <f>IFERROR(__xludf.DUMMYFUNCTION("""COMPUTED_VALUE"""),"Pharma Plus เล่มม่วง")</f>
        <v/>
      </c>
    </row>
    <row r="59" ht="13.2" customHeight="1" s="49">
      <c r="A59" s="2">
        <f>IFERROR(__xludf.DUMMYFUNCTION("""COMPUTED_VALUE"""),"183")</f>
        <v/>
      </c>
      <c r="B59" s="2">
        <f>IFERROR(__xludf.DUMMYFUNCTION("""COMPUTED_VALUE"""),"ข้อใดผิดเกี่ยวกับการเตรียมยาเม็ดด้วยวิธีตอกอัดโดยตรง")</f>
        <v/>
      </c>
      <c r="C59" s="2" t="n"/>
      <c r="D59" s="2">
        <f>IFERROR(__xludf.DUMMYFUNCTION("""COMPUTED_VALUE"""),"เป็นวิธีที่สะดวกรวดเร็ว")</f>
        <v/>
      </c>
      <c r="E59" s="2">
        <f>IFERROR(__xludf.DUMMYFUNCTION("""COMPUTED_VALUE"""),"ไม่ใช้น้ำและความร้อนในการตอก")</f>
        <v/>
      </c>
      <c r="F59" s="2">
        <f>IFERROR(__xludf.DUMMYFUNCTION("""COMPUTED_VALUE"""),"ยาเม็ดที่ได้มีการกระจายของสีที่สม่ำเสมอกว่าการทำแกรนูลเปียก")</f>
        <v/>
      </c>
      <c r="G59" s="2">
        <f>IFERROR(__xludf.DUMMYFUNCTION("""COMPUTED_VALUE"""),"ยาที่ตอกควรมีคุณสมบัติในการไหลและยึดเกาะกันได้ดี")</f>
        <v/>
      </c>
      <c r="H59" s="2">
        <f>IFERROR(__xludf.DUMMYFUNCTION("""COMPUTED_VALUE"""),"สารช่วยควรไหลได้ดีและตอกอัดได้")</f>
        <v/>
      </c>
      <c r="I59" s="2">
        <f>IFERROR(__xludf.DUMMYFUNCTION("""COMPUTED_VALUE"""),"3")</f>
        <v/>
      </c>
      <c r="J59" s="2">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2" t="n"/>
      <c r="L59" s="2">
        <f>IFERROR(__xludf.DUMMYFUNCTION("""COMPUTED_VALUE"""),"Tablet Manufacturing")</f>
        <v/>
      </c>
      <c r="M59" s="2">
        <f>IFERROR(__xludf.DUMMYFUNCTION("""COMPUTED_VALUE"""),"Product")</f>
        <v/>
      </c>
      <c r="N59" s="2">
        <f>IFERROR(__xludf.DUMMYFUNCTION("""COMPUTED_VALUE"""),"ข้อ 183 Pharma Plus เล่มม่วง (เฉลยข้อ ค)")</f>
        <v/>
      </c>
      <c r="O59" s="2">
        <f>IFERROR(__xludf.DUMMYFUNCTION("""COMPUTED_VALUE"""),"Mock")</f>
        <v/>
      </c>
      <c r="P59" s="2">
        <f>IFERROR(__xludf.DUMMYFUNCTION("""COMPUTED_VALUE"""),"Pharma Plus เล่มม่วง")</f>
        <v/>
      </c>
    </row>
    <row r="60" ht="13.2" customHeight="1" s="49">
      <c r="A60" s="2">
        <f>IFERROR(__xludf.DUMMYFUNCTION("""COMPUTED_VALUE"""),"184")</f>
        <v/>
      </c>
      <c r="B60" s="2">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2" t="n"/>
      <c r="D60" s="2">
        <f>IFERROR(__xludf.DUMMYFUNCTION("""COMPUTED_VALUE"""),"Cosolvency")</f>
        <v/>
      </c>
      <c r="E60" s="2">
        <f>IFERROR(__xludf.DUMMYFUNCTION("""COMPUTED_VALUE"""),"Complexation")</f>
        <v/>
      </c>
      <c r="F60" s="2">
        <f>IFERROR(__xludf.DUMMYFUNCTION("""COMPUTED_VALUE"""),"Micelle")</f>
        <v/>
      </c>
      <c r="G60" s="2">
        <f>IFERROR(__xludf.DUMMYFUNCTION("""COMPUTED_VALUE"""),"Liposome")</f>
        <v/>
      </c>
      <c r="H60" s="2">
        <f>IFERROR(__xludf.DUMMYFUNCTION("""COMPUTED_VALUE"""),"Crystallization")</f>
        <v/>
      </c>
      <c r="I60" s="2">
        <f>IFERROR(__xludf.DUMMYFUNCTION("""COMPUTED_VALUE"""),"1")</f>
        <v/>
      </c>
      <c r="J60"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2" t="n"/>
      <c r="L60" s="2">
        <f>IFERROR(__xludf.DUMMYFUNCTION("""COMPUTED_VALUE"""),"Tablet Manufacturing")</f>
        <v/>
      </c>
      <c r="M60" s="2">
        <f>IFERROR(__xludf.DUMMYFUNCTION("""COMPUTED_VALUE"""),"Product")</f>
        <v/>
      </c>
      <c r="N60" s="2">
        <f>IFERROR(__xludf.DUMMYFUNCTION("""COMPUTED_VALUE"""),"ข้อ 184 Pharma Plus เล่มม่วง (เฉลยข้อ ก)")</f>
        <v/>
      </c>
      <c r="O60" s="2">
        <f>IFERROR(__xludf.DUMMYFUNCTION("""COMPUTED_VALUE"""),"Mock")</f>
        <v/>
      </c>
      <c r="P60" s="2">
        <f>IFERROR(__xludf.DUMMYFUNCTION("""COMPUTED_VALUE"""),"Pharma Plus เล่มม่วง")</f>
        <v/>
      </c>
    </row>
    <row r="61" ht="13.2" customHeight="1" s="49">
      <c r="A61" s="2">
        <f>IFERROR(__xludf.DUMMYFUNCTION("""COMPUTED_VALUE"""),"185")</f>
        <v/>
      </c>
      <c r="B61" s="2">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2" t="n"/>
      <c r="D61" s="2">
        <f>IFERROR(__xludf.DUMMYFUNCTION("""COMPUTED_VALUE"""),"Cosolvency")</f>
        <v/>
      </c>
      <c r="E61" s="2">
        <f>IFERROR(__xludf.DUMMYFUNCTION("""COMPUTED_VALUE"""),"pH adjustment")</f>
        <v/>
      </c>
      <c r="F61" s="2">
        <f>IFERROR(__xludf.DUMMYFUNCTION("""COMPUTED_VALUE"""),"Complexation")</f>
        <v/>
      </c>
      <c r="G61" s="2">
        <f>IFERROR(__xludf.DUMMYFUNCTION("""COMPUTED_VALUE"""),"Prodrug formation")</f>
        <v/>
      </c>
      <c r="H61" s="2">
        <f>IFERROR(__xludf.DUMMYFUNCTION("""COMPUTED_VALUE"""),"Micelle solubilization")</f>
        <v/>
      </c>
      <c r="I61" s="2">
        <f>IFERROR(__xludf.DUMMYFUNCTION("""COMPUTED_VALUE"""),"1")</f>
        <v/>
      </c>
      <c r="J61" s="2">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2" t="n"/>
      <c r="L61" s="2">
        <f>IFERROR(__xludf.DUMMYFUNCTION("""COMPUTED_VALUE"""),"Tablet Manufacturing")</f>
        <v/>
      </c>
      <c r="M61" s="2">
        <f>IFERROR(__xludf.DUMMYFUNCTION("""COMPUTED_VALUE"""),"Product")</f>
        <v/>
      </c>
      <c r="N61" s="2">
        <f>IFERROR(__xludf.DUMMYFUNCTION("""COMPUTED_VALUE"""),"ข้อ 185 Pharma Plus เล่มม่วง (เฉลยข้อ ก)")</f>
        <v/>
      </c>
      <c r="O61" s="2">
        <f>IFERROR(__xludf.DUMMYFUNCTION("""COMPUTED_VALUE"""),"Mock")</f>
        <v/>
      </c>
      <c r="P61" s="2">
        <f>IFERROR(__xludf.DUMMYFUNCTION("""COMPUTED_VALUE"""),"Pharma Plus เล่มม่วง")</f>
        <v/>
      </c>
    </row>
    <row r="62" ht="13.2" customHeight="1" s="49">
      <c r="A62" s="2">
        <f>IFERROR(__xludf.DUMMYFUNCTION("""COMPUTED_VALUE"""),"186")</f>
        <v/>
      </c>
      <c r="B62" s="2">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2" t="n"/>
      <c r="D62" s="2">
        <f>IFERROR(__xludf.DUMMYFUNCTION("""COMPUTED_VALUE"""),"Caking")</f>
        <v/>
      </c>
      <c r="E62" s="2">
        <f>IFERROR(__xludf.DUMMYFUNCTION("""COMPUTED_VALUE"""),"Cracking")</f>
        <v/>
      </c>
      <c r="F62" s="2">
        <f>IFERROR(__xludf.DUMMYFUNCTION("""COMPUTED_VALUE"""),"Bleeding")</f>
        <v/>
      </c>
      <c r="G62" s="2">
        <f>IFERROR(__xludf.DUMMYFUNCTION("""COMPUTED_VALUE"""),"Creaming")</f>
        <v/>
      </c>
      <c r="H62" s="2">
        <f>IFERROR(__xludf.DUMMYFUNCTION("""COMPUTED_VALUE"""),"Phase inversion")</f>
        <v/>
      </c>
      <c r="I62" s="2">
        <f>IFERROR(__xludf.DUMMYFUNCTION("""COMPUTED_VALUE"""),"2")</f>
        <v/>
      </c>
      <c r="J62" s="2">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2" t="n"/>
      <c r="L62" s="2">
        <f>IFERROR(__xludf.DUMMYFUNCTION("""COMPUTED_VALUE"""),"Tablet Manufacturing")</f>
        <v/>
      </c>
      <c r="M62" s="2">
        <f>IFERROR(__xludf.DUMMYFUNCTION("""COMPUTED_VALUE"""),"Product")</f>
        <v/>
      </c>
      <c r="N62" s="2">
        <f>IFERROR(__xludf.DUMMYFUNCTION("""COMPUTED_VALUE"""),"ข้อ 186 Pharma Plus เล่มม่วง (เฉลยข้อ ข)")</f>
        <v/>
      </c>
      <c r="O62" s="2">
        <f>IFERROR(__xludf.DUMMYFUNCTION("""COMPUTED_VALUE"""),"Mock")</f>
        <v/>
      </c>
      <c r="P62" s="2">
        <f>IFERROR(__xludf.DUMMYFUNCTION("""COMPUTED_VALUE"""),"Pharma Plus เล่มม่วง")</f>
        <v/>
      </c>
    </row>
    <row r="63" ht="13.2" customHeight="1" s="49">
      <c r="A63" s="2">
        <f>IFERROR(__xludf.DUMMYFUNCTION("""COMPUTED_VALUE"""),"187")</f>
        <v/>
      </c>
      <c r="B63" s="2">
        <f>IFERROR(__xludf.DUMMYFUNCTION("""COMPUTED_VALUE"""),"มีสูตรตำรับโลชั่นพริก เกิดแยกตัว เขย่าไม่กลับคืนเกิดจากสาเหตุใดได้")</f>
        <v/>
      </c>
      <c r="C63" s="2" t="n"/>
      <c r="D63" s="2">
        <f>IFERROR(__xludf.DUMMYFUNCTION("""COMPUTED_VALUE"""),"เฟสน้ำมันมีมากไป")</f>
        <v/>
      </c>
      <c r="E63" s="2">
        <f>IFERROR(__xludf.DUMMYFUNCTION("""COMPUTED_VALUE"""),"สัดส่วนระหว่างวัดภาคน้ำและน้ำมันต่างกันมาก")</f>
        <v/>
      </c>
      <c r="F63" s="2">
        <f>IFERROR(__xludf.DUMMYFUNCTION("""COMPUTED_VALUE"""),"ไม่มี emulsifier")</f>
        <v/>
      </c>
      <c r="G63" s="2">
        <f>IFERROR(__xludf.DUMMYFUNCTION("""COMPUTED_VALUE"""),"Emulsifier ไม่เพียงพอ")</f>
        <v/>
      </c>
      <c r="H63" s="2">
        <f>IFERROR(__xludf.DUMMYFUNCTION("""COMPUTED_VALUE"""),"ความหนาแน่นเฟสน้ำกับน้ำมันมีความแตกต่างกันมาก")</f>
        <v/>
      </c>
      <c r="I63" s="2">
        <f>IFERROR(__xludf.DUMMYFUNCTION("""COMPUTED_VALUE"""),"4")</f>
        <v/>
      </c>
      <c r="J63" s="2">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2" t="n"/>
      <c r="L63" s="2">
        <f>IFERROR(__xludf.DUMMYFUNCTION("""COMPUTED_VALUE"""),"Tablet Manufacturing")</f>
        <v/>
      </c>
      <c r="M63" s="2">
        <f>IFERROR(__xludf.DUMMYFUNCTION("""COMPUTED_VALUE"""),"Product")</f>
        <v/>
      </c>
      <c r="N63" s="2">
        <f>IFERROR(__xludf.DUMMYFUNCTION("""COMPUTED_VALUE"""),"ข้อ 187 Pharma Plus เล่มม่วง (เฉลยข้อ ง)")</f>
        <v/>
      </c>
      <c r="O63" s="2">
        <f>IFERROR(__xludf.DUMMYFUNCTION("""COMPUTED_VALUE"""),"Mock")</f>
        <v/>
      </c>
      <c r="P63" s="2">
        <f>IFERROR(__xludf.DUMMYFUNCTION("""COMPUTED_VALUE"""),"Pharma Plus เล่มม่วง")</f>
        <v/>
      </c>
    </row>
    <row r="64" ht="13.2" customHeight="1" s="49">
      <c r="A64" s="2">
        <f>IFERROR(__xludf.DUMMYFUNCTION("""COMPUTED_VALUE"""),"188")</f>
        <v/>
      </c>
      <c r="B64" s="2">
        <f>IFERROR(__xludf.DUMMYFUNCTION("""COMPUTED_VALUE"""),"ถ้าจะเตรียมยาเพื่อให้ไม่ผ่านกระบวนการ metabolite ที่ตับ เราควรจะเตรียมในรูปแบบใด")</f>
        <v/>
      </c>
      <c r="C64" s="2" t="n"/>
      <c r="D64" s="2">
        <f>IFERROR(__xludf.DUMMYFUNCTION("""COMPUTED_VALUE"""),"Film coated tablets")</f>
        <v/>
      </c>
      <c r="E64" s="2">
        <f>IFERROR(__xludf.DUMMYFUNCTION("""COMPUTED_VALUE"""),"Enteric coated tablets")</f>
        <v/>
      </c>
      <c r="F64" s="2">
        <f>IFERROR(__xludf.DUMMYFUNCTION("""COMPUTED_VALUE"""),"Osmotic pump tablets")</f>
        <v/>
      </c>
      <c r="G64" s="2">
        <f>IFERROR(__xludf.DUMMYFUNCTION("""COMPUTED_VALUE"""),"Matrix tablets")</f>
        <v/>
      </c>
      <c r="H64" s="2">
        <f>IFERROR(__xludf.DUMMYFUNCTION("""COMPUTED_VALUE"""),"Rectal suppositories")</f>
        <v/>
      </c>
      <c r="I64" s="2">
        <f>IFERROR(__xludf.DUMMYFUNCTION("""COMPUTED_VALUE"""),"4")</f>
        <v/>
      </c>
      <c r="J64" s="2">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2" t="n"/>
      <c r="L64" s="2">
        <f>IFERROR(__xludf.DUMMYFUNCTION("""COMPUTED_VALUE"""),"Tablet Manufacturing")</f>
        <v/>
      </c>
      <c r="M64" s="2">
        <f>IFERROR(__xludf.DUMMYFUNCTION("""COMPUTED_VALUE"""),"Product")</f>
        <v/>
      </c>
      <c r="N64" s="2">
        <f>IFERROR(__xludf.DUMMYFUNCTION("""COMPUTED_VALUE"""),"ข้อ 188 Pharma Plus เล่มม่วง (เฉลยข้อ ง)")</f>
        <v/>
      </c>
      <c r="O64" s="2">
        <f>IFERROR(__xludf.DUMMYFUNCTION("""COMPUTED_VALUE"""),"Mock")</f>
        <v/>
      </c>
      <c r="P64" s="2">
        <f>IFERROR(__xludf.DUMMYFUNCTION("""COMPUTED_VALUE"""),"Pharma Plus เล่มม่วง")</f>
        <v/>
      </c>
    </row>
    <row r="65" ht="13.2" customHeight="1" s="49">
      <c r="A65" s="2">
        <f>IFERROR(__xludf.DUMMYFUNCTION("""COMPUTED_VALUE"""),"189")</f>
        <v/>
      </c>
      <c r="B65" s="2">
        <f>IFERROR(__xludf.DUMMYFUNCTION("""COMPUTED_VALUE"""),"ระบบควบคุมการปลดปล่อยยาแบบใดสามารถหักแบ่งครึ่งเม็ดได้")</f>
        <v/>
      </c>
      <c r="C65" s="2" t="n"/>
      <c r="D65" s="2">
        <f>IFERROR(__xludf.DUMMYFUNCTION("""COMPUTED_VALUE"""),"Enteric coated")</f>
        <v/>
      </c>
      <c r="E65" s="2">
        <f>IFERROR(__xludf.DUMMYFUNCTION("""COMPUTED_VALUE"""),"Reservoir")</f>
        <v/>
      </c>
      <c r="F65" s="2">
        <f>IFERROR(__xludf.DUMMYFUNCTION("""COMPUTED_VALUE"""),"Osmotic control")</f>
        <v/>
      </c>
      <c r="G65" s="2">
        <f>IFERROR(__xludf.DUMMYFUNCTION("""COMPUTED_VALUE"""),"Matrix control")</f>
        <v/>
      </c>
      <c r="H65" s="2">
        <f>IFERROR(__xludf.DUMMYFUNCTION("""COMPUTED_VALUE"""),"Film diffuse control")</f>
        <v/>
      </c>
      <c r="I65" s="2">
        <f>IFERROR(__xludf.DUMMYFUNCTION("""COMPUTED_VALUE"""),"5")</f>
        <v/>
      </c>
      <c r="J65" s="2">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2" t="n"/>
      <c r="L65" s="2">
        <f>IFERROR(__xludf.DUMMYFUNCTION("""COMPUTED_VALUE"""),"Tablet Manufacturing")</f>
        <v/>
      </c>
      <c r="M65" s="2">
        <f>IFERROR(__xludf.DUMMYFUNCTION("""COMPUTED_VALUE"""),"Product")</f>
        <v/>
      </c>
      <c r="N65" s="2">
        <f>IFERROR(__xludf.DUMMYFUNCTION("""COMPUTED_VALUE"""),"ข้อ 189 Pharma Plus เล่มม่วง (เฉลยข้อ จ)")</f>
        <v/>
      </c>
      <c r="O65" s="2">
        <f>IFERROR(__xludf.DUMMYFUNCTION("""COMPUTED_VALUE"""),"Mock")</f>
        <v/>
      </c>
      <c r="P65" s="2">
        <f>IFERROR(__xludf.DUMMYFUNCTION("""COMPUTED_VALUE"""),"Pharma Plus เล่มม่วง")</f>
        <v/>
      </c>
    </row>
    <row r="66" ht="13.2" customHeight="1" s="49">
      <c r="A66" s="2">
        <f>IFERROR(__xludf.DUMMYFUNCTION("""COMPUTED_VALUE"""),"190")</f>
        <v/>
      </c>
      <c r="B66" s="2">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2" t="n"/>
      <c r="D66" s="2">
        <f>IFERROR(__xludf.DUMMYFUNCTION("""COMPUTED_VALUE"""),"Titanium dioxide เป็น binder")</f>
        <v/>
      </c>
      <c r="E66" s="2">
        <f>IFERROR(__xludf.DUMMYFUNCTION("""COMPUTED_VALUE"""),"Microcrystalline cellulose เป็น filler")</f>
        <v/>
      </c>
      <c r="F66" s="2">
        <f>IFERROR(__xludf.DUMMYFUNCTION("""COMPUTED_VALUE"""),"Sodium starch glycolate เป็น superdisintegrant")</f>
        <v/>
      </c>
      <c r="G66" s="2">
        <f>IFERROR(__xludf.DUMMYFUNCTION("""COMPUTED_VALUE"""),"Magnesium stearate เป็น glidant")</f>
        <v/>
      </c>
      <c r="H66" s="2">
        <f>IFERROR(__xludf.DUMMYFUNCTION("""COMPUTED_VALUE"""),"Corn starch เป็น disintegrant")</f>
        <v/>
      </c>
      <c r="I66" s="2">
        <f>IFERROR(__xludf.DUMMYFUNCTION("""COMPUTED_VALUE"""),"5")</f>
        <v/>
      </c>
      <c r="J66" s="2">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2" t="n"/>
      <c r="L66" s="2">
        <f>IFERROR(__xludf.DUMMYFUNCTION("""COMPUTED_VALUE"""),"Powders &amp; Granules")</f>
        <v/>
      </c>
      <c r="M66" s="2">
        <f>IFERROR(__xludf.DUMMYFUNCTION("""COMPUTED_VALUE"""),"Product")</f>
        <v/>
      </c>
      <c r="N66" s="2">
        <f>IFERROR(__xludf.DUMMYFUNCTION("""COMPUTED_VALUE"""),"ข้อ 190 Pharma Plus เล่มม่วง (เฉลยข้อ จ)")</f>
        <v/>
      </c>
      <c r="O66" s="2">
        <f>IFERROR(__xludf.DUMMYFUNCTION("""COMPUTED_VALUE"""),"Mock")</f>
        <v/>
      </c>
      <c r="P66" s="2">
        <f>IFERROR(__xludf.DUMMYFUNCTION("""COMPUTED_VALUE"""),"Pharma Plus เล่มม่วง")</f>
        <v/>
      </c>
    </row>
    <row r="67" ht="13.2" customHeight="1" s="49">
      <c r="A67" s="2">
        <f>IFERROR(__xludf.DUMMYFUNCTION("""COMPUTED_VALUE"""),"191")</f>
        <v/>
      </c>
      <c r="B67" s="2">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2" t="n"/>
      <c r="D67" s="2">
        <f>IFERROR(__xludf.DUMMYFUNCTION("""COMPUTED_VALUE"""),"มีสารก่อเจล 2 ชนิด")</f>
        <v/>
      </c>
      <c r="E67" s="2">
        <f>IFERROR(__xludf.DUMMYFUNCTION("""COMPUTED_VALUE"""),"Carbopol ละลายในน้ำเดือด แล้วเติมน้ำเย็นละลายทันที")</f>
        <v/>
      </c>
      <c r="F67" s="2">
        <f>IFERROR(__xludf.DUMMYFUNCTION("""COMPUTED_VALUE"""),"Triclosan ช่วยให้เจลแข็งตัวจากการปรับ pH")</f>
        <v/>
      </c>
      <c r="G67" s="2">
        <f>IFERROR(__xludf.DUMMYFUNCTION("""COMPUTED_VALUE"""),"Triethanolamine เป็น preservative ของตำรับ")</f>
        <v/>
      </c>
      <c r="H67" s="2">
        <f>IFERROR(__xludf.DUMMYFUNCTION("""COMPUTED_VALUE"""),"Carbopol ละลายได้ดีใน alcohol")</f>
        <v/>
      </c>
      <c r="I67" s="2">
        <f>IFERROR(__xludf.DUMMYFUNCTION("""COMPUTED_VALUE"""),"4")</f>
        <v/>
      </c>
      <c r="J67" s="2">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2" t="n"/>
      <c r="L67" s="2">
        <f>IFERROR(__xludf.DUMMYFUNCTION("""COMPUTED_VALUE"""),"Tablet Manufacturing")</f>
        <v/>
      </c>
      <c r="M67" s="2">
        <f>IFERROR(__xludf.DUMMYFUNCTION("""COMPUTED_VALUE"""),"Product")</f>
        <v/>
      </c>
      <c r="N67" s="2">
        <f>IFERROR(__xludf.DUMMYFUNCTION("""COMPUTED_VALUE"""),"ข้อ 191 Pharma Plus เล่มม่วง (เฉลยข้อ ง)")</f>
        <v/>
      </c>
      <c r="O67" s="2">
        <f>IFERROR(__xludf.DUMMYFUNCTION("""COMPUTED_VALUE"""),"Mock")</f>
        <v/>
      </c>
      <c r="P67" s="2">
        <f>IFERROR(__xludf.DUMMYFUNCTION("""COMPUTED_VALUE"""),"Pharma Plus เล่มม่วง")</f>
        <v/>
      </c>
    </row>
    <row r="68" ht="13.2" customHeight="1" s="49">
      <c r="A68" s="2">
        <f>IFERROR(__xludf.DUMMYFUNCTION("""COMPUTED_VALUE"""),"192")</f>
        <v/>
      </c>
      <c r="B68" s="2">
        <f>IFERROR(__xludf.DUMMYFUNCTION("""COMPUTED_VALUE"""),"โจทย์ให้สูตรตำรับของ tetracycline capsule มา ได้แก่ lactose, magnesium stearate ... (โจทย์ไม่ครบ) ตำรับ tetracycline capsule
ข้อใดถูกต้อง")</f>
        <v/>
      </c>
      <c r="C68" s="2" t="n"/>
      <c r="D68" s="2">
        <f>IFERROR(__xludf.DUMMYFUNCTION("""COMPUTED_VALUE"""),"เหมาะจะเตรียมเป็น soft gelatin capsule")</f>
        <v/>
      </c>
      <c r="E68" s="2">
        <f>IFERROR(__xludf.DUMMYFUNCTION("""COMPUTED_VALUE"""),"Capsule เบอร์ 000 เล็กสุด เบอร์ 5 ใหญ่สุด")</f>
        <v/>
      </c>
      <c r="F68" s="2">
        <f>IFERROR(__xludf.DUMMYFUNCTION("""COMPUTED_VALUE"""),"Lactose เพิ่มความหวาน")</f>
        <v/>
      </c>
      <c r="G68" s="2">
        <f>IFERROR(__xludf.DUMMYFUNCTION("""COMPUTED_VALUE"""),"Magnesium stearate เพิ่มการแตกตัว")</f>
        <v/>
      </c>
      <c r="H68" s="2">
        <f>IFERROR(__xludf.DUMMYFUNCTION("""COMPUTED_VALUE"""),"Silicon dioxide เพิ่มการไหล")</f>
        <v/>
      </c>
      <c r="I68" s="2">
        <f>IFERROR(__xludf.DUMMYFUNCTION("""COMPUTED_VALUE"""),"1")</f>
        <v/>
      </c>
      <c r="J68" s="2">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2" t="n"/>
      <c r="L68" s="2">
        <f>IFERROR(__xludf.DUMMYFUNCTION("""COMPUTED_VALUE"""),"Hard &amp; Soft Gelatin Capsules")</f>
        <v/>
      </c>
      <c r="M68" s="2">
        <f>IFERROR(__xludf.DUMMYFUNCTION("""COMPUTED_VALUE"""),"Product")</f>
        <v/>
      </c>
      <c r="N68" s="2">
        <f>IFERROR(__xludf.DUMMYFUNCTION("""COMPUTED_VALUE"""),"ข้อ 192 Pharma Plus เล่มม่วง (เฉลยข้อ ก)")</f>
        <v/>
      </c>
      <c r="O68" s="2">
        <f>IFERROR(__xludf.DUMMYFUNCTION("""COMPUTED_VALUE"""),"Mock")</f>
        <v/>
      </c>
      <c r="P68" s="2">
        <f>IFERROR(__xludf.DUMMYFUNCTION("""COMPUTED_VALUE"""),"Pharma Plus เล่มม่วง")</f>
        <v/>
      </c>
    </row>
    <row r="69" ht="13.2" customHeight="1" s="49">
      <c r="A69" s="2">
        <f>IFERROR(__xludf.DUMMYFUNCTION("""COMPUTED_VALUE"""),"193")</f>
        <v/>
      </c>
      <c r="B69" s="2">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2" t="n"/>
      <c r="D69" s="2">
        <f>IFERROR(__xludf.DUMMYFUNCTION("""COMPUTED_VALUE"""),"Hydroxypropyl methyl cellulose")</f>
        <v/>
      </c>
      <c r="E69" s="2">
        <f>IFERROR(__xludf.DUMMYFUNCTION("""COMPUTED_VALUE"""),"Magnesium stearate")</f>
        <v/>
      </c>
      <c r="F69" s="2">
        <f>IFERROR(__xludf.DUMMYFUNCTION("""COMPUTED_VALUE"""),"Microcrystalline cellulose")</f>
        <v/>
      </c>
      <c r="G69" s="2">
        <f>IFERROR(__xludf.DUMMYFUNCTION("""COMPUTED_VALUE"""),"Colloidal silica")</f>
        <v/>
      </c>
      <c r="H69" s="2">
        <f>IFERROR(__xludf.DUMMYFUNCTION("""COMPUTED_VALUE"""),"Pre-gelatinized starch")</f>
        <v/>
      </c>
      <c r="I69" s="2">
        <f>IFERROR(__xludf.DUMMYFUNCTION("""COMPUTED_VALUE"""),"5")</f>
        <v/>
      </c>
      <c r="J69" s="2">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2" t="n"/>
      <c r="L69" s="2">
        <f>IFERROR(__xludf.DUMMYFUNCTION("""COMPUTED_VALUE"""),"Tablet Manufacturing")</f>
        <v/>
      </c>
      <c r="M69" s="2">
        <f>IFERROR(__xludf.DUMMYFUNCTION("""COMPUTED_VALUE"""),"Product")</f>
        <v/>
      </c>
      <c r="N69" s="2">
        <f>IFERROR(__xludf.DUMMYFUNCTION("""COMPUTED_VALUE"""),"ข้อ 193 Pharma Plus เล่มม่วง (เฉลยข้อ จ)")</f>
        <v/>
      </c>
      <c r="O69" s="2">
        <f>IFERROR(__xludf.DUMMYFUNCTION("""COMPUTED_VALUE"""),"Mock")</f>
        <v/>
      </c>
      <c r="P69" s="2">
        <f>IFERROR(__xludf.DUMMYFUNCTION("""COMPUTED_VALUE"""),"Pharma Plus เล่มม่วง")</f>
        <v/>
      </c>
    </row>
    <row r="70" ht="13.2" customHeight="1" s="49">
      <c r="A70" s="2">
        <f>IFERROR(__xludf.DUMMYFUNCTION("""COMPUTED_VALUE"""),"194")</f>
        <v/>
      </c>
      <c r="B70" s="2">
        <f>IFERROR(__xludf.DUMMYFUNCTION("""COMPUTED_VALUE"""),"ในการพิสูจน์ Bioequivalence ระหว่างยา 2 ตัว จะต้องคำนึงถึง parameter ใดบ้าง
ข้อใดต่อไปนี้ถูกต้อง")</f>
        <v/>
      </c>
      <c r="C70" s="2" t="n"/>
      <c r="D70" s="2">
        <f>IFERROR(__xludf.DUMMYFUNCTION("""COMPUTED_VALUE"""),"AUC0-inf และ Tmax")</f>
        <v/>
      </c>
      <c r="E70" s="2">
        <f>IFERROR(__xludf.DUMMYFUNCTION("""COMPUTED_VALUE"""),"AUC0-inf และ Cmax")</f>
        <v/>
      </c>
      <c r="F70" s="2">
        <f>IFERROR(__xludf.DUMMYFUNCTION("""COMPUTED_VALUE"""),"AUC0-inf และ Elimination half life")</f>
        <v/>
      </c>
      <c r="G70" s="2">
        <f>IFERROR(__xludf.DUMMYFUNCTION("""COMPUTED_VALUE"""),"Cmax และ Elimination half life")</f>
        <v/>
      </c>
      <c r="H70" s="2">
        <f>IFERROR(__xludf.DUMMYFUNCTION("""COMPUTED_VALUE"""),"Tmax และ Elimination half life")</f>
        <v/>
      </c>
      <c r="I70" s="2">
        <f>IFERROR(__xludf.DUMMYFUNCTION("""COMPUTED_VALUE"""),"5")</f>
        <v/>
      </c>
      <c r="J70" s="2">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2" t="n"/>
      <c r="L70" s="2">
        <f>IFERROR(__xludf.DUMMYFUNCTION("""COMPUTED_VALUE"""),"Tablet Manufacturing")</f>
        <v/>
      </c>
      <c r="M70" s="2">
        <f>IFERROR(__xludf.DUMMYFUNCTION("""COMPUTED_VALUE"""),"Product")</f>
        <v/>
      </c>
      <c r="N70" s="2">
        <f>IFERROR(__xludf.DUMMYFUNCTION("""COMPUTED_VALUE"""),"ข้อ 194 Pharma Plus เล่มม่วง (เฉลยข้อ จ)")</f>
        <v/>
      </c>
      <c r="O70" s="2">
        <f>IFERROR(__xludf.DUMMYFUNCTION("""COMPUTED_VALUE"""),"Mock")</f>
        <v/>
      </c>
      <c r="P70" s="2">
        <f>IFERROR(__xludf.DUMMYFUNCTION("""COMPUTED_VALUE"""),"Pharma Plus เล่มม่วง")</f>
        <v/>
      </c>
    </row>
    <row r="71" ht="13.2" customHeight="1" s="49">
      <c r="A71" s="2">
        <f>IFERROR(__xludf.DUMMYFUNCTION("""COMPUTED_VALUE"""),"1")</f>
        <v/>
      </c>
      <c r="B71" s="2">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2" t="n"/>
      <c r="D71" s="2">
        <f>IFERROR(__xludf.DUMMYFUNCTION("""COMPUTED_VALUE"""),"Methyl cyanide")</f>
        <v/>
      </c>
      <c r="E71" s="2">
        <f>IFERROR(__xludf.DUMMYFUNCTION("""COMPUTED_VALUE"""),"Nitro")</f>
        <v/>
      </c>
      <c r="F71" s="2">
        <f>IFERROR(__xludf.DUMMYFUNCTION("""COMPUTED_VALUE"""),"Thio")</f>
        <v/>
      </c>
      <c r="G71" s="2">
        <f>IFERROR(__xludf.DUMMYFUNCTION("""COMPUTED_VALUE"""),"Furan")</f>
        <v/>
      </c>
      <c r="H71" s="2">
        <f>IFERROR(__xludf.DUMMYFUNCTION("""COMPUTED_VALUE"""),"Amine")</f>
        <v/>
      </c>
      <c r="I71" s="2">
        <f>IFERROR(__xludf.DUMMYFUNCTION("""COMPUTED_VALUE"""),"4")</f>
        <v/>
      </c>
      <c r="J71" s="2">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2" t="n"/>
      <c r="L71" s="2">
        <f>IFERROR(__xludf.DUMMYFUNCTION("""COMPUTED_VALUE"""),"SAR &amp; Drug Design")</f>
        <v/>
      </c>
      <c r="M71" s="2">
        <f>IFERROR(__xludf.DUMMYFUNCTION("""COMPUTED_VALUE"""),"Product")</f>
        <v/>
      </c>
      <c r="N71" s="2">
        <f>IFERROR(__xludf.DUMMYFUNCTION("""COMPUTED_VALUE"""),"ข้อ 1 Pharma Plus เล่มม่วง (เฉลยข้อ ง)")</f>
        <v/>
      </c>
      <c r="O71" s="2">
        <f>IFERROR(__xludf.DUMMYFUNCTION("""COMPUTED_VALUE"""),"Mock")</f>
        <v/>
      </c>
      <c r="P71" s="2">
        <f>IFERROR(__xludf.DUMMYFUNCTION("""COMPUTED_VALUE"""),"Pharma Plus เล่มม่วง")</f>
        <v/>
      </c>
    </row>
    <row r="72" ht="13.2" customHeight="1" s="49">
      <c r="A72" s="2">
        <f>IFERROR(__xludf.DUMMYFUNCTION("""COMPUTED_VALUE"""),"2")</f>
        <v/>
      </c>
      <c r="B72" s="2">
        <f>IFERROR(__xludf.DUMMYFUNCTION("""COMPUTED_VALUE"""),"จากสูตรโครงสร้างของ praziquantel ตำแหน่งนี้เรียกว่า และมีคุณสมบัติอย่างไร")</f>
        <v/>
      </c>
      <c r="C72" s="2" t="n"/>
      <c r="D72" s="2">
        <f>IFERROR(__xludf.DUMMYFUNCTION("""COMPUTED_VALUE"""),"Quinoline, base")</f>
        <v/>
      </c>
      <c r="E72" s="2">
        <f>IFERROR(__xludf.DUMMYFUNCTION("""COMPUTED_VALUE"""),"Isoquinoline, base")</f>
        <v/>
      </c>
      <c r="F72" s="2">
        <f>IFERROR(__xludf.DUMMYFUNCTION("""COMPUTED_VALUE"""),"Guanine, acid")</f>
        <v/>
      </c>
      <c r="G72" s="2">
        <f>IFERROR(__xludf.DUMMYFUNCTION("""COMPUTED_VALUE"""),"Pyramidine, acid")</f>
        <v/>
      </c>
      <c r="H72" s="2">
        <f>IFERROR(__xludf.DUMMYFUNCTION("""COMPUTED_VALUE"""),"Nirobenzene, acid")</f>
        <v/>
      </c>
      <c r="I72" s="2">
        <f>IFERROR(__xludf.DUMMYFUNCTION("""COMPUTED_VALUE"""),"2")</f>
        <v/>
      </c>
      <c r="J72" s="2">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2" t="n"/>
      <c r="L72" s="2">
        <f>IFERROR(__xludf.DUMMYFUNCTION("""COMPUTED_VALUE"""),"SAR &amp; Drug Design")</f>
        <v/>
      </c>
      <c r="M72" s="2">
        <f>IFERROR(__xludf.DUMMYFUNCTION("""COMPUTED_VALUE"""),"Product")</f>
        <v/>
      </c>
      <c r="N72" s="2">
        <f>IFERROR(__xludf.DUMMYFUNCTION("""COMPUTED_VALUE"""),"ข้อ 2 Pharma Plus เล่มม่วง (เฉลยข้อ ข)")</f>
        <v/>
      </c>
      <c r="O72" s="2">
        <f>IFERROR(__xludf.DUMMYFUNCTION("""COMPUTED_VALUE"""),"Mock")</f>
        <v/>
      </c>
      <c r="P72" s="2">
        <f>IFERROR(__xludf.DUMMYFUNCTION("""COMPUTED_VALUE"""),"Pharma Plus เล่มม่วง")</f>
        <v/>
      </c>
    </row>
    <row r="73" ht="13.2" customHeight="1" s="49">
      <c r="A73" s="2">
        <f>IFERROR(__xludf.DUMMYFUNCTION("""COMPUTED_VALUE"""),"3")</f>
        <v/>
      </c>
      <c r="B73" s="2">
        <f>IFERROR(__xludf.DUMMYFUNCTION("""COMPUTED_VALUE"""),"จากสูตรโครงสร้างมีหมู่ carboxyl group กี่หมู่")</f>
        <v/>
      </c>
      <c r="C73" s="2" t="n"/>
      <c r="D73" s="2">
        <f>IFERROR(__xludf.DUMMYFUNCTION("""COMPUTED_VALUE"""),"Bioisosteric Replacement (Carboxylic acid → Tetrazole)")</f>
        <v/>
      </c>
      <c r="E73" s="2">
        <f>IFERROR(__xludf.DUMMYFUNCTION("""COMPUTED_VALUE"""),"Prodrug Design via Esterification for Oral Bioavailability")</f>
        <v/>
      </c>
      <c r="F73" s="2">
        <f>IFERROR(__xludf.DUMMYFUNCTION("""COMPUTED_VALUE"""),"Cytochrome P450 CYP3A4 Phase I Oxidation")</f>
        <v/>
      </c>
      <c r="G73" s="2">
        <f>IFERROR(__xludf.DUMMYFUNCTION("""COMPUTED_VALUE"""),"Phase II Glucuronidation Conjugation by UGT")</f>
        <v/>
      </c>
      <c r="H73" s="2">
        <f>IFERROR(__xludf.DUMMYFUNCTION("""COMPUTED_VALUE"""),"Log P Lipophilicity Partition Coefficient optimization")</f>
        <v/>
      </c>
      <c r="I73" s="2">
        <f>IFERROR(__xludf.DUMMYFUNCTION("""COMPUTED_VALUE"""),"2")</f>
        <v/>
      </c>
      <c r="J73" s="2">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2" t="n"/>
      <c r="L73" s="2">
        <f>IFERROR(__xludf.DUMMYFUNCTION("""COMPUTED_VALUE"""),"SAR &amp; Drug Design")</f>
        <v/>
      </c>
      <c r="M73" s="2">
        <f>IFERROR(__xludf.DUMMYFUNCTION("""COMPUTED_VALUE"""),"Product")</f>
        <v/>
      </c>
      <c r="N73" s="2">
        <f>IFERROR(__xludf.DUMMYFUNCTION("""COMPUTED_VALUE"""),"ข้อ 3 Pharma Plus เล่มม่วง (เฉลยข้อ ข)")</f>
        <v/>
      </c>
      <c r="O73" s="2">
        <f>IFERROR(__xludf.DUMMYFUNCTION("""COMPUTED_VALUE"""),"Mock")</f>
        <v/>
      </c>
      <c r="P73" s="2">
        <f>IFERROR(__xludf.DUMMYFUNCTION("""COMPUTED_VALUE"""),"Pharma Plus เล่มม่วง")</f>
        <v/>
      </c>
    </row>
    <row r="74" ht="13.2" customHeight="1" s="49">
      <c r="A74" s="2">
        <f>IFERROR(__xludf.DUMMYFUNCTION("""COMPUTED_VALUE"""),"4")</f>
        <v/>
      </c>
      <c r="B74" s="2">
        <f>IFERROR(__xludf.DUMMYFUNCTION("""COMPUTED_VALUE"""),"จากโครงสร้าง Simvastatin และ Pravastatin ข้อใดถูกต้อง")</f>
        <v/>
      </c>
      <c r="C74" s="2" t="n"/>
      <c r="D74" s="2">
        <f>IFERROR(__xludf.DUMMYFUNCTION("""COMPUTED_VALUE"""),"Cholestyramine ลดการดูดซึมของยา simvastatin เพราะโครงสร้าง Simvastatin มี lactone ring")</f>
        <v/>
      </c>
      <c r="E74" s="2">
        <f>IFERROR(__xludf.DUMMYFUNCTION("""COMPUTED_VALUE"""),"Cholestyramine ลดการดูดซึมของยา pravastatin เพราะโครงสร้าง Pravastatin มี carboxylic acid")</f>
        <v/>
      </c>
      <c r="F74" s="2">
        <f>IFERROR(__xludf.DUMMYFUNCTION("""COMPUTED_VALUE"""),"Simvastatin ลดการดูดซึมของยา cholestyramine")</f>
        <v/>
      </c>
      <c r="G74" s="2">
        <f>IFERROR(__xludf.DUMMYFUNCTION("""COMPUTED_VALUE"""),"Cholestyramine ไม่มีผลต่อการดูดซึมของยา simvastatin และ pravastatin")</f>
        <v/>
      </c>
      <c r="H74" s="2">
        <f>IFERROR(__xludf.DUMMYFUNCTION("""COMPUTED_VALUE"""),"Cholestyramine เพิ่มการดูดซึมของยา simvastatin และ pravastatin")</f>
        <v/>
      </c>
      <c r="I74" s="2">
        <f>IFERROR(__xludf.DUMMYFUNCTION("""COMPUTED_VALUE"""),"2")</f>
        <v/>
      </c>
      <c r="J74" s="2">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2" t="n"/>
      <c r="L74" s="2">
        <f>IFERROR(__xludf.DUMMYFUNCTION("""COMPUTED_VALUE"""),"SAR &amp; Drug Design")</f>
        <v/>
      </c>
      <c r="M74" s="2">
        <f>IFERROR(__xludf.DUMMYFUNCTION("""COMPUTED_VALUE"""),"Product")</f>
        <v/>
      </c>
      <c r="N74" s="2">
        <f>IFERROR(__xludf.DUMMYFUNCTION("""COMPUTED_VALUE"""),"ข้อ 4 Pharma Plus เล่มม่วง (เฉลยข้อ ข)")</f>
        <v/>
      </c>
      <c r="O74" s="2">
        <f>IFERROR(__xludf.DUMMYFUNCTION("""COMPUTED_VALUE"""),"Mock")</f>
        <v/>
      </c>
      <c r="P74" s="2">
        <f>IFERROR(__xludf.DUMMYFUNCTION("""COMPUTED_VALUE"""),"Pharma Plus เล่มม่วง")</f>
        <v/>
      </c>
    </row>
    <row r="75" ht="13.2" customHeight="1" s="49">
      <c r="A75" s="2">
        <f>IFERROR(__xludf.DUMMYFUNCTION("""COMPUTED_VALUE"""),"5")</f>
        <v/>
      </c>
      <c r="B75" s="2">
        <f>IFERROR(__xludf.DUMMYFUNCTION("""COMPUTED_VALUE"""),"โครงสร้างที่แสดงข้อ 4 สัมพันธ์กับการออกฤทธิ์ของยาอย่างไร")</f>
        <v/>
      </c>
      <c r="C75" s="2" t="n"/>
      <c r="D75" s="2">
        <f>IFERROR(__xludf.DUMMYFUNCTION("""COMPUTED_VALUE"""),"Pravastatin เป็น prodrug")</f>
        <v/>
      </c>
      <c r="E75" s="2">
        <f>IFERROR(__xludf.DUMMYFUNCTION("""COMPUTED_VALUE"""),"Pravastatin และ simvastatin เป็น prodrug")</f>
        <v/>
      </c>
      <c r="F75" s="2">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2">
        <f>IFERROR(__xludf.DUMMYFUNCTION("""COMPUTED_VALUE"""),"Simvastatin มีโครงสร้างที่ออกฤทธิ์ คือ โครงสร้างที่เป็น lactone ring เปิด")</f>
        <v/>
      </c>
      <c r="H75" s="2">
        <f>IFERROR(__xludf.DUMMYFUNCTION("""COMPUTED_VALUE"""),"Pravastatin และ simvastatin ไม่เป็น prodrug")</f>
        <v/>
      </c>
      <c r="I75" s="2">
        <f>IFERROR(__xludf.DUMMYFUNCTION("""COMPUTED_VALUE"""),"4")</f>
        <v/>
      </c>
      <c r="J75" s="2">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2" t="n"/>
      <c r="L75" s="2">
        <f>IFERROR(__xludf.DUMMYFUNCTION("""COMPUTED_VALUE"""),"SAR &amp; Drug Design")</f>
        <v/>
      </c>
      <c r="M75" s="2">
        <f>IFERROR(__xludf.DUMMYFUNCTION("""COMPUTED_VALUE"""),"Product")</f>
        <v/>
      </c>
      <c r="N75" s="2">
        <f>IFERROR(__xludf.DUMMYFUNCTION("""COMPUTED_VALUE"""),"ข้อ 5 Pharma Plus เล่มม่วง (เฉลยข้อ ง)")</f>
        <v/>
      </c>
      <c r="O75" s="2">
        <f>IFERROR(__xludf.DUMMYFUNCTION("""COMPUTED_VALUE"""),"Mock")</f>
        <v/>
      </c>
      <c r="P75" s="2">
        <f>IFERROR(__xludf.DUMMYFUNCTION("""COMPUTED_VALUE"""),"Pharma Plus เล่มม่วง")</f>
        <v/>
      </c>
    </row>
    <row r="76" ht="13.2" customHeight="1" s="49">
      <c r="A76" s="2">
        <f>IFERROR(__xludf.DUMMYFUNCTION("""COMPUTED_VALUE"""),"6")</f>
        <v/>
      </c>
      <c r="B76" s="2">
        <f>IFERROR(__xludf.DUMMYFUNCTION("""COMPUTED_VALUE"""),"สูตรโครงสร้างของยาต่อไปนี้ข้อใดคือ Dexamethasone")</f>
        <v/>
      </c>
      <c r="C76" s="2" t="n"/>
      <c r="D76" s="2">
        <f>IFERROR(__xludf.DUMMYFUNCTION("""COMPUTED_VALUE"""),"โครงสร้างเตียรอยด์มีหมู่ -OH และ -F")</f>
        <v/>
      </c>
      <c r="E76" s="2">
        <f>IFERROR(__xludf.DUMMYFUNCTION("""COMPUTED_VALUE"""),"โครงสร้าง ACE inhibitor")</f>
        <v/>
      </c>
      <c r="F76" s="2">
        <f>IFERROR(__xludf.DUMMYFUNCTION("""COMPUTED_VALUE"""),"โครงสร้าง Chloramphenicol")</f>
        <v/>
      </c>
      <c r="G76" s="2">
        <f>IFERROR(__xludf.DUMMYFUNCTION("""COMPUTED_VALUE"""),"โครงสร้าง Sulfonamide")</f>
        <v/>
      </c>
      <c r="H76" s="2">
        <f>IFERROR(__xludf.DUMMYFUNCTION("""COMPUTED_VALUE"""),"โครงสร้าง Beta-lactam หรือโครงสร้างอื่น")</f>
        <v/>
      </c>
      <c r="I76" s="2">
        <f>IFERROR(__xludf.DUMMYFUNCTION("""COMPUTED_VALUE"""),"1")</f>
        <v/>
      </c>
      <c r="J76" s="2">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2" t="n"/>
      <c r="L76" s="2">
        <f>IFERROR(__xludf.DUMMYFUNCTION("""COMPUTED_VALUE"""),"SAR &amp; Drug Design")</f>
        <v/>
      </c>
      <c r="M76" s="2">
        <f>IFERROR(__xludf.DUMMYFUNCTION("""COMPUTED_VALUE"""),"Product")</f>
        <v/>
      </c>
      <c r="N76" s="2">
        <f>IFERROR(__xludf.DUMMYFUNCTION("""COMPUTED_VALUE"""),"ข้อ 6 Pharma Plus เล่มม่วง (เฉลยข้อ ก)")</f>
        <v/>
      </c>
      <c r="O76" s="2">
        <f>IFERROR(__xludf.DUMMYFUNCTION("""COMPUTED_VALUE"""),"Mock")</f>
        <v/>
      </c>
      <c r="P76" s="2">
        <f>IFERROR(__xludf.DUMMYFUNCTION("""COMPUTED_VALUE"""),"Pharma Plus เล่มม่วง")</f>
        <v/>
      </c>
    </row>
    <row r="77" ht="13.2" customHeight="1" s="49">
      <c r="A77" s="2">
        <f>IFERROR(__xludf.DUMMYFUNCTION("""COMPUTED_VALUE"""),"11")</f>
        <v/>
      </c>
      <c r="B77" s="2">
        <f>IFERROR(__xludf.DUMMYFUNCTION("""COMPUTED_VALUE"""),"จากโครงสร้างของ vitamin A ข้อใดต่อไปนี้ถูกต้องเกี่ยวกับ SAR")</f>
        <v/>
      </c>
      <c r="C77" s="2" t="n"/>
      <c r="D77" s="2">
        <f>IFERROR(__xludf.DUMMYFUNCTION("""COMPUTED_VALUE"""),"Conjugated double bond เพิ่มขึ้น ทำให้ activity ของ vitamin A ลดลง")</f>
        <v/>
      </c>
      <c r="E77" s="2">
        <f>IFERROR(__xludf.DUMMYFUNCTION("""COMPUTED_VALUE"""),"Conjugated double bond ลดลง ทำให้ activity ของ vitamin A เพิ่มขึ้น")</f>
        <v/>
      </c>
      <c r="F77" s="2">
        <f>IFERROR(__xludf.DUMMYFUNCTION("""COMPUTED_VALUE"""),"ถ้า b-ionone ring saturate จะทำให้ vitamin A หมดฤทธิ์")</f>
        <v/>
      </c>
      <c r="G77" s="2">
        <f>IFERROR(__xludf.DUMMYFUNCTION("""COMPUTED_VALUE"""),"ถ้า b-ionone ring saturate จะทำให้ vitamin A ฤทธิ์เพิ่มขึ้น")</f>
        <v/>
      </c>
      <c r="H77" s="2">
        <f>IFERROR(__xludf.DUMMYFUNCTION("""COMPUTED_VALUE"""),"ถ้าเปลี่ยนจาก -OH เป็น ether จะทำให้ vitamin A ฤทธิ์เพิ่มขึ้น")</f>
        <v/>
      </c>
      <c r="I77" s="2">
        <f>IFERROR(__xludf.DUMMYFUNCTION("""COMPUTED_VALUE"""),"3")</f>
        <v/>
      </c>
      <c r="J77" s="2">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2" t="n"/>
      <c r="L77" s="2">
        <f>IFERROR(__xludf.DUMMYFUNCTION("""COMPUTED_VALUE"""),"SAR &amp; Drug Design")</f>
        <v/>
      </c>
      <c r="M77" s="2">
        <f>IFERROR(__xludf.DUMMYFUNCTION("""COMPUTED_VALUE"""),"Product")</f>
        <v/>
      </c>
      <c r="N77" s="2">
        <f>IFERROR(__xludf.DUMMYFUNCTION("""COMPUTED_VALUE"""),"ข้อ 11 Pharma Plus เล่มม่วง (เฉลยข้อ ค)")</f>
        <v/>
      </c>
      <c r="O77" s="2">
        <f>IFERROR(__xludf.DUMMYFUNCTION("""COMPUTED_VALUE"""),"Mock")</f>
        <v/>
      </c>
      <c r="P77" s="2">
        <f>IFERROR(__xludf.DUMMYFUNCTION("""COMPUTED_VALUE"""),"Pharma Plus เล่มม่วง")</f>
        <v/>
      </c>
    </row>
    <row r="78" ht="13.2" customHeight="1" s="49">
      <c r="A78" s="2">
        <f>IFERROR(__xludf.DUMMYFUNCTION("""COMPUTED_VALUE"""),"12")</f>
        <v/>
      </c>
      <c r="B78" s="2">
        <f>IFERROR(__xludf.DUMMYFUNCTION("""COMPUTED_VALUE"""),"จากข้อ 11 ถ้าเปลี่ยนจากหมู่ OH เป็น COOH จะเป็นสารใดต่อไปนี้")</f>
        <v/>
      </c>
      <c r="C78" s="2" t="n"/>
      <c r="D78" s="2">
        <f>IFERROR(__xludf.DUMMYFUNCTION("""COMPUTED_VALUE"""),"Tretinoin")</f>
        <v/>
      </c>
      <c r="E78" s="2">
        <f>IFERROR(__xludf.DUMMYFUNCTION("""COMPUTED_VALUE"""),"Isotretinoin")</f>
        <v/>
      </c>
      <c r="F78" s="2">
        <f>IFERROR(__xludf.DUMMYFUNCTION("""COMPUTED_VALUE"""),"Adapalene")</f>
        <v/>
      </c>
      <c r="G78" s="2">
        <f>IFERROR(__xludf.DUMMYFUNCTION("""COMPUTED_VALUE"""),"Carotenoid")</f>
        <v/>
      </c>
      <c r="H78" s="2">
        <f>IFERROR(__xludf.DUMMYFUNCTION("""COMPUTED_VALUE"""),"Retinal")</f>
        <v/>
      </c>
      <c r="I78" s="2">
        <f>IFERROR(__xludf.DUMMYFUNCTION("""COMPUTED_VALUE"""),"1")</f>
        <v/>
      </c>
      <c r="J78" s="2">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2" t="n"/>
      <c r="L78" s="2">
        <f>IFERROR(__xludf.DUMMYFUNCTION("""COMPUTED_VALUE"""),"SAR &amp; Drug Design")</f>
        <v/>
      </c>
      <c r="M78" s="2">
        <f>IFERROR(__xludf.DUMMYFUNCTION("""COMPUTED_VALUE"""),"Product")</f>
        <v/>
      </c>
      <c r="N78" s="2">
        <f>IFERROR(__xludf.DUMMYFUNCTION("""COMPUTED_VALUE"""),"ข้อ 12 Pharma Plus เล่มม่วง (เฉลยข้อ ก)")</f>
        <v/>
      </c>
      <c r="O78" s="2">
        <f>IFERROR(__xludf.DUMMYFUNCTION("""COMPUTED_VALUE"""),"Mock")</f>
        <v/>
      </c>
      <c r="P78" s="2">
        <f>IFERROR(__xludf.DUMMYFUNCTION("""COMPUTED_VALUE"""),"Pharma Plus เล่มม่วง")</f>
        <v/>
      </c>
    </row>
    <row r="79" ht="13.2" customHeight="1" s="49">
      <c r="A79" s="2">
        <f>IFERROR(__xludf.DUMMYFUNCTION("""COMPUTED_VALUE"""),"13")</f>
        <v/>
      </c>
      <c r="B79" s="2">
        <f>IFERROR(__xludf.DUMMYFUNCTION("""COMPUTED_VALUE"""),"จากโครงสร้างของยา Gemcitabine เป็นอนุพันธ์ของอะไร")</f>
        <v/>
      </c>
      <c r="C79" s="2" t="n"/>
      <c r="D79" s="2">
        <f>IFERROR(__xludf.DUMMYFUNCTION("""COMPUTED_VALUE"""),"Acyclonucleoside analog")</f>
        <v/>
      </c>
      <c r="E79" s="2">
        <f>IFERROR(__xludf.DUMMYFUNCTION("""COMPUTED_VALUE"""),"Pyrimidine nucleoside analog")</f>
        <v/>
      </c>
      <c r="F79" s="2">
        <f>IFERROR(__xludf.DUMMYFUNCTION("""COMPUTED_VALUE"""),"Pyrimidine nucleotide analog")</f>
        <v/>
      </c>
      <c r="G79" s="2">
        <f>IFERROR(__xludf.DUMMYFUNCTION("""COMPUTED_VALUE"""),"Purine nucleotide analog")</f>
        <v/>
      </c>
      <c r="H79" s="2">
        <f>IFERROR(__xludf.DUMMYFUNCTION("""COMPUTED_VALUE"""),"Purine nucleoside analog")</f>
        <v/>
      </c>
      <c r="I79" s="2">
        <f>IFERROR(__xludf.DUMMYFUNCTION("""COMPUTED_VALUE"""),"2")</f>
        <v/>
      </c>
      <c r="J79" s="2">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2" t="n"/>
      <c r="L79" s="2">
        <f>IFERROR(__xludf.DUMMYFUNCTION("""COMPUTED_VALUE"""),"SAR &amp; Drug Design")</f>
        <v/>
      </c>
      <c r="M79" s="2">
        <f>IFERROR(__xludf.DUMMYFUNCTION("""COMPUTED_VALUE"""),"Product")</f>
        <v/>
      </c>
      <c r="N79" s="2">
        <f>IFERROR(__xludf.DUMMYFUNCTION("""COMPUTED_VALUE"""),"ข้อ 13 Pharma Plus เล่มม่วง (เฉลยข้อ ข)")</f>
        <v/>
      </c>
      <c r="O79" s="2">
        <f>IFERROR(__xludf.DUMMYFUNCTION("""COMPUTED_VALUE"""),"Mock")</f>
        <v/>
      </c>
      <c r="P79" s="2">
        <f>IFERROR(__xludf.DUMMYFUNCTION("""COMPUTED_VALUE"""),"Pharma Plus เล่มม่วง")</f>
        <v/>
      </c>
    </row>
    <row r="80" ht="13.2" customHeight="1" s="49">
      <c r="A80" s="2">
        <f>IFERROR(__xludf.DUMMYFUNCTION("""COMPUTED_VALUE"""),"14")</f>
        <v/>
      </c>
      <c r="B80" s="2">
        <f>IFERROR(__xludf.DUMMYFUNCTION("""COMPUTED_VALUE"""),"จากโครงสร้างของยา A และยา B ข้อใดถูกต้องเกี่ยวกับยา B")</f>
        <v/>
      </c>
      <c r="C80" s="2" t="n"/>
      <c r="D80" s="2">
        <f>IFERROR(__xludf.DUMMYFUNCTION("""COMPUTED_VALUE"""),"ฤทธิ์ต้านแบคทีเรียลดลงอย่างมีนัยสำคัญ")</f>
        <v/>
      </c>
      <c r="E80" s="2">
        <f>IFERROR(__xludf.DUMMYFUNCTION("""COMPUTED_VALUE"""),"ความสามารถในการละลายน้ำไม่เปลี่ยนแปลง")</f>
        <v/>
      </c>
      <c r="F80" s="2">
        <f>IFERROR(__xludf.DUMMYFUNCTION("""COMPUTED_VALUE"""),"ความถี่ในการรับประทานลดลง")</f>
        <v/>
      </c>
      <c r="G80" s="2">
        <f>IFERROR(__xludf.DUMMYFUNCTION("""COMPUTED_VALUE"""),"ไม่คงตัวต่อกรดเช่นเดียวกับยา A")</f>
        <v/>
      </c>
      <c r="H80" s="2">
        <f>IFERROR(__xludf.DUMMYFUNCTION("""COMPUTED_VALUE"""),"ไม่คงตัวต่อด่างเช่นเดียวกันกับยา A")</f>
        <v/>
      </c>
      <c r="I80" s="2">
        <f>IFERROR(__xludf.DUMMYFUNCTION("""COMPUTED_VALUE"""),"3")</f>
        <v/>
      </c>
      <c r="J80" s="2">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2" t="n"/>
      <c r="L80" s="2">
        <f>IFERROR(__xludf.DUMMYFUNCTION("""COMPUTED_VALUE"""),"SAR &amp; Drug Design")</f>
        <v/>
      </c>
      <c r="M80" s="2">
        <f>IFERROR(__xludf.DUMMYFUNCTION("""COMPUTED_VALUE"""),"Product")</f>
        <v/>
      </c>
      <c r="N80" s="2">
        <f>IFERROR(__xludf.DUMMYFUNCTION("""COMPUTED_VALUE"""),"ข้อ 14 Pharma Plus เล่มม่วง (เฉลยข้อ ค)")</f>
        <v/>
      </c>
      <c r="O80" s="2">
        <f>IFERROR(__xludf.DUMMYFUNCTION("""COMPUTED_VALUE"""),"Mock")</f>
        <v/>
      </c>
      <c r="P80" s="2">
        <f>IFERROR(__xludf.DUMMYFUNCTION("""COMPUTED_VALUE"""),"Pharma Plus เล่มม่วง")</f>
        <v/>
      </c>
    </row>
    <row r="81" ht="13.2" customHeight="1" s="49">
      <c r="A81" s="2">
        <f>IFERROR(__xludf.DUMMYFUNCTION("""COMPUTED_VALUE"""),"15")</f>
        <v/>
      </c>
      <c r="B81" s="2">
        <f>IFERROR(__xludf.DUMMYFUNCTION("""COMPUTED_VALUE"""),"จากสูตรโครงสร้างของยา doxorubicin โครงสร้างส่วนใดที่ออกฤทธิ์เป็น intercalating ของ DNA")</f>
        <v/>
      </c>
      <c r="C81" s="2" t="n"/>
      <c r="D81" s="2">
        <f>IFERROR(__xludf.DUMMYFUNCTION("""COMPUTED_VALUE"""),"Anthracycline ring")</f>
        <v/>
      </c>
      <c r="E81" s="2">
        <f>IFERROR(__xludf.DUMMYFUNCTION("""COMPUTED_VALUE"""),"- NH2 group")</f>
        <v/>
      </c>
      <c r="F81" s="2">
        <f>IFERROR(__xludf.DUMMYFUNCTION("""COMPUTED_VALUE"""),"Methoxy")</f>
        <v/>
      </c>
      <c r="G81" s="2">
        <f>IFERROR(__xludf.DUMMYFUNCTION("""COMPUTED_VALUE"""),"Hydroxyl")</f>
        <v/>
      </c>
      <c r="H81" s="2">
        <f>IFERROR(__xludf.DUMMYFUNCTION("""COMPUTED_VALUE"""),"น้ำตาล glycoside")</f>
        <v/>
      </c>
      <c r="I81" s="2">
        <f>IFERROR(__xludf.DUMMYFUNCTION("""COMPUTED_VALUE"""),"1")</f>
        <v/>
      </c>
      <c r="J81" s="2">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2" t="n"/>
      <c r="L81" s="2">
        <f>IFERROR(__xludf.DUMMYFUNCTION("""COMPUTED_VALUE"""),"SAR &amp; Drug Design")</f>
        <v/>
      </c>
      <c r="M81" s="2">
        <f>IFERROR(__xludf.DUMMYFUNCTION("""COMPUTED_VALUE"""),"Product")</f>
        <v/>
      </c>
      <c r="N81" s="2">
        <f>IFERROR(__xludf.DUMMYFUNCTION("""COMPUTED_VALUE"""),"ข้อ 15 Pharma Plus เล่มม่วง (เฉลยข้อ ก)")</f>
        <v/>
      </c>
      <c r="O81" s="2">
        <f>IFERROR(__xludf.DUMMYFUNCTION("""COMPUTED_VALUE"""),"Mock")</f>
        <v/>
      </c>
      <c r="P81" s="2">
        <f>IFERROR(__xludf.DUMMYFUNCTION("""COMPUTED_VALUE"""),"Pharma Plus เล่มม่วง")</f>
        <v/>
      </c>
    </row>
    <row r="82" ht="13.2" customHeight="1" s="49">
      <c r="A82" s="2">
        <f>IFERROR(__xludf.DUMMYFUNCTION("""COMPUTED_VALUE"""),"16")</f>
        <v/>
      </c>
      <c r="B82" s="2">
        <f>IFERROR(__xludf.DUMMYFUNCTION("""COMPUTED_VALUE"""),"โครงสร้างนี้ เรียกว่า อะไร")</f>
        <v/>
      </c>
      <c r="C82" s="2" t="n"/>
      <c r="D82" s="2">
        <f>IFERROR(__xludf.DUMMYFUNCTION("""COMPUTED_VALUE"""),"Nucleotide ของ Purine")</f>
        <v/>
      </c>
      <c r="E82" s="2">
        <f>IFERROR(__xludf.DUMMYFUNCTION("""COMPUTED_VALUE"""),"Nucleotide ของ Pyridine")</f>
        <v/>
      </c>
      <c r="F82" s="2">
        <f>IFERROR(__xludf.DUMMYFUNCTION("""COMPUTED_VALUE"""),"Nucleoside ของ Purine")</f>
        <v/>
      </c>
      <c r="G82" s="2">
        <f>IFERROR(__xludf.DUMMYFUNCTION("""COMPUTED_VALUE"""),"Nucleoside ของ Pyridine")</f>
        <v/>
      </c>
      <c r="H82" s="2">
        <f>IFERROR(__xludf.DUMMYFUNCTION("""COMPUTED_VALUE"""),"ไม่มีข้อใดถูกต้องการ")</f>
        <v/>
      </c>
      <c r="I82" s="2">
        <f>IFERROR(__xludf.DUMMYFUNCTION("""COMPUTED_VALUE"""),"5")</f>
        <v/>
      </c>
      <c r="J82" s="2">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2" t="n"/>
      <c r="L82" s="2">
        <f>IFERROR(__xludf.DUMMYFUNCTION("""COMPUTED_VALUE"""),"SAR &amp; Drug Design")</f>
        <v/>
      </c>
      <c r="M82" s="2">
        <f>IFERROR(__xludf.DUMMYFUNCTION("""COMPUTED_VALUE"""),"Product")</f>
        <v/>
      </c>
      <c r="N82" s="2">
        <f>IFERROR(__xludf.DUMMYFUNCTION("""COMPUTED_VALUE"""),"ข้อ 16 Pharma Plus เล่มม่วง (เฉลยข้อ จ)")</f>
        <v/>
      </c>
      <c r="O82" s="2">
        <f>IFERROR(__xludf.DUMMYFUNCTION("""COMPUTED_VALUE"""),"Mock")</f>
        <v/>
      </c>
      <c r="P82" s="2">
        <f>IFERROR(__xludf.DUMMYFUNCTION("""COMPUTED_VALUE"""),"Pharma Plus เล่มม่วง")</f>
        <v/>
      </c>
    </row>
    <row r="83" ht="13.2" customHeight="1" s="49">
      <c r="A83" s="2">
        <f>IFERROR(__xludf.DUMMYFUNCTION("""COMPUTED_VALUE"""),"17")</f>
        <v/>
      </c>
      <c r="B83" s="2">
        <f>IFERROR(__xludf.DUMMYFUNCTION("""COMPUTED_VALUE"""),"ข้อใดกล่าวถูกต้องเกี่ยวกับการพัฒนาโครงสร้างดังแสดงด้านล่าง")</f>
        <v/>
      </c>
      <c r="C83" s="2" t="n"/>
      <c r="D83" s="2">
        <f>IFERROR(__xludf.DUMMYFUNCTION("""COMPUTED_VALUE"""),"เปลี่ยนตัวออกฤทธิ์เป็น Ligand เพื่อช่วยลดอาการไม่พึงประสงค์จากยา")</f>
        <v/>
      </c>
      <c r="E83" s="2">
        <f>IFERROR(__xludf.DUMMYFUNCTION("""COMPUTED_VALUE"""),"ทำให้โครงสร้างใหญ่ขึ้นเพื่อลดการโดนทำลายหมู่สำคัญในการออกฤทธิ์")</f>
        <v/>
      </c>
      <c r="F83" s="2">
        <f>IFERROR(__xludf.DUMMYFUNCTION("""COMPUTED_VALUE"""),"เพิ่ม Lipophilicity ของยาเพื่อเพิ่มการเข้าสู่เซลล์เป้าหมาย")</f>
        <v/>
      </c>
      <c r="G83" s="2">
        <f>IFERROR(__xludf.DUMMYFUNCTION("""COMPUTED_VALUE"""),"ข้อ ก ข ถูก")</f>
        <v/>
      </c>
      <c r="H83" s="2">
        <f>IFERROR(__xludf.DUMMYFUNCTION("""COMPUTED_VALUE"""),"ข้อ ก ข ค ถูก")</f>
        <v/>
      </c>
      <c r="I83" s="2">
        <f>IFERROR(__xludf.DUMMYFUNCTION("""COMPUTED_VALUE"""),"4")</f>
        <v/>
      </c>
      <c r="J83" s="2">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2" t="n"/>
      <c r="L83" s="2">
        <f>IFERROR(__xludf.DUMMYFUNCTION("""COMPUTED_VALUE"""),"SAR &amp; Drug Design")</f>
        <v/>
      </c>
      <c r="M83" s="2">
        <f>IFERROR(__xludf.DUMMYFUNCTION("""COMPUTED_VALUE"""),"Product")</f>
        <v/>
      </c>
      <c r="N83" s="2">
        <f>IFERROR(__xludf.DUMMYFUNCTION("""COMPUTED_VALUE"""),"ข้อ 17 Pharma Plus เล่มม่วง (เฉลยข้อ ง)")</f>
        <v/>
      </c>
      <c r="O83" s="2">
        <f>IFERROR(__xludf.DUMMYFUNCTION("""COMPUTED_VALUE"""),"Mock")</f>
        <v/>
      </c>
      <c r="P83" s="2">
        <f>IFERROR(__xludf.DUMMYFUNCTION("""COMPUTED_VALUE"""),"Pharma Plus เล่มม่วง")</f>
        <v/>
      </c>
    </row>
    <row r="84" ht="13.2" customHeight="1" s="49">
      <c r="A84" s="2">
        <f>IFERROR(__xludf.DUMMYFUNCTION("""COMPUTED_VALUE"""),"18")</f>
        <v/>
      </c>
      <c r="B84" s="2">
        <f>IFERROR(__xludf.DUMMYFUNCTION("""COMPUTED_VALUE"""),"จากโครงสร้างของยาต่อไปนี้ ยาในข้อใดที่มีคุณสมบัติทนต่อ catechol-O-methyltransferase")</f>
        <v/>
      </c>
      <c r="C84" s="2" t="n"/>
      <c r="D84" s="2">
        <f>IFERROR(__xludf.DUMMYFUNCTION("""COMPUTED_VALUE"""),"Prodrug Design via Esterification for Oral Bioavailability")</f>
        <v/>
      </c>
      <c r="E84" s="2">
        <f>IFERROR(__xludf.DUMMYFUNCTION("""COMPUTED_VALUE"""),"Cytochrome P450 CYP3A4 Phase I Oxidation")</f>
        <v/>
      </c>
      <c r="F84" s="2">
        <f>IFERROR(__xludf.DUMMYFUNCTION("""COMPUTED_VALUE"""),"Phase II Glucuronidation Conjugation by UGT")</f>
        <v/>
      </c>
      <c r="G84" s="2">
        <f>IFERROR(__xludf.DUMMYFUNCTION("""COMPUTED_VALUE"""),"Log P Lipophilicity Partition Coefficient optimization")</f>
        <v/>
      </c>
      <c r="H84" s="2">
        <f>IFERROR(__xludf.DUMMYFUNCTION("""COMPUTED_VALUE"""),"Chiral Eutomer vs Distomer Pharmacological activity")</f>
        <v/>
      </c>
      <c r="I84" s="2">
        <f>IFERROR(__xludf.DUMMYFUNCTION("""COMPUTED_VALUE"""),"1")</f>
        <v/>
      </c>
      <c r="J84" s="2">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2" t="n"/>
      <c r="L84" s="2">
        <f>IFERROR(__xludf.DUMMYFUNCTION("""COMPUTED_VALUE"""),"SAR &amp; Drug Design")</f>
        <v/>
      </c>
      <c r="M84" s="2">
        <f>IFERROR(__xludf.DUMMYFUNCTION("""COMPUTED_VALUE"""),"Product")</f>
        <v/>
      </c>
      <c r="N84" s="2">
        <f>IFERROR(__xludf.DUMMYFUNCTION("""COMPUTED_VALUE"""),"ข้อ 18 Pharma Plus เล่มม่วง (เฉลยข้อ ก)")</f>
        <v/>
      </c>
      <c r="O84" s="2">
        <f>IFERROR(__xludf.DUMMYFUNCTION("""COMPUTED_VALUE"""),"Mock")</f>
        <v/>
      </c>
      <c r="P84" s="2">
        <f>IFERROR(__xludf.DUMMYFUNCTION("""COMPUTED_VALUE"""),"Pharma Plus เล่มม่วง")</f>
        <v/>
      </c>
    </row>
    <row r="85" ht="13.2" customHeight="1" s="49">
      <c r="A85" s="2">
        <f>IFERROR(__xludf.DUMMYFUNCTION("""COMPUTED_VALUE"""),"19")</f>
        <v/>
      </c>
      <c r="B85" s="2">
        <f>IFERROR(__xludf.DUMMYFUNCTION("""COMPUTED_VALUE"""),"จากโครงสร้าง ข้อใดไม่ถูกต้อง")</f>
        <v/>
      </c>
      <c r="C85" s="2" t="n"/>
      <c r="D85" s="2">
        <f>IFERROR(__xludf.DUMMYFUNCTION("""COMPUTED_VALUE"""),"(S)-form มีฤทธิ์มากกว่า (R)-form")</f>
        <v/>
      </c>
      <c r="E85" s="2">
        <f>IFERROR(__xludf.DUMMYFUNCTION("""COMPUTED_VALUE"""),"อยู่ในกลุ่ม coumarin")</f>
        <v/>
      </c>
      <c r="F85" s="2">
        <f>IFERROR(__xludf.DUMMYFUNCTION("""COMPUTED_VALUE"""),"Cyclic hemiketal เป็น active form")</f>
        <v/>
      </c>
      <c r="G85" s="2">
        <f>IFERROR(__xludf.DUMMYFUNCTION("""COMPUTED_VALUE"""),"ออกฤทธิ์ direct acting anticoagulants")</f>
        <v/>
      </c>
      <c r="H85" s="2">
        <f>IFERROR(__xludf.DUMMYFUNCTION("""COMPUTED_VALUE"""),"ไม่มีข้อใดไม่ถูกต้อง")</f>
        <v/>
      </c>
      <c r="I85" s="2">
        <f>IFERROR(__xludf.DUMMYFUNCTION("""COMPUTED_VALUE"""),"4")</f>
        <v/>
      </c>
      <c r="J85" s="2">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2" t="n"/>
      <c r="L85" s="2">
        <f>IFERROR(__xludf.DUMMYFUNCTION("""COMPUTED_VALUE"""),"SAR &amp; Drug Design")</f>
        <v/>
      </c>
      <c r="M85" s="2">
        <f>IFERROR(__xludf.DUMMYFUNCTION("""COMPUTED_VALUE"""),"Product")</f>
        <v/>
      </c>
      <c r="N85" s="2">
        <f>IFERROR(__xludf.DUMMYFUNCTION("""COMPUTED_VALUE"""),"ข้อ 19 Pharma Plus เล่มม่วง (เฉลยข้อ ง)")</f>
        <v/>
      </c>
      <c r="O85" s="2">
        <f>IFERROR(__xludf.DUMMYFUNCTION("""COMPUTED_VALUE"""),"Mock")</f>
        <v/>
      </c>
      <c r="P85" s="2">
        <f>IFERROR(__xludf.DUMMYFUNCTION("""COMPUTED_VALUE"""),"Pharma Plus เล่มม่วง")</f>
        <v/>
      </c>
    </row>
    <row r="86" ht="13.2" customHeight="1" s="49">
      <c r="A86" s="2">
        <f>IFERROR(__xludf.DUMMYFUNCTION("""COMPUTED_VALUE"""),"20")</f>
        <v/>
      </c>
      <c r="B86" s="2">
        <f>IFERROR(__xludf.DUMMYFUNCTION("""COMPUTED_VALUE"""),"จากโครงสร้าง ข้อความใดต่อไปนี้ไม่ถูกต้อง")</f>
        <v/>
      </c>
      <c r="C86" s="2" t="n"/>
      <c r="D86" s="2">
        <f>IFERROR(__xludf.DUMMYFUNCTION("""COMPUTED_VALUE"""),"ตัวอย่างยาในกลุ่มนี้ คือ Digoxin")</f>
        <v/>
      </c>
      <c r="E86" s="2">
        <f>IFERROR(__xludf.DUMMYFUNCTION("""COMPUTED_VALUE"""),"Lactone ring เป็นประเภท bufadienolide")</f>
        <v/>
      </c>
      <c r="F86" s="2">
        <f>IFERROR(__xludf.DUMMYFUNCTION("""COMPUTED_VALUE"""),"ออกฤทธิ์ยับยั้ง Na-K ATPase")</f>
        <v/>
      </c>
      <c r="G86" s="2">
        <f>IFERROR(__xludf.DUMMYFUNCTION("""COMPUTED_VALUE"""),"น้ำตาลจะเข้ามาเกาะที่ตำแหน่ง C3")</f>
        <v/>
      </c>
      <c r="H86" s="2">
        <f>IFERROR(__xludf.DUMMYFUNCTION("""COMPUTED_VALUE"""),"ไม่มีข้อใดถูก")</f>
        <v/>
      </c>
      <c r="I86" s="2">
        <f>IFERROR(__xludf.DUMMYFUNCTION("""COMPUTED_VALUE"""),"2")</f>
        <v/>
      </c>
      <c r="J86" s="2">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2" t="n"/>
      <c r="L86" s="2">
        <f>IFERROR(__xludf.DUMMYFUNCTION("""COMPUTED_VALUE"""),"SAR &amp; Drug Design")</f>
        <v/>
      </c>
      <c r="M86" s="2">
        <f>IFERROR(__xludf.DUMMYFUNCTION("""COMPUTED_VALUE"""),"Product")</f>
        <v/>
      </c>
      <c r="N86" s="2">
        <f>IFERROR(__xludf.DUMMYFUNCTION("""COMPUTED_VALUE"""),"ข้อ 20 Pharma Plus เล่มม่วง (เฉลยข้อ ข)")</f>
        <v/>
      </c>
      <c r="O86" s="2">
        <f>IFERROR(__xludf.DUMMYFUNCTION("""COMPUTED_VALUE"""),"Mock")</f>
        <v/>
      </c>
      <c r="P86" s="2">
        <f>IFERROR(__xludf.DUMMYFUNCTION("""COMPUTED_VALUE"""),"Pharma Plus เล่มม่วง")</f>
        <v/>
      </c>
    </row>
    <row r="87" ht="13.2" customHeight="1" s="49">
      <c r="A87" s="2">
        <f>IFERROR(__xludf.DUMMYFUNCTION("""COMPUTED_VALUE"""),"21")</f>
        <v/>
      </c>
      <c r="B87" s="2">
        <f>IFERROR(__xludf.DUMMYFUNCTION("""COMPUTED_VALUE"""),"โครงสร้างใดต่อไปนี้เป็น Ester of Amino Alcohol")</f>
        <v/>
      </c>
      <c r="C87" s="2" t="n"/>
      <c r="D87" s="2">
        <f>IFERROR(__xludf.DUMMYFUNCTION("""COMPUTED_VALUE"""),"Cytochrome P450 CYP3A4 Phase I Oxidation")</f>
        <v/>
      </c>
      <c r="E87" s="2">
        <f>IFERROR(__xludf.DUMMYFUNCTION("""COMPUTED_VALUE"""),"Phase II Glucuronidation Conjugation by UGT")</f>
        <v/>
      </c>
      <c r="F87" s="2">
        <f>IFERROR(__xludf.DUMMYFUNCTION("""COMPUTED_VALUE"""),"Log P Lipophilicity Partition Coefficient optimization")</f>
        <v/>
      </c>
      <c r="G87" s="2">
        <f>IFERROR(__xludf.DUMMYFUNCTION("""COMPUTED_VALUE"""),"Chiral Eutomer vs Distomer Pharmacological activity")</f>
        <v/>
      </c>
      <c r="H87" s="2">
        <f>IFERROR(__xludf.DUMMYFUNCTION("""COMPUTED_VALUE"""),"Covalent Irreversible Enzyme Inhibition")</f>
        <v/>
      </c>
      <c r="I87" s="2">
        <f>IFERROR(__xludf.DUMMYFUNCTION("""COMPUTED_VALUE"""),"5")</f>
        <v/>
      </c>
      <c r="J87" s="2">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2" t="n"/>
      <c r="L87" s="2">
        <f>IFERROR(__xludf.DUMMYFUNCTION("""COMPUTED_VALUE"""),"SAR &amp; Drug Design")</f>
        <v/>
      </c>
      <c r="M87" s="2">
        <f>IFERROR(__xludf.DUMMYFUNCTION("""COMPUTED_VALUE"""),"Product")</f>
        <v/>
      </c>
      <c r="N87" s="2">
        <f>IFERROR(__xludf.DUMMYFUNCTION("""COMPUTED_VALUE"""),"ข้อ 21 Pharma Plus เล่มม่วง (เฉลยข้อ จ)")</f>
        <v/>
      </c>
      <c r="O87" s="2">
        <f>IFERROR(__xludf.DUMMYFUNCTION("""COMPUTED_VALUE"""),"Mock")</f>
        <v/>
      </c>
      <c r="P87" s="2">
        <f>IFERROR(__xludf.DUMMYFUNCTION("""COMPUTED_VALUE"""),"Pharma Plus เล่มม่วง")</f>
        <v/>
      </c>
    </row>
    <row r="88" ht="13.2" customHeight="1" s="49">
      <c r="A88" s="2">
        <f>IFERROR(__xludf.DUMMYFUNCTION("""COMPUTED_VALUE"""),"22")</f>
        <v/>
      </c>
      <c r="B88" s="2">
        <f>IFERROR(__xludf.DUMMYFUNCTION("""COMPUTED_VALUE"""),"N3 หรือ Azido group จากสูตรโครงสร้างของ AZT มีผลให้เกิดสิ่งใด")</f>
        <v/>
      </c>
      <c r="C88" s="2" t="n"/>
      <c r="D88" s="2">
        <f>IFERROR(__xludf.DUMMYFUNCTION("""COMPUTED_VALUE"""),"เพิ่มความสามารถในการจับกับโปรตีน albumin")</f>
        <v/>
      </c>
      <c r="E88" s="2">
        <f>IFERROR(__xludf.DUMMYFUNCTION("""COMPUTED_VALUE"""),"ช่วยเพิ่มการดูดซึมของยา")</f>
        <v/>
      </c>
      <c r="F88" s="2">
        <f>IFERROR(__xludf.DUMMYFUNCTION("""COMPUTED_VALUE"""),"เพิ่มค่าครึ่งชีวิตให้ยาวขึ้น")</f>
        <v/>
      </c>
      <c r="G88" s="2">
        <f>IFERROR(__xludf.DUMMYFUNCTION("""COMPUTED_VALUE"""),"เพิ่มการออกฤทธิ์")</f>
        <v/>
      </c>
      <c r="H88" s="2">
        <f>IFERROR(__xludf.DUMMYFUNCTION("""COMPUTED_VALUE"""),"มีผลต่อการตั้งสูตรตำรับ")</f>
        <v/>
      </c>
      <c r="I88" s="2">
        <f>IFERROR(__xludf.DUMMYFUNCTION("""COMPUTED_VALUE"""),"4")</f>
        <v/>
      </c>
      <c r="J88" s="2">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2" t="n"/>
      <c r="L88" s="2">
        <f>IFERROR(__xludf.DUMMYFUNCTION("""COMPUTED_VALUE"""),"SAR &amp; Drug Design")</f>
        <v/>
      </c>
      <c r="M88" s="2">
        <f>IFERROR(__xludf.DUMMYFUNCTION("""COMPUTED_VALUE"""),"Product")</f>
        <v/>
      </c>
      <c r="N88" s="2">
        <f>IFERROR(__xludf.DUMMYFUNCTION("""COMPUTED_VALUE"""),"ข้อ 22 Pharma Plus เล่มม่วง (เฉลยข้อ ง)")</f>
        <v/>
      </c>
      <c r="O88" s="2">
        <f>IFERROR(__xludf.DUMMYFUNCTION("""COMPUTED_VALUE"""),"Mock")</f>
        <v/>
      </c>
      <c r="P88" s="2">
        <f>IFERROR(__xludf.DUMMYFUNCTION("""COMPUTED_VALUE"""),"Pharma Plus เล่มม่วง")</f>
        <v/>
      </c>
    </row>
    <row r="89" ht="13.2" customHeight="1" s="49">
      <c r="A89" s="2">
        <f>IFERROR(__xludf.DUMMYFUNCTION("""COMPUTED_VALUE"""),"23")</f>
        <v/>
      </c>
      <c r="B89" s="2">
        <f>IFERROR(__xludf.DUMMYFUNCTION("""COMPUTED_VALUE"""),"โครงสร้างต่อไปนี้หมายถึงยาชนิดใด")</f>
        <v/>
      </c>
      <c r="C89" s="2" t="n"/>
      <c r="D89" s="2">
        <f>IFERROR(__xludf.DUMMYFUNCTION("""COMPUTED_VALUE"""),"Zidovudine")</f>
        <v/>
      </c>
      <c r="E89" s="2">
        <f>IFERROR(__xludf.DUMMYFUNCTION("""COMPUTED_VALUE"""),"Cotrimoxazole")</f>
        <v/>
      </c>
      <c r="F89" s="2">
        <f>IFERROR(__xludf.DUMMYFUNCTION("""COMPUTED_VALUE"""),"Ceftriaxone")</f>
        <v/>
      </c>
      <c r="G89" s="2">
        <f>IFERROR(__xludf.DUMMYFUNCTION("""COMPUTED_VALUE"""),"Acyclovir")</f>
        <v/>
      </c>
      <c r="H89" s="2">
        <f>IFERROR(__xludf.DUMMYFUNCTION("""COMPUTED_VALUE"""),"Ciprofloxacin")</f>
        <v/>
      </c>
      <c r="I89" s="2">
        <f>IFERROR(__xludf.DUMMYFUNCTION("""COMPUTED_VALUE"""),"4")</f>
        <v/>
      </c>
      <c r="J89" s="2">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2" t="n"/>
      <c r="L89" s="2">
        <f>IFERROR(__xludf.DUMMYFUNCTION("""COMPUTED_VALUE"""),"SAR &amp; Drug Design")</f>
        <v/>
      </c>
      <c r="M89" s="2">
        <f>IFERROR(__xludf.DUMMYFUNCTION("""COMPUTED_VALUE"""),"Product")</f>
        <v/>
      </c>
      <c r="N89" s="2">
        <f>IFERROR(__xludf.DUMMYFUNCTION("""COMPUTED_VALUE"""),"ข้อ 23 Pharma Plus เล่มม่วง (เฉลยข้อ ง)")</f>
        <v/>
      </c>
      <c r="O89" s="2">
        <f>IFERROR(__xludf.DUMMYFUNCTION("""COMPUTED_VALUE"""),"Mock")</f>
        <v/>
      </c>
      <c r="P89" s="2">
        <f>IFERROR(__xludf.DUMMYFUNCTION("""COMPUTED_VALUE"""),"Pharma Plus เล่มม่วง")</f>
        <v/>
      </c>
    </row>
    <row r="90" ht="13.2" customHeight="1" s="49">
      <c r="A90" s="2">
        <f>IFERROR(__xludf.DUMMYFUNCTION("""COMPUTED_VALUE"""),"24")</f>
        <v/>
      </c>
      <c r="B90" s="2">
        <f>IFERROR(__xludf.DUMMYFUNCTION("""COMPUTED_VALUE"""),"ยาปฏิชีวนะข้อใดที่ไม่มีโครงสร้าง B-lactam ring")</f>
        <v/>
      </c>
      <c r="C90" s="2" t="n"/>
      <c r="D90" s="2">
        <f>IFERROR(__xludf.DUMMYFUNCTION("""COMPUTED_VALUE"""),"Ciprofloxacin")</f>
        <v/>
      </c>
      <c r="E90" s="2">
        <f>IFERROR(__xludf.DUMMYFUNCTION("""COMPUTED_VALUE"""),"Amoxycillin")</f>
        <v/>
      </c>
      <c r="F90" s="2">
        <f>IFERROR(__xludf.DUMMYFUNCTION("""COMPUTED_VALUE"""),"Imipenam")</f>
        <v/>
      </c>
      <c r="G90" s="2">
        <f>IFERROR(__xludf.DUMMYFUNCTION("""COMPUTED_VALUE"""),"Cloxacillin")</f>
        <v/>
      </c>
      <c r="H90" s="2">
        <f>IFERROR(__xludf.DUMMYFUNCTION("""COMPUTED_VALUE"""),"Cefazolin")</f>
        <v/>
      </c>
      <c r="I90" s="2">
        <f>IFERROR(__xludf.DUMMYFUNCTION("""COMPUTED_VALUE"""),"1")</f>
        <v/>
      </c>
      <c r="J90" s="2">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2" t="n"/>
      <c r="L90" s="2">
        <f>IFERROR(__xludf.DUMMYFUNCTION("""COMPUTED_VALUE"""),"SAR &amp; Drug Design")</f>
        <v/>
      </c>
      <c r="M90" s="2">
        <f>IFERROR(__xludf.DUMMYFUNCTION("""COMPUTED_VALUE"""),"Product")</f>
        <v/>
      </c>
      <c r="N90" s="2">
        <f>IFERROR(__xludf.DUMMYFUNCTION("""COMPUTED_VALUE"""),"ข้อ 24 Pharma Plus เล่มม่วง (เฉลยข้อ ก)")</f>
        <v/>
      </c>
      <c r="O90" s="2">
        <f>IFERROR(__xludf.DUMMYFUNCTION("""COMPUTED_VALUE"""),"Mock")</f>
        <v/>
      </c>
      <c r="P90" s="2">
        <f>IFERROR(__xludf.DUMMYFUNCTION("""COMPUTED_VALUE"""),"Pharma Plus เล่มม่วง")</f>
        <v/>
      </c>
    </row>
    <row r="91" ht="13.2" customHeight="1" s="49">
      <c r="A91" s="2">
        <f>IFERROR(__xludf.DUMMYFUNCTION("""COMPUTED_VALUE"""),"25")</f>
        <v/>
      </c>
      <c r="B91" s="2">
        <f>IFERROR(__xludf.DUMMYFUNCTION("""COMPUTED_VALUE"""),"จากสูตรโครงสร้างของยา amoxacillin นี้ตำแหน่งไหนที่ถูกทำลายได้ง่ายและมีผลต่อการดื้อยา")</f>
        <v/>
      </c>
      <c r="C91" s="2" t="n"/>
      <c r="D91" s="2">
        <f>IFERROR(__xludf.DUMMYFUNCTION("""COMPUTED_VALUE"""),"Covalent Irreversible Enzyme Inhibition")</f>
        <v/>
      </c>
      <c r="E91" s="2">
        <f>IFERROR(__xludf.DUMMYFUNCTION("""COMPUTED_VALUE"""),"Structure-Activity Relationship (SAR) Optimization")</f>
        <v/>
      </c>
      <c r="F91" s="2">
        <f>IFERROR(__xludf.DUMMYFUNCTION("""COMPUTED_VALUE"""),"Bioisosteric Replacement (Carboxylic acid → Tetrazole)")</f>
        <v/>
      </c>
      <c r="G91" s="2">
        <f>IFERROR(__xludf.DUMMYFUNCTION("""COMPUTED_VALUE"""),"Prodrug Design via Esterification for Oral Bioavailability")</f>
        <v/>
      </c>
      <c r="H91" s="2">
        <f>IFERROR(__xludf.DUMMYFUNCTION("""COMPUTED_VALUE"""),"Cytochrome P450 CYP3A4 Phase I Oxidation")</f>
        <v/>
      </c>
      <c r="I91" s="2">
        <f>IFERROR(__xludf.DUMMYFUNCTION("""COMPUTED_VALUE"""),"3")</f>
        <v/>
      </c>
      <c r="J91" s="2">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2" t="n"/>
      <c r="L91" s="2">
        <f>IFERROR(__xludf.DUMMYFUNCTION("""COMPUTED_VALUE"""),"SAR &amp; Drug Design")</f>
        <v/>
      </c>
      <c r="M91" s="2">
        <f>IFERROR(__xludf.DUMMYFUNCTION("""COMPUTED_VALUE"""),"Product")</f>
        <v/>
      </c>
      <c r="N91" s="2">
        <f>IFERROR(__xludf.DUMMYFUNCTION("""COMPUTED_VALUE"""),"ข้อ 25 Pharma Plus เล่มม่วง (เฉลยข้อ ค)")</f>
        <v/>
      </c>
      <c r="O91" s="2">
        <f>IFERROR(__xludf.DUMMYFUNCTION("""COMPUTED_VALUE"""),"Mock")</f>
        <v/>
      </c>
      <c r="P91" s="2">
        <f>IFERROR(__xludf.DUMMYFUNCTION("""COMPUTED_VALUE"""),"Pharma Plus เล่มม่วง")</f>
        <v/>
      </c>
    </row>
    <row r="92" ht="13.2" customHeight="1" s="49">
      <c r="A92" s="2">
        <f>IFERROR(__xludf.DUMMYFUNCTION("""COMPUTED_VALUE"""),"26")</f>
        <v/>
      </c>
      <c r="B92" s="2">
        <f>IFERROR(__xludf.DUMMYFUNCTION("""COMPUTED_VALUE"""),"ข้อใดผิดเกี่ยวกับ penicillin")</f>
        <v/>
      </c>
      <c r="C92" s="2" t="n"/>
      <c r="D92" s="2">
        <f>IFERROR(__xludf.DUMMYFUNCTION("""COMPUTED_VALUE"""),"Pen G มี chain เป็น Benzoyl group")</f>
        <v/>
      </c>
      <c r="E92" s="2">
        <f>IFERROR(__xludf.DUMMYFUNCTION("""COMPUTED_VALUE"""),"Pen G potassium ละลายได้ดีกว่า Pen G")</f>
        <v/>
      </c>
      <c r="F92" s="2">
        <f>IFERROR(__xludf.DUMMYFUNCTION("""COMPUTED_VALUE"""),"Benzathine Pen G เป็นเกลือของ Pen G")</f>
        <v/>
      </c>
      <c r="G92" s="2">
        <f>IFERROR(__xludf.DUMMYFUNCTION("""COMPUTED_VALUE"""),"B-lactamase ถูก Hydrolyze ด้วยกรด")</f>
        <v/>
      </c>
      <c r="H92" s="2">
        <f>IFERROR(__xludf.DUMMYFUNCTION("""COMPUTED_VALUE"""),"Procaine penicillin G ถูกดูดได้ดีในทางเดินอาหาร")</f>
        <v/>
      </c>
      <c r="I92" s="2">
        <f>IFERROR(__xludf.DUMMYFUNCTION("""COMPUTED_VALUE"""),"5")</f>
        <v/>
      </c>
      <c r="J92" s="2">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2" t="n"/>
      <c r="L92" s="2">
        <f>IFERROR(__xludf.DUMMYFUNCTION("""COMPUTED_VALUE"""),"SAR &amp; Drug Design")</f>
        <v/>
      </c>
      <c r="M92" s="2">
        <f>IFERROR(__xludf.DUMMYFUNCTION("""COMPUTED_VALUE"""),"Product")</f>
        <v/>
      </c>
      <c r="N92" s="2">
        <f>IFERROR(__xludf.DUMMYFUNCTION("""COMPUTED_VALUE"""),"ข้อ 26 Pharma Plus เล่มม่วง (เฉลยข้อ จ)")</f>
        <v/>
      </c>
      <c r="O92" s="2">
        <f>IFERROR(__xludf.DUMMYFUNCTION("""COMPUTED_VALUE"""),"Mock")</f>
        <v/>
      </c>
      <c r="P92" s="2">
        <f>IFERROR(__xludf.DUMMYFUNCTION("""COMPUTED_VALUE"""),"Pharma Plus เล่มม่วง")</f>
        <v/>
      </c>
    </row>
    <row r="93" ht="13.2" customHeight="1" s="49">
      <c r="A93" s="2">
        <f>IFERROR(__xludf.DUMMYFUNCTION("""COMPUTED_VALUE"""),"27")</f>
        <v/>
      </c>
      <c r="B93" s="2">
        <f>IFERROR(__xludf.DUMMYFUNCTION("""COMPUTED_VALUE"""),"Doxycycline มีสูตรโครงสร้างรูป เป็นยากลุ่มเดียวกันกับยาใด")</f>
        <v/>
      </c>
      <c r="C93" s="2" t="n"/>
      <c r="D93" s="2">
        <f>IFERROR(__xludf.DUMMYFUNCTION("""COMPUTED_VALUE"""),"Tetracycline")</f>
        <v/>
      </c>
      <c r="E93" s="2">
        <f>IFERROR(__xludf.DUMMYFUNCTION("""COMPUTED_VALUE"""),"Penicillin")</f>
        <v/>
      </c>
      <c r="F93" s="2">
        <f>IFERROR(__xludf.DUMMYFUNCTION("""COMPUTED_VALUE"""),"Cotrimazole")</f>
        <v/>
      </c>
      <c r="G93" s="2">
        <f>IFERROR(__xludf.DUMMYFUNCTION("""COMPUTED_VALUE"""),"Sulfamethoxazole")</f>
        <v/>
      </c>
      <c r="H93" s="2">
        <f>IFERROR(__xludf.DUMMYFUNCTION("""COMPUTED_VALUE"""),"Amoxicillin")</f>
        <v/>
      </c>
      <c r="I93" s="2">
        <f>IFERROR(__xludf.DUMMYFUNCTION("""COMPUTED_VALUE"""),"1")</f>
        <v/>
      </c>
      <c r="J93" s="2">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2" t="n"/>
      <c r="L93" s="2">
        <f>IFERROR(__xludf.DUMMYFUNCTION("""COMPUTED_VALUE"""),"SAR &amp; Drug Design")</f>
        <v/>
      </c>
      <c r="M93" s="2">
        <f>IFERROR(__xludf.DUMMYFUNCTION("""COMPUTED_VALUE"""),"Product")</f>
        <v/>
      </c>
      <c r="N93" s="2">
        <f>IFERROR(__xludf.DUMMYFUNCTION("""COMPUTED_VALUE"""),"ข้อ 27 Pharma Plus เล่มม่วง (เฉลยข้อ ก)")</f>
        <v/>
      </c>
      <c r="O93" s="2">
        <f>IFERROR(__xludf.DUMMYFUNCTION("""COMPUTED_VALUE"""),"Mock")</f>
        <v/>
      </c>
      <c r="P93" s="2">
        <f>IFERROR(__xludf.DUMMYFUNCTION("""COMPUTED_VALUE"""),"Pharma Plus เล่มม่วง")</f>
        <v/>
      </c>
    </row>
    <row r="94" ht="13.2" customHeight="1" s="49">
      <c r="A94" s="2">
        <f>IFERROR(__xludf.DUMMYFUNCTION("""COMPUTED_VALUE"""),"28")</f>
        <v/>
      </c>
      <c r="B94" s="2">
        <f>IFERROR(__xludf.DUMMYFUNCTION("""COMPUTED_VALUE"""),"เกี่ยวกับโครงสร้างของสารดังรูป ทุกข้อต่อไปนี้ถูกต้อง ยกเว้นข้อใด")</f>
        <v/>
      </c>
      <c r="C94" s="2" t="n"/>
      <c r="D94" s="2">
        <f>IFERROR(__xludf.DUMMYFUNCTION("""COMPUTED_VALUE"""),"เป็นสารในกลุ่ม 8-aminoquinoline")</f>
        <v/>
      </c>
      <c r="E94" s="2">
        <f>IFERROR(__xludf.DUMMYFUNCTION("""COMPUTED_VALUE"""),"ตัวอย่างยาในกลุ่มนี้ได้แก่ primaquine")</f>
        <v/>
      </c>
      <c r="F94" s="2">
        <f>IFERROR(__xludf.DUMMYFUNCTION("""COMPUTED_VALUE"""),"ถ้ามี Cl ที่ตำแหน่ง 7 จะทำให้ได้ฤทธิ์สูงสุด และมีพิษน้อย")</f>
        <v/>
      </c>
      <c r="G94" s="2">
        <f>IFERROR(__xludf.DUMMYFUNCTION("""COMPUTED_VALUE"""),"Dialkylamino alkylamine side chain จะให้ฤทธิ์สูงสุดเมื่อ n = 2, 5 หรือ 6")</f>
        <v/>
      </c>
      <c r="H94" s="2">
        <f>IFERROR(__xludf.DUMMYFUNCTION("""COMPUTED_VALUE"""),"Quinoline ring system และอนุพันธ์ให้ผลที่ดีกว่า acridine ring system")</f>
        <v/>
      </c>
      <c r="I94" s="2">
        <f>IFERROR(__xludf.DUMMYFUNCTION("""COMPUTED_VALUE"""),"4")</f>
        <v/>
      </c>
      <c r="J94" s="2">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2" t="n"/>
      <c r="L94" s="2">
        <f>IFERROR(__xludf.DUMMYFUNCTION("""COMPUTED_VALUE"""),"SAR &amp; Drug Design")</f>
        <v/>
      </c>
      <c r="M94" s="2">
        <f>IFERROR(__xludf.DUMMYFUNCTION("""COMPUTED_VALUE"""),"Product")</f>
        <v/>
      </c>
      <c r="N94" s="2">
        <f>IFERROR(__xludf.DUMMYFUNCTION("""COMPUTED_VALUE"""),"ข้อ 28 Pharma Plus เล่มม่วง (เฉลยข้อ ง)")</f>
        <v/>
      </c>
      <c r="O94" s="2">
        <f>IFERROR(__xludf.DUMMYFUNCTION("""COMPUTED_VALUE"""),"Mock")</f>
        <v/>
      </c>
      <c r="P94" s="2">
        <f>IFERROR(__xludf.DUMMYFUNCTION("""COMPUTED_VALUE"""),"Pharma Plus เล่มม่วง")</f>
        <v/>
      </c>
    </row>
    <row r="95" ht="13.2" customHeight="1" s="49">
      <c r="A95" s="2">
        <f>IFERROR(__xludf.DUMMYFUNCTION("""COMPUTED_VALUE"""),"29")</f>
        <v/>
      </c>
      <c r="B95" s="2">
        <f>IFERROR(__xludf.DUMMYFUNCTION("""COMPUTED_VALUE"""),"จากสูตรโครงสร้างของ folic acid ข้อใดกล่าวไม่ถูกต้อง")</f>
        <v/>
      </c>
      <c r="C95" s="2" t="n"/>
      <c r="D95" s="2">
        <f>IFERROR(__xludf.DUMMYFUNCTION("""COMPUTED_VALUE"""),"เป็น water soluble vitamin")</f>
        <v/>
      </c>
      <c r="E95" s="2">
        <f>IFERROR(__xludf.DUMMYFUNCTION("""COMPUTED_VALUE"""),"เรียกอีกอย่างหนึ่งว่า vitamin B9")</f>
        <v/>
      </c>
      <c r="F95" s="2">
        <f>IFERROR(__xludf.DUMMYFUNCTION("""COMPUTED_VALUE"""),"เกี่ยวข้องกับการสร้าง DNA และ RNA")</f>
        <v/>
      </c>
      <c r="G95" s="2">
        <f>IFERROR(__xludf.DUMMYFUNCTION("""COMPUTED_VALUE"""),"มนุษย์สามารถสังเคราะห์ folic acid ได้")</f>
        <v/>
      </c>
      <c r="H95" s="2">
        <f>IFERROR(__xludf.DUMMYFUNCTION("""COMPUTED_VALUE"""),"ใน IR chromatogram จะเห็น peak ที่ชัดเจน ที่ค่าความถี่ประมาณ 1,700 cm⁻¹")</f>
        <v/>
      </c>
      <c r="I95" s="2">
        <f>IFERROR(__xludf.DUMMYFUNCTION("""COMPUTED_VALUE"""),"4")</f>
        <v/>
      </c>
      <c r="J95" s="2">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2" t="n"/>
      <c r="L95" s="2">
        <f>IFERROR(__xludf.DUMMYFUNCTION("""COMPUTED_VALUE"""),"SAR &amp; Drug Design")</f>
        <v/>
      </c>
      <c r="M95" s="2">
        <f>IFERROR(__xludf.DUMMYFUNCTION("""COMPUTED_VALUE"""),"Product")</f>
        <v/>
      </c>
      <c r="N95" s="2">
        <f>IFERROR(__xludf.DUMMYFUNCTION("""COMPUTED_VALUE"""),"ข้อ 29 Pharma Plus เล่มม่วง (เฉลยข้อ ง)")</f>
        <v/>
      </c>
      <c r="O95" s="2">
        <f>IFERROR(__xludf.DUMMYFUNCTION("""COMPUTED_VALUE"""),"Mock")</f>
        <v/>
      </c>
      <c r="P95" s="2">
        <f>IFERROR(__xludf.DUMMYFUNCTION("""COMPUTED_VALUE"""),"Pharma Plus เล่มม่วง")</f>
        <v/>
      </c>
    </row>
    <row r="96" ht="13.2" customHeight="1" s="49">
      <c r="A96" s="2">
        <f>IFERROR(__xludf.DUMMYFUNCTION("""COMPUTED_VALUE"""),"30")</f>
        <v/>
      </c>
      <c r="B96" s="2">
        <f>IFERROR(__xludf.DUMMYFUNCTION("""COMPUTED_VALUE"""),"จากโครงสร้าง ไม่สามารถใช้ในผู้ป่วยกลุ่มใด")</f>
        <v/>
      </c>
      <c r="C96" s="2" t="n"/>
      <c r="D96" s="2">
        <f>IFERROR(__xludf.DUMMYFUNCTION("""COMPUTED_VALUE"""),"Pediatric")</f>
        <v/>
      </c>
      <c r="E96" s="2">
        <f>IFERROR(__xludf.DUMMYFUNCTION("""COMPUTED_VALUE"""),"Cirrhosis/Hepatitis")</f>
        <v/>
      </c>
      <c r="F96" s="2">
        <f>IFERROR(__xludf.DUMMYFUNCTION("""COMPUTED_VALUE"""),"Pregnancy")</f>
        <v/>
      </c>
      <c r="G96" s="2">
        <f>IFERROR(__xludf.DUMMYFUNCTION("""COMPUTED_VALUE"""),"Renal failure")</f>
        <v/>
      </c>
      <c r="H96" s="2">
        <f>IFERROR(__xludf.DUMMYFUNCTION("""COMPUTED_VALUE"""),"Sulfa allergy")</f>
        <v/>
      </c>
      <c r="I96" s="2">
        <f>IFERROR(__xludf.DUMMYFUNCTION("""COMPUTED_VALUE"""),"5")</f>
        <v/>
      </c>
      <c r="J96" s="2">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2" t="n"/>
      <c r="L96" s="2">
        <f>IFERROR(__xludf.DUMMYFUNCTION("""COMPUTED_VALUE"""),"SAR &amp; Drug Design")</f>
        <v/>
      </c>
      <c r="M96" s="2">
        <f>IFERROR(__xludf.DUMMYFUNCTION("""COMPUTED_VALUE"""),"Product")</f>
        <v/>
      </c>
      <c r="N96" s="2">
        <f>IFERROR(__xludf.DUMMYFUNCTION("""COMPUTED_VALUE"""),"ข้อ 30 Pharma Plus เล่มม่วง (เฉลยข้อ จ)")</f>
        <v/>
      </c>
      <c r="O96" s="2">
        <f>IFERROR(__xludf.DUMMYFUNCTION("""COMPUTED_VALUE"""),"Mock")</f>
        <v/>
      </c>
      <c r="P96" s="2">
        <f>IFERROR(__xludf.DUMMYFUNCTION("""COMPUTED_VALUE"""),"Pharma Plus เล่มม่วง")</f>
        <v/>
      </c>
    </row>
    <row r="97" ht="13.2" customHeight="1" s="49">
      <c r="A97" s="2">
        <f>IFERROR(__xludf.DUMMYFUNCTION("""COMPUTED_VALUE"""),"31")</f>
        <v/>
      </c>
      <c r="B97" s="2">
        <f>IFERROR(__xludf.DUMMYFUNCTION("""COMPUTED_VALUE"""),"จากโครงสร้างของยา glybenclamide ข้อใดเป็นเหตุผลที่ทำให้ duration นานขึ้น")</f>
        <v/>
      </c>
      <c r="C97" s="2" t="n"/>
      <c r="D97" s="2">
        <f>IFERROR(__xludf.DUMMYFUNCTION("""COMPUTED_VALUE"""),"สามารถหมุนแสง polarized ได้")</f>
        <v/>
      </c>
      <c r="E97" s="2">
        <f>IFERROR(__xludf.DUMMYFUNCTION("""COMPUTED_VALUE"""),"สามารถวิเคราะห์ได้โดยใช้วิธี HPLC-UV detection")</f>
        <v/>
      </c>
      <c r="F97" s="2">
        <f>IFERROR(__xludf.DUMMYFUNCTION("""COMPUTED_VALUE"""),"หมู่ซัลโฟไททำให้โครงสร้างมีความเป็นกรด")</f>
        <v/>
      </c>
      <c r="G97" s="2">
        <f>IFERROR(__xludf.DUMMYFUNCTION("""COMPUTED_VALUE"""),"หมู่ยูเรียทำให้โครงสร้างมีความเป็นเบส")</f>
        <v/>
      </c>
      <c r="H97" s="2">
        <f>IFERROR(__xludf.DUMMYFUNCTION("""COMPUTED_VALUE"""),"วงแหวนอะโรมาติกปลาย ซึ่งมีหมู่คลอโรในเมตาบอไลต์โดยกระบวนการออกซิเดชันได้")</f>
        <v/>
      </c>
      <c r="I97" s="2">
        <f>IFERROR(__xludf.DUMMYFUNCTION("""COMPUTED_VALUE"""),"5")</f>
        <v/>
      </c>
      <c r="J97" s="2">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2" t="n"/>
      <c r="L97" s="2">
        <f>IFERROR(__xludf.DUMMYFUNCTION("""COMPUTED_VALUE"""),"SAR &amp; Drug Design")</f>
        <v/>
      </c>
      <c r="M97" s="2">
        <f>IFERROR(__xludf.DUMMYFUNCTION("""COMPUTED_VALUE"""),"Product")</f>
        <v/>
      </c>
      <c r="N97" s="2">
        <f>IFERROR(__xludf.DUMMYFUNCTION("""COMPUTED_VALUE"""),"ข้อ 31 Pharma Plus เล่มม่วง (เฉลยข้อ จ)")</f>
        <v/>
      </c>
      <c r="O97" s="2">
        <f>IFERROR(__xludf.DUMMYFUNCTION("""COMPUTED_VALUE"""),"Mock")</f>
        <v/>
      </c>
      <c r="P97" s="2">
        <f>IFERROR(__xludf.DUMMYFUNCTION("""COMPUTED_VALUE"""),"Pharma Plus เล่มม่วง")</f>
        <v/>
      </c>
    </row>
    <row r="98" ht="13.2" customHeight="1" s="49">
      <c r="A98" s="2">
        <f>IFERROR(__xludf.DUMMYFUNCTION("""COMPUTED_VALUE"""),"32")</f>
        <v/>
      </c>
      <c r="B98" s="2">
        <f>IFERROR(__xludf.DUMMYFUNCTION("""COMPUTED_VALUE"""),"จากสูตรโครงสร้างต่อไปนี้ของยา glipizide จัดว่าเป็นยากลุ่มใด")</f>
        <v/>
      </c>
      <c r="C98" s="2" t="n"/>
      <c r="D98" s="2">
        <f>IFERROR(__xludf.DUMMYFUNCTION("""COMPUTED_VALUE"""),"Biguanides")</f>
        <v/>
      </c>
      <c r="E98" s="2">
        <f>IFERROR(__xludf.DUMMYFUNCTION("""COMPUTED_VALUE"""),"Nicotinic acids")</f>
        <v/>
      </c>
      <c r="F98" s="2">
        <f>IFERROR(__xludf.DUMMYFUNCTION("""COMPUTED_VALUE"""),"Sulfonylurea compounds")</f>
        <v/>
      </c>
      <c r="G98" s="2">
        <f>IFERROR(__xludf.DUMMYFUNCTION("""COMPUTED_VALUE"""),"Nucleoside analogue")</f>
        <v/>
      </c>
      <c r="H98" s="2">
        <f>IFERROR(__xludf.DUMMYFUNCTION("""COMPUTED_VALUE"""),"Sulfones")</f>
        <v/>
      </c>
      <c r="I98" s="2">
        <f>IFERROR(__xludf.DUMMYFUNCTION("""COMPUTED_VALUE"""),"3")</f>
        <v/>
      </c>
      <c r="J98" s="2">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2" t="n"/>
      <c r="L98" s="2">
        <f>IFERROR(__xludf.DUMMYFUNCTION("""COMPUTED_VALUE"""),"SAR &amp; Drug Design")</f>
        <v/>
      </c>
      <c r="M98" s="2">
        <f>IFERROR(__xludf.DUMMYFUNCTION("""COMPUTED_VALUE"""),"Product")</f>
        <v/>
      </c>
      <c r="N98" s="2">
        <f>IFERROR(__xludf.DUMMYFUNCTION("""COMPUTED_VALUE"""),"ข้อ 32 Pharma Plus เล่มม่วง (เฉลยข้อ ค)")</f>
        <v/>
      </c>
      <c r="O98" s="2">
        <f>IFERROR(__xludf.DUMMYFUNCTION("""COMPUTED_VALUE"""),"Mock")</f>
        <v/>
      </c>
      <c r="P98" s="2">
        <f>IFERROR(__xludf.DUMMYFUNCTION("""COMPUTED_VALUE"""),"Pharma Plus เล่มม่วง")</f>
        <v/>
      </c>
    </row>
    <row r="99" ht="13.2" customHeight="1" s="49">
      <c r="A99" s="2">
        <f>IFERROR(__xludf.DUMMYFUNCTION("""COMPUTED_VALUE"""),"33")</f>
        <v/>
      </c>
      <c r="B99" s="2">
        <f>IFERROR(__xludf.DUMMYFUNCTION("""COMPUTED_VALUE"""),"โครงสร้างต่อไปนี้เป็นโครงสร้างของยากลุ่มใด")</f>
        <v/>
      </c>
      <c r="C99" s="2" t="n"/>
      <c r="D99" s="2">
        <f>IFERROR(__xludf.DUMMYFUNCTION("""COMPUTED_VALUE"""),"Iodoperoxidase inhibitor")</f>
        <v/>
      </c>
      <c r="E99" s="2">
        <f>IFERROR(__xludf.DUMMYFUNCTION("""COMPUTED_VALUE"""),"Sulfonylurea")</f>
        <v/>
      </c>
      <c r="F99" s="2">
        <f>IFERROR(__xludf.DUMMYFUNCTION("""COMPUTED_VALUE"""),"Thyroid hormone")</f>
        <v/>
      </c>
      <c r="G99" s="2">
        <f>IFERROR(__xludf.DUMMYFUNCTION("""COMPUTED_VALUE"""),"Biguanide")</f>
        <v/>
      </c>
      <c r="H99" s="2">
        <f>IFERROR(__xludf.DUMMYFUNCTION("""COMPUTED_VALUE"""),"Insulin analog")</f>
        <v/>
      </c>
      <c r="I99" s="2">
        <f>IFERROR(__xludf.DUMMYFUNCTION("""COMPUTED_VALUE"""),"4")</f>
        <v/>
      </c>
      <c r="J99" s="2">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2" t="n"/>
      <c r="L99" s="2">
        <f>IFERROR(__xludf.DUMMYFUNCTION("""COMPUTED_VALUE"""),"SAR &amp; Drug Design")</f>
        <v/>
      </c>
      <c r="M99" s="2">
        <f>IFERROR(__xludf.DUMMYFUNCTION("""COMPUTED_VALUE"""),"Product")</f>
        <v/>
      </c>
      <c r="N99" s="2">
        <f>IFERROR(__xludf.DUMMYFUNCTION("""COMPUTED_VALUE"""),"ข้อ 33 Pharma Plus เล่มม่วง (เฉลยข้อ ง)")</f>
        <v/>
      </c>
      <c r="O99" s="2">
        <f>IFERROR(__xludf.DUMMYFUNCTION("""COMPUTED_VALUE"""),"Mock")</f>
        <v/>
      </c>
      <c r="P99" s="2">
        <f>IFERROR(__xludf.DUMMYFUNCTION("""COMPUTED_VALUE"""),"Pharma Plus เล่มม่วง")</f>
        <v/>
      </c>
    </row>
    <row r="100" ht="13.2" customHeight="1" s="49">
      <c r="A100" s="2">
        <f>IFERROR(__xludf.DUMMYFUNCTION("""COMPUTED_VALUE"""),"34")</f>
        <v/>
      </c>
      <c r="B100" s="2">
        <f>IFERROR(__xludf.DUMMYFUNCTION("""COMPUTED_VALUE"""),"ชื่อเรียกทั่วไปของยาที่มีโครงสร้างในรูป คือ (ยา PTU)")</f>
        <v/>
      </c>
      <c r="C100" s="2" t="n"/>
      <c r="D100" s="2">
        <f>IFERROR(__xludf.DUMMYFUNCTION("""COMPUTED_VALUE"""),"6 propyl 3 thiouracil")</f>
        <v/>
      </c>
      <c r="E100" s="2">
        <f>IFERROR(__xludf.DUMMYFUNCTION("""COMPUTED_VALUE"""),"1 propyl 5 thiouracil")</f>
        <v/>
      </c>
      <c r="F100" s="2">
        <f>IFERROR(__xludf.DUMMYFUNCTION("""COMPUTED_VALUE"""),"2 propyl 6 thiouracil")</f>
        <v/>
      </c>
      <c r="G100" s="2">
        <f>IFERROR(__xludf.DUMMYFUNCTION("""COMPUTED_VALUE"""),"2 propyl 5 thiouracil")</f>
        <v/>
      </c>
      <c r="H100" s="2">
        <f>IFERROR(__xludf.DUMMYFUNCTION("""COMPUTED_VALUE"""),"6 propyl 2 thiouracil")</f>
        <v/>
      </c>
      <c r="I100" s="2">
        <f>IFERROR(__xludf.DUMMYFUNCTION("""COMPUTED_VALUE"""),"5")</f>
        <v/>
      </c>
      <c r="J100" s="2">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2" t="n"/>
      <c r="L100" s="2">
        <f>IFERROR(__xludf.DUMMYFUNCTION("""COMPUTED_VALUE"""),"SAR &amp; Drug Design")</f>
        <v/>
      </c>
      <c r="M100" s="2">
        <f>IFERROR(__xludf.DUMMYFUNCTION("""COMPUTED_VALUE"""),"Product")</f>
        <v/>
      </c>
      <c r="N100" s="2">
        <f>IFERROR(__xludf.DUMMYFUNCTION("""COMPUTED_VALUE"""),"ข้อ 34 Pharma Plus เล่มม่วง (เฉลยข้อ จ)")</f>
        <v/>
      </c>
      <c r="O100" s="2">
        <f>IFERROR(__xludf.DUMMYFUNCTION("""COMPUTED_VALUE"""),"Mock")</f>
        <v/>
      </c>
      <c r="P100" s="2">
        <f>IFERROR(__xludf.DUMMYFUNCTION("""COMPUTED_VALUE"""),"Pharma Plus เล่มม่วง")</f>
        <v/>
      </c>
    </row>
    <row r="101" ht="13.2" customHeight="1" s="49">
      <c r="A101" s="2">
        <f>IFERROR(__xludf.DUMMYFUNCTION("""COMPUTED_VALUE"""),"35")</f>
        <v/>
      </c>
      <c r="B101" s="2">
        <f>IFERROR(__xludf.DUMMYFUNCTION("""COMPUTED_VALUE"""),"จากโครงสร้างของยา 3 ชนิด (methimazole, carbimazole และ propylthiouracil)
ข้อใดถูกต้องเกี่ยวกับยา methimazole, carbimazole และ propylthiouracil")</f>
        <v/>
      </c>
      <c r="C101" s="2" t="n"/>
      <c r="D101" s="2">
        <f>IFERROR(__xludf.DUMMYFUNCTION("""COMPUTED_VALUE"""),"Methimazole, carbimazole และ propylthiouracil ถูก metabolized โดยปฏิกิริยา desulfunation ก่อนจึงจะได้สารที่มีฤทธิ์ทางเภสัชวิทยา")</f>
        <v/>
      </c>
      <c r="E101" s="2">
        <f>IFERROR(__xludf.DUMMYFUNCTION("""COMPUTED_VALUE"""),"Propylthiouracil จะถูก metabolized โดยปฏิกิริยา dealkylation ซึ่งจะตัด Propyl group ออกก่อนจึงจะได้สารที่มีฤทธิ์ทางเภสัชวิทยา")</f>
        <v/>
      </c>
      <c r="F101" s="2">
        <f>IFERROR(__xludf.DUMMYFUNCTION("""COMPUTED_VALUE"""),"Methimazole จะถูก metabolized โดยปฏิกิริยา conjugation ได้เป็น carbimazole จึงจะได้สารที่มีฤทธิ์ทางเภสัชวิทยาที่ต้องการ")</f>
        <v/>
      </c>
      <c r="G101" s="2">
        <f>IFERROR(__xludf.DUMMYFUNCTION("""COMPUTED_VALUE"""),"ต้องเกิดปฏิกิริยา amide hydrolysis กับโครงสร้าง carbimazole จึงจะได้สารที่มีฤทธิ์ทางเภสัชวิทยาที่ต้องการ")</f>
        <v/>
      </c>
      <c r="H101" s="2">
        <f>IFERROR(__xludf.DUMMYFUNCTION("""COMPUTED_VALUE"""),"ต้องเกิดปฏิกิริยา ester hydrolysis กับโครงสร้าง carbimazole จึงจะได้สารที่มีฤทธิ์ทางเภสัชวิทยาที่ต้องการ")</f>
        <v/>
      </c>
      <c r="I101" s="2">
        <f>IFERROR(__xludf.DUMMYFUNCTION("""COMPUTED_VALUE"""),"4")</f>
        <v/>
      </c>
      <c r="J101" s="2">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2" t="n"/>
      <c r="L101" s="2">
        <f>IFERROR(__xludf.DUMMYFUNCTION("""COMPUTED_VALUE"""),"SAR &amp; Drug Design")</f>
        <v/>
      </c>
      <c r="M101" s="2">
        <f>IFERROR(__xludf.DUMMYFUNCTION("""COMPUTED_VALUE"""),"Product")</f>
        <v/>
      </c>
      <c r="N101" s="2">
        <f>IFERROR(__xludf.DUMMYFUNCTION("""COMPUTED_VALUE"""),"ข้อ 35 Pharma Plus เล่มม่วง (เฉลยข้อ ง)")</f>
        <v/>
      </c>
      <c r="O101" s="2">
        <f>IFERROR(__xludf.DUMMYFUNCTION("""COMPUTED_VALUE"""),"Mock")</f>
        <v/>
      </c>
      <c r="P101" s="2">
        <f>IFERROR(__xludf.DUMMYFUNCTION("""COMPUTED_VALUE"""),"Pharma Plus เล่มม่วง")</f>
        <v/>
      </c>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Q226"/>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c r="Q2" t="inlineStr">
        <is>
          <t>Case ID (รหัสเคส)</t>
        </is>
      </c>
    </row>
    <row r="3" ht="409.6" customHeight="1" s="49">
      <c r="A3" s="32" t="n">
        <v>1</v>
      </c>
      <c r="B3" s="32"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32" t="n"/>
      <c r="D3" s="32" t="inlineStr">
        <is>
          <t>Tramadol</t>
        </is>
      </c>
      <c r="E3" s="32" t="inlineStr">
        <is>
          <t>Naproxen</t>
        </is>
      </c>
      <c r="F3" s="32" t="inlineStr">
        <is>
          <t>Pethidine</t>
        </is>
      </c>
      <c r="G3" s="32" t="inlineStr">
        <is>
          <t>Probenecid</t>
        </is>
      </c>
      <c r="H3" s="32" t="inlineStr">
        <is>
          <t>Allopurinol</t>
        </is>
      </c>
      <c r="I3" s="32" t="n">
        <v>2</v>
      </c>
      <c r="J3" s="32"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32" t="n"/>
      <c r="L3" s="32" t="inlineStr">
        <is>
          <t>Gout</t>
        </is>
      </c>
      <c r="M3" s="32" t="inlineStr">
        <is>
          <t>Clinic</t>
        </is>
      </c>
      <c r="N3" s="32" t="inlineStr">
        <is>
          <t>Gout Acute Flare: First-line = NSAIDs / Colchicine. ห้ามเริ่มยาลดกรดยูริกขณะ acute flare</t>
        </is>
      </c>
      <c r="O3" s="32" t="inlineStr">
        <is>
          <t>ข้อสอบจริง</t>
        </is>
      </c>
      <c r="P3" s="32" t="inlineStr">
        <is>
          <t>2567</t>
        </is>
      </c>
    </row>
    <row r="4" ht="409.6" customHeight="1" s="49">
      <c r="A4" s="32" t="n">
        <v>2</v>
      </c>
      <c r="B4" s="32"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32" t="n"/>
      <c r="D4" s="32" t="inlineStr">
        <is>
          <t>น้ำผลไม้รสหวานที่มีน้ำตาล Fructose สูง</t>
        </is>
      </c>
      <c r="E4" s="32" t="inlineStr">
        <is>
          <t>ตับทอดหรือเครื่องในสัตว์</t>
        </is>
      </c>
      <c r="F4" s="32" t="inlineStr">
        <is>
          <t>เครื่องดื่มประเภทเบียร์หรือแอลกอฮอล์</t>
        </is>
      </c>
      <c r="G4" s="32" t="inlineStr">
        <is>
          <t>นมหรือผลิตภัณฑ์นมประเภทพร่องมันเนย (Low-fat dairy products)</t>
        </is>
      </c>
      <c r="H4" s="32" t="inlineStr">
        <is>
          <t>ปีกไก่ทอดหรือสัตว์ปีก</t>
        </is>
      </c>
      <c r="I4" s="32" t="n">
        <v>4</v>
      </c>
      <c r="J4" s="32"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32" t="n"/>
      <c r="L4" s="32" t="inlineStr">
        <is>
          <t>Gout</t>
        </is>
      </c>
      <c r="M4" s="32" t="inlineStr">
        <is>
          <t>Clinic</t>
        </is>
      </c>
      <c r="N4" s="32" t="inlineStr">
        <is>
          <t>Gout Lifestyle: Low-fat dairy ช่วยลดกรดยูริก; หลีกเลี่ยง High-fructose, แอลกอฮอล์, เครื่องใน</t>
        </is>
      </c>
      <c r="O4" s="32" t="inlineStr">
        <is>
          <t>ข้อสอบจริง</t>
        </is>
      </c>
      <c r="P4" s="32" t="inlineStr">
        <is>
          <t>2567</t>
        </is>
      </c>
    </row>
    <row r="5" ht="409.6" customHeight="1" s="49">
      <c r="A5" s="32" t="n">
        <v>3</v>
      </c>
      <c r="B5" s="32"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32" t="n"/>
      <c r="D5" s="32" t="inlineStr">
        <is>
          <t>ปวดศีรษะรุนแรง</t>
        </is>
      </c>
      <c r="E5" s="32" t="inlineStr">
        <is>
          <t>ผื่นลมพิษตามผิวหนัง</t>
        </is>
      </c>
      <c r="F5" s="32" t="inlineStr">
        <is>
          <t>ท้องเสียถ่ายเหลว</t>
        </is>
      </c>
      <c r="G5" s="32" t="inlineStr">
        <is>
          <t>ปัสสาวะเป็นเลือด</t>
        </is>
      </c>
      <c r="H5" s="32" t="inlineStr">
        <is>
          <t>ความดันโลหิตต่ำฉับพลัน</t>
        </is>
      </c>
      <c r="I5" s="32" t="n">
        <v>3</v>
      </c>
      <c r="J5" s="32"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32" t="n"/>
      <c r="L5" s="32" t="inlineStr">
        <is>
          <t>Gout</t>
        </is>
      </c>
      <c r="M5" s="32" t="inlineStr">
        <is>
          <t>Clinic</t>
        </is>
      </c>
      <c r="N5" s="32" t="inlineStr">
        <is>
          <t>Colchicine Toxicity: สัญญาณเตือนพิษเฉียบพลัน = Diarrhea, N/V. แนะนำ Low-dose regimen</t>
        </is>
      </c>
      <c r="O5" s="32" t="inlineStr">
        <is>
          <t>ข้อสอบจริง</t>
        </is>
      </c>
      <c r="P5" s="32" t="inlineStr">
        <is>
          <t>2567</t>
        </is>
      </c>
    </row>
    <row r="6" ht="409.6" customHeight="1" s="49">
      <c r="A6" s="32" t="n">
        <v>4</v>
      </c>
      <c r="B6" s="32" t="inlineStr">
        <is>
          <t>หากผู้ป่วยโรคเกาต์ตรวจพบยีนหรืออัลลีลเสี่ยงต่อการแพ้ยารุนแรงชนิด HLA-B58:01 ห้ามใช้ยาในข้อใดต่อไปนี้</t>
        </is>
      </c>
      <c r="C6" s="32" t="n"/>
      <c r="D6" s="32" t="inlineStr">
        <is>
          <t>Allopurinol</t>
        </is>
      </c>
      <c r="E6" s="32" t="inlineStr">
        <is>
          <t>Febuxostat</t>
        </is>
      </c>
      <c r="F6" s="32" t="inlineStr">
        <is>
          <t>Benzbromarone</t>
        </is>
      </c>
      <c r="G6" s="32" t="inlineStr">
        <is>
          <t>Probenecid</t>
        </is>
      </c>
      <c r="H6" s="32" t="inlineStr">
        <is>
          <t>Lesinurad</t>
        </is>
      </c>
      <c r="I6" s="32" t="n">
        <v>1</v>
      </c>
      <c r="J6"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32" t="n"/>
      <c r="L6" s="32" t="inlineStr">
        <is>
          <t>Gout</t>
        </is>
      </c>
      <c r="M6" s="32" t="inlineStr">
        <is>
          <t>Clinic</t>
        </is>
      </c>
      <c r="N6" s="32" t="inlineStr">
        <is>
          <t>Allopurinol SCARs: ผู้ป่วยไทยมีความชุกของ HLA-B58:01 สูง เสี่ยง SJS/TEN ต้องคัดกรอง</t>
        </is>
      </c>
      <c r="O6" s="32" t="inlineStr">
        <is>
          <t>ข้อสอบจริง</t>
        </is>
      </c>
      <c r="P6" s="32" t="inlineStr">
        <is>
          <t>2567</t>
        </is>
      </c>
    </row>
    <row r="7" ht="409.6" customHeight="1" s="49">
      <c r="A7" s="32" t="n">
        <v>5</v>
      </c>
      <c r="B7" s="32"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32" t="n"/>
      <c r="D7" s="32" t="inlineStr">
        <is>
          <t>Osteoarthritis</t>
        </is>
      </c>
      <c r="E7" s="32" t="inlineStr">
        <is>
          <t>Osteoporosis</t>
        </is>
      </c>
      <c r="F7" s="32" t="inlineStr">
        <is>
          <t>Rheumatoid arthritis</t>
        </is>
      </c>
      <c r="G7" s="32" t="inlineStr">
        <is>
          <t>Gout</t>
        </is>
      </c>
      <c r="H7" s="32" t="inlineStr">
        <is>
          <t>Osteomalacia</t>
        </is>
      </c>
      <c r="I7" s="32" t="n">
        <v>1</v>
      </c>
      <c r="J7"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32" t="n"/>
      <c r="L7" s="32" t="inlineStr">
        <is>
          <t>Osteoarthritis</t>
        </is>
      </c>
      <c r="M7" s="32" t="inlineStr">
        <is>
          <t>Clinic</t>
        </is>
      </c>
      <c r="N7" s="32" t="inlineStr">
        <is>
          <t>OA Diagnosis: Morning stiffness &lt; 30 นาที, Crepitus, ปวดเมื่อใช้งาน ดีขึ้นเมื่อพัก</t>
        </is>
      </c>
      <c r="O7" s="32" t="inlineStr">
        <is>
          <t>ข้อสอบจริง</t>
        </is>
      </c>
      <c r="P7" s="32" t="inlineStr">
        <is>
          <t>2567</t>
        </is>
      </c>
    </row>
    <row r="8" ht="409.6" customHeight="1" s="49">
      <c r="A8" s="32" t="n">
        <v>6</v>
      </c>
      <c r="B8" s="32"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32" t="n"/>
      <c r="D8" s="32" t="inlineStr">
        <is>
          <t>Oral NSAIDs (เช่น Diclofenac)</t>
        </is>
      </c>
      <c r="E8" s="32" t="inlineStr">
        <is>
          <t>Oral Paracetamol + Orphenadrine</t>
        </is>
      </c>
      <c r="F8" s="32" t="inlineStr">
        <is>
          <t>Oral Ondansetron</t>
        </is>
      </c>
      <c r="G8" s="32" t="inlineStr">
        <is>
          <t>Oral Tramadol</t>
        </is>
      </c>
      <c r="H8" s="32" t="inlineStr">
        <is>
          <t>Topical NSAIDs (เช่น Diclofenac emulgel)</t>
        </is>
      </c>
      <c r="I8" s="32" t="n">
        <v>5</v>
      </c>
      <c r="J8" s="32"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32" t="n"/>
      <c r="L8" s="32" t="inlineStr">
        <is>
          <t>Osteoarthritis</t>
        </is>
      </c>
      <c r="M8" s="32" t="inlineStr">
        <is>
          <t>Clinic</t>
        </is>
      </c>
      <c r="N8" s="32" t="inlineStr">
        <is>
          <t>OA Knee First-line: Topical NSAIDs (Diclofenac emulgel) มีประสิทธิภาพดีและปลอดภัยต่อ GI/CV/Renal</t>
        </is>
      </c>
      <c r="O8" s="32" t="inlineStr">
        <is>
          <t>ข้อสอบจริง</t>
        </is>
      </c>
      <c r="P8" s="32" t="inlineStr">
        <is>
          <t>2567</t>
        </is>
      </c>
    </row>
    <row r="9" ht="409.6" customHeight="1" s="49">
      <c r="A9" s="32" t="n">
        <v>7</v>
      </c>
      <c r="B9" s="32"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32" t="n"/>
      <c r="D9" s="32" t="inlineStr">
        <is>
          <t>Alkaline phosphatase</t>
        </is>
      </c>
      <c r="E9" s="32" t="inlineStr">
        <is>
          <t>Hemoglobin</t>
        </is>
      </c>
      <c r="F9" s="32" t="inlineStr">
        <is>
          <t>Creatine phosphokinase</t>
        </is>
      </c>
      <c r="G9" s="32" t="inlineStr">
        <is>
          <t>HLA-B58:01</t>
        </is>
      </c>
      <c r="H9" s="32" t="inlineStr">
        <is>
          <t>CYP3A4 polymorphism</t>
        </is>
      </c>
      <c r="I9" s="32" t="n">
        <v>4</v>
      </c>
      <c r="J9"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32" t="n"/>
      <c r="L9" s="32" t="inlineStr">
        <is>
          <t>Gout</t>
        </is>
      </c>
      <c r="M9" s="32" t="inlineStr">
        <is>
          <t>Clinic</t>
        </is>
      </c>
      <c r="N9" s="32" t="inlineStr">
        <is>
          <t>Allopurinol Pharmacogenomics: ตรวจยีน HLA-B58:01 ก่อนเริ่มยาในคนไทยทุกราย</t>
        </is>
      </c>
      <c r="O9" s="32" t="inlineStr">
        <is>
          <t>ข้อสอบจริง</t>
        </is>
      </c>
      <c r="P9" s="32" t="inlineStr">
        <is>
          <t>2567</t>
        </is>
      </c>
    </row>
    <row r="10" ht="409.6" customHeight="1" s="49">
      <c r="A10" s="32" t="n">
        <v>8</v>
      </c>
      <c r="B10" s="32"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32" t="n"/>
      <c r="D10" s="32" t="inlineStr">
        <is>
          <t>เพื่อป้องกันการเกิดข้ออักเสบเฉียบพลัน (Gout flare prophylaxis) ในระยะเริ่มยาลดกรดยูริก</t>
        </is>
      </c>
      <c r="E10" s="32" t="inlineStr">
        <is>
          <t>เสริมฤทธิ์ยา Allopurinol ในการขับกรดยูริกโดยทำหน้าที่คนละกลไก</t>
        </is>
      </c>
      <c r="F10" s="32" t="inlineStr">
        <is>
          <t>ป้องกันการเกิดก้อนโทฟัส (Tophi) ตามข้อต่าง ๆ</t>
        </is>
      </c>
      <c r="G10" s="32" t="inlineStr">
        <is>
          <t>ป้องกันการสะสมและการตกผลึกของสาร Xanthine ในหลอดเลือด</t>
        </is>
      </c>
      <c r="H10" s="32" t="inlineStr">
        <is>
          <t>เสริมฤทธิ์ยา Allopurinol โดยช่วยลดการขับถ่ายยาออกทางไต</t>
        </is>
      </c>
      <c r="I10" s="32" t="n">
        <v>1</v>
      </c>
      <c r="J10" s="32"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32" t="n"/>
      <c r="L10" s="32" t="inlineStr">
        <is>
          <t>Gout</t>
        </is>
      </c>
      <c r="M10" s="32" t="inlineStr">
        <is>
          <t>Clinic</t>
        </is>
      </c>
      <c r="N10" s="32" t="inlineStr">
        <is>
          <t>Gout Flare Prophylaxis: ให้ Colchicine / NSAID ร่วมกับ Allopurinol นานอย่างน้อย 3-6 เดือน</t>
        </is>
      </c>
      <c r="O10" s="32" t="inlineStr">
        <is>
          <t>ข้อสอบจริง</t>
        </is>
      </c>
      <c r="P10" s="32" t="inlineStr">
        <is>
          <t>2567</t>
        </is>
      </c>
    </row>
    <row r="11" ht="409.6" customHeight="1" s="49">
      <c r="A11" s="32" t="n">
        <v>9</v>
      </c>
      <c r="B11" s="32"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32" t="n"/>
      <c r="D11" s="32" t="inlineStr">
        <is>
          <t>Oral Paracetamol + Orphenadrine</t>
        </is>
      </c>
      <c r="E11" s="32" t="inlineStr">
        <is>
          <t>Topical NSAIDs (เช่น Diclofenac emulgel)</t>
        </is>
      </c>
      <c r="F11" s="32" t="inlineStr">
        <is>
          <t>Oral Tramadol</t>
        </is>
      </c>
      <c r="G11" s="32" t="inlineStr">
        <is>
          <t>Oral Diclofenac sodium</t>
        </is>
      </c>
      <c r="H11" s="32" t="inlineStr">
        <is>
          <t>Glucosamine sulfate oral capsule</t>
        </is>
      </c>
      <c r="I11" s="32" t="n">
        <v>2</v>
      </c>
      <c r="J11" s="32"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32" t="n"/>
      <c r="L11" s="32" t="inlineStr">
        <is>
          <t>Osteoarthritis</t>
        </is>
      </c>
      <c r="M11" s="32" t="inlineStr">
        <is>
          <t>Clinic</t>
        </is>
      </c>
      <c r="N11" s="32" t="inlineStr">
        <is>
          <t>ACR 2019 OA: แนะนำ Topical NSAID เป็นอันดับแรกก่อน Oral NSAID ในข้อเข่าเสื่อม</t>
        </is>
      </c>
      <c r="O11" s="32" t="inlineStr">
        <is>
          <t>ข้อสอบจริง</t>
        </is>
      </c>
      <c r="P11" s="32" t="inlineStr">
        <is>
          <t>2566</t>
        </is>
      </c>
    </row>
    <row r="12" ht="409.6" customHeight="1" s="49">
      <c r="A12" s="32" t="n">
        <v>10</v>
      </c>
      <c r="B12" s="32"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32" t="n"/>
      <c r="D12" s="32" t="inlineStr">
        <is>
          <t>ท้องเสียถ่ายเหลว</t>
        </is>
      </c>
      <c r="E12" s="32" t="inlineStr">
        <is>
          <t>ปวดศีรษะเฉียบพลัน</t>
        </is>
      </c>
      <c r="F12" s="32" t="inlineStr">
        <is>
          <t>ความดันโลหิตต่ำ</t>
        </is>
      </c>
      <c r="G12" s="32" t="inlineStr">
        <is>
          <t>ผื่นคันตามผิวหนัง</t>
        </is>
      </c>
      <c r="H12" s="32" t="inlineStr">
        <is>
          <t>ปัสสาวะเป็นเลือด</t>
        </is>
      </c>
      <c r="I12" s="32" t="n">
        <v>1</v>
      </c>
      <c r="J12" s="32"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32" t="n"/>
      <c r="L12" s="32" t="inlineStr">
        <is>
          <t>Gout</t>
        </is>
      </c>
      <c r="M12" s="32" t="inlineStr">
        <is>
          <t>Clinic</t>
        </is>
      </c>
      <c r="N12" s="32" t="inlineStr">
        <is>
          <t>Colchicine Counseling: หยุดยาหรือลดขนาดทันทีหากเกิดอาการถ่ายเหลวรุนแรง</t>
        </is>
      </c>
      <c r="O12" s="32" t="inlineStr">
        <is>
          <t>ข้อสอบจริง</t>
        </is>
      </c>
      <c r="P12" s="32" t="inlineStr">
        <is>
          <t>2566</t>
        </is>
      </c>
    </row>
    <row r="13" ht="409.6" customHeight="1" s="49">
      <c r="A13" s="32" t="n">
        <v>11</v>
      </c>
      <c r="B13" s="32"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32" t="n"/>
      <c r="D13" s="32" t="inlineStr">
        <is>
          <t>Sulfasalazine</t>
        </is>
      </c>
      <c r="E13" s="32" t="inlineStr">
        <is>
          <t>เพิ่มขนาด Methotrexate</t>
        </is>
      </c>
      <c r="F13" s="32" t="inlineStr">
        <is>
          <t>เพิ่มขนาด Prednisolone</t>
        </is>
      </c>
      <c r="G13" s="32" t="inlineStr">
        <is>
          <t>เพิ่มยา Hydroxychloroquine</t>
        </is>
      </c>
      <c r="H13" s="32" t="inlineStr">
        <is>
          <t>เพิ่มยา Azathioprine</t>
        </is>
      </c>
      <c r="I13" s="32" t="n">
        <v>4</v>
      </c>
      <c r="J13" s="32"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32" t="n"/>
      <c r="L13" s="32" t="inlineStr">
        <is>
          <t>Rheumatoid arthritis</t>
        </is>
      </c>
      <c r="M13" s="32" t="inlineStr">
        <is>
          <t>Clinic</t>
        </is>
      </c>
      <c r="N13" s="32" t="inlineStr">
        <is>
          <t>RA Treat-to-target: หากคุมโรคไม่ได้ด้วย MTX ให้พิจารณา Add-on csDMARDs อื่น (เช่น HCQ, SSZ)</t>
        </is>
      </c>
      <c r="O13" s="32" t="inlineStr">
        <is>
          <t>ข้อสอบจริง</t>
        </is>
      </c>
      <c r="P13" s="32" t="inlineStr">
        <is>
          <t>2566</t>
        </is>
      </c>
    </row>
    <row r="14" ht="409.6" customHeight="1" s="49">
      <c r="A14" s="32" t="n">
        <v>12</v>
      </c>
      <c r="B14" s="32"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32" t="n"/>
      <c r="D14" s="32" t="inlineStr">
        <is>
          <t>เพื่อลดผลข้างเคียงทางไตของ Allopurinol</t>
        </is>
      </c>
      <c r="E14" s="32" t="inlineStr">
        <is>
          <t>เพื่อเสริมฤทธิ์ต้านอักเสบและลดกรดยูริกของยา Allopurinol</t>
        </is>
      </c>
      <c r="F14" s="32" t="inlineStr">
        <is>
          <t>เพื่อป้องกันการเกิดข้ออักเสบเฉียบพลัน (Gout flare) จากการเปลี่ยนแปลงของระดับกรดยูริก</t>
        </is>
      </c>
      <c r="G14" s="32" t="inlineStr">
        <is>
          <t>เพื่อลดการเกิดนิ่วในไตจากกรดยูริก</t>
        </is>
      </c>
      <c r="H14" s="32" t="inlineStr">
        <is>
          <t>เพื่อเพิ่มการดูดซึมยา Allopurinol ในระบบทางเดินอาหาร</t>
        </is>
      </c>
      <c r="I14" s="32" t="n">
        <v>3</v>
      </c>
      <c r="J14" s="32"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32" t="n"/>
      <c r="L14" s="32" t="inlineStr">
        <is>
          <t>Gout</t>
        </is>
      </c>
      <c r="M14" s="32" t="inlineStr">
        <is>
          <t>Clinic</t>
        </is>
      </c>
      <c r="N14" s="32" t="inlineStr">
        <is>
          <t>Gout Prophylaxis: ป้องกัน Gout flare จากการแกว่งของระดับกรดยูริกในช่วงเริ่ม ULT</t>
        </is>
      </c>
      <c r="O14" s="32" t="inlineStr">
        <is>
          <t>ข้อสอบจริง</t>
        </is>
      </c>
      <c r="P14" s="32" t="inlineStr">
        <is>
          <t>2566</t>
        </is>
      </c>
    </row>
    <row r="15" ht="409.6" customHeight="1" s="49">
      <c r="A15" s="32" t="n">
        <v>13</v>
      </c>
      <c r="B15" s="32"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32" t="n"/>
      <c r="D15" s="32" t="inlineStr">
        <is>
          <t>Complete Blood Count (CBC)</t>
        </is>
      </c>
      <c r="E15" s="32" t="inlineStr">
        <is>
          <t>Liver function tests (AST/ALT)</t>
        </is>
      </c>
      <c r="F15" s="32" t="inlineStr">
        <is>
          <t>Renal function (Serum creatinine)</t>
        </is>
      </c>
      <c r="G15" s="32" t="inlineStr">
        <is>
          <t>Chest X-ray</t>
        </is>
      </c>
      <c r="H15" s="32" t="inlineStr">
        <is>
          <t>การตรวจตาอย่างละเอียดโดยจักษุแพทย์ (Eye examination)</t>
        </is>
      </c>
      <c r="I15" s="32" t="n">
        <v>5</v>
      </c>
      <c r="J15" s="32"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32" t="n"/>
      <c r="L15" s="32" t="inlineStr">
        <is>
          <t>Rheumatoid arthritis</t>
        </is>
      </c>
      <c r="M15" s="32" t="inlineStr">
        <is>
          <t>Clinic</t>
        </is>
      </c>
      <c r="N15" s="32" t="inlineStr">
        <is>
          <t>DMARDs Monitoring: HCQ ต้องตรวจคัดกรอง Retinal toxicity ด้วย Eye exam ประจำปี (MTX ไม่ต้อง)</t>
        </is>
      </c>
      <c r="O15" s="32" t="inlineStr">
        <is>
          <t>ข้อสอบจริง</t>
        </is>
      </c>
      <c r="P15" s="32" t="inlineStr">
        <is>
          <t>2566</t>
        </is>
      </c>
    </row>
    <row r="16" ht="409.6" customHeight="1" s="49">
      <c r="A16" s="32" t="n">
        <v>14</v>
      </c>
      <c r="B16" s="32" t="inlineStr">
        <is>
          <t>คำแนะนำข้อใดต่อไปนี้เกี่ยวกับการใช้ยา Methotrexate (MTX) ในผู้ป่วยโรคข้ออักเสบรูมาตอยด์ที่ ไม่เหมาะสม หรือผิดพลาด</t>
        </is>
      </c>
      <c r="C16" s="32" t="n"/>
      <c r="D16" s="32" t="inlineStr">
        <is>
          <t>แนะนำให้หลีกเลี่ยงการดื่มเครื่องดื่มแอลกอฮอล์ในระหว่างใช้ยานี้</t>
        </is>
      </c>
      <c r="E16" s="32" t="inlineStr">
        <is>
          <t>รับประทานยาเพียงสัปดาห์ละ 1 ครั้งตามที่แพทย์สั่ง (ห้ามกินทุกวัน)</t>
        </is>
      </c>
      <c r="F16" s="32" t="inlineStr">
        <is>
          <t>รับประทานร่วมกับ Folic acid ตามแพทย์สั่งเพื่อลดอาการปากเปื่อยและผลข้างเคียงอื่น ๆ</t>
        </is>
      </c>
      <c r="G16" s="32" t="inlineStr">
        <is>
          <t>สามารถปรับลดขนาดยาเองได้ทันทีเมื่ออาการของโรคเริ่มคงที่หรือไม่มีอาการปวดอักเสบ</t>
        </is>
      </c>
      <c r="H16" s="32" t="inlineStr">
        <is>
          <t>หากมีอาการไข้ เจ็บคอ หรือไอแห้งผิดปกติ ให้หยุดยาและรีบมาพบแพทย์ทันที</t>
        </is>
      </c>
      <c r="I16" s="32" t="n">
        <v>4</v>
      </c>
      <c r="J16" s="32"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32" t="n"/>
      <c r="L16" s="32" t="inlineStr">
        <is>
          <t>Rheumatoid arthritis</t>
        </is>
      </c>
      <c r="M16" s="32" t="inlineStr">
        <is>
          <t>Clinic</t>
        </is>
      </c>
      <c r="N16" s="32" t="inlineStr">
        <is>
          <t>DMARDs Counseling: MTX ทานสัปดาห์ละ 1 ครั้งเท่านั้น ห้ามทานทุกวัน และห้ามปรับลดขนาดยาเอง</t>
        </is>
      </c>
      <c r="O16" s="32" t="inlineStr">
        <is>
          <t>ข้อสอบจริง</t>
        </is>
      </c>
      <c r="P16" s="32" t="inlineStr">
        <is>
          <t>2566</t>
        </is>
      </c>
    </row>
    <row r="17" ht="409.6" customHeight="1" s="49">
      <c r="A17" s="32" t="n">
        <v>15</v>
      </c>
      <c r="B17" s="32"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32" t="n"/>
      <c r="D17" s="32" t="inlineStr">
        <is>
          <t>เพิ่มขนาดยา Methotrexate</t>
        </is>
      </c>
      <c r="E17" s="32" t="inlineStr">
        <is>
          <t>เพิ่มขนาดยา Corticosteroids</t>
        </is>
      </c>
      <c r="F17" s="32" t="inlineStr">
        <is>
          <t>เพิ่มยา Sulfasalazine</t>
        </is>
      </c>
      <c r="G17" s="32" t="inlineStr">
        <is>
          <t>เพิ่มยา Hydroxychloroquine</t>
        </is>
      </c>
      <c r="H17" s="32" t="inlineStr">
        <is>
          <t>เพิ่มยา Leflunomide</t>
        </is>
      </c>
      <c r="I17" s="32" t="n">
        <v>5</v>
      </c>
      <c r="J17" s="32"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32" t="n"/>
      <c r="L17" s="32" t="inlineStr">
        <is>
          <t>Rheumatoid arthritis</t>
        </is>
      </c>
      <c r="M17" s="32" t="inlineStr">
        <is>
          <t>Clinic</t>
        </is>
      </c>
      <c r="N17" s="32" t="inlineStr">
        <is>
          <t>RA Sulfa Allergy: Sulfasalazine มีโครงสร้าง Sulfa ห้ามใช้ในคนไข้แพ้ Sulfa ให้เลี่ยงไปใช้ HCQ หรือ LEF</t>
        </is>
      </c>
      <c r="O17" s="32" t="inlineStr">
        <is>
          <t>ข้อสอบจริง</t>
        </is>
      </c>
      <c r="P17" s="32" t="inlineStr">
        <is>
          <t>2566</t>
        </is>
      </c>
    </row>
    <row r="18" ht="409.6" customHeight="1" s="49">
      <c r="A18" s="32" t="n">
        <v>16</v>
      </c>
      <c r="B18" s="32" t="inlineStr">
        <is>
          <t>จากประวัติและอาการแสดงทางคลินิกของผู้ป่วยรายนี้ คาดว่าผู้ป่วยเป็นโรคในข้อใดมากที่สุด</t>
        </is>
      </c>
      <c r="C18" s="32" t="n"/>
      <c r="D18" s="32" t="inlineStr">
        <is>
          <t>Osteoporosis</t>
        </is>
      </c>
      <c r="E18" s="32" t="inlineStr">
        <is>
          <t>Rheumatoid arthritis</t>
        </is>
      </c>
      <c r="F18" s="32" t="inlineStr">
        <is>
          <t>Gout</t>
        </is>
      </c>
      <c r="G18" s="32" t="inlineStr">
        <is>
          <t>Osteoarthritis</t>
        </is>
      </c>
      <c r="H18" s="32" t="inlineStr">
        <is>
          <t>Tendinitis</t>
        </is>
      </c>
      <c r="I18" s="32" t="n">
        <v>4</v>
      </c>
      <c r="J18" s="32"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32" t="n"/>
      <c r="L18" s="32" t="inlineStr">
        <is>
          <t>Osteoarthritis</t>
        </is>
      </c>
      <c r="M18" s="32" t="inlineStr">
        <is>
          <t>Clinic</t>
        </is>
      </c>
      <c r="N18" s="32" t="inlineStr">
        <is>
          <t>OA Clinical Features: ข้อฝืดขัดสั้น ๆ (&lt;30 นาที), อาการปวดสัมพันธ์กับการลงน้ำหนัก/เคลื่อนไหว</t>
        </is>
      </c>
      <c r="O18" s="32" t="inlineStr">
        <is>
          <t>ข้อสอบจริง</t>
        </is>
      </c>
      <c r="P18" s="32" t="inlineStr">
        <is>
          <t>2566</t>
        </is>
      </c>
    </row>
    <row r="19" ht="409.6" customHeight="1" s="49">
      <c r="A19" s="32" t="n">
        <v>17</v>
      </c>
      <c r="B19" s="32"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32" t="n"/>
      <c r="D19" s="32" t="inlineStr">
        <is>
          <t>Etoricoxib</t>
        </is>
      </c>
      <c r="E19" s="32" t="inlineStr">
        <is>
          <t>Paracetamol</t>
        </is>
      </c>
      <c r="F19" s="32" t="inlineStr">
        <is>
          <t>Tolperisone</t>
        </is>
      </c>
      <c r="G19" s="32" t="inlineStr">
        <is>
          <t>Tramadol</t>
        </is>
      </c>
      <c r="H19" s="32" t="inlineStr">
        <is>
          <t>Codeine</t>
        </is>
      </c>
      <c r="I19" s="32" t="n">
        <v>1</v>
      </c>
      <c r="J19" s="32"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32" t="n"/>
      <c r="L19" s="32" t="inlineStr">
        <is>
          <t>Osteoarthritis</t>
        </is>
      </c>
      <c r="M19" s="32" t="inlineStr">
        <is>
          <t>Clinic</t>
        </is>
      </c>
      <c r="N19" s="32" t="inlineStr">
        <is>
          <t>OA CV Safety: Etoricoxib / COX-2 inhibitors เพิ่มความเสี่ยง Thrombotic CV events สูงสุด</t>
        </is>
      </c>
      <c r="O19" s="32" t="inlineStr">
        <is>
          <t>ข้อสอบจริง</t>
        </is>
      </c>
      <c r="P19" s="32" t="n"/>
    </row>
    <row r="20" ht="409.6" customHeight="1" s="49">
      <c r="A20" s="32" t="n">
        <v>18</v>
      </c>
      <c r="B20" s="32"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32" t="n"/>
      <c r="D20" s="32" t="inlineStr">
        <is>
          <t>Paracetamol + Orphenadrine</t>
        </is>
      </c>
      <c r="E20" s="32" t="inlineStr">
        <is>
          <t>Tramadol</t>
        </is>
      </c>
      <c r="F20" s="32" t="inlineStr">
        <is>
          <t>Glucosamine sulfate</t>
        </is>
      </c>
      <c r="G20" s="32" t="inlineStr">
        <is>
          <t>Capsaicin gel</t>
        </is>
      </c>
      <c r="H20" s="32" t="inlineStr">
        <is>
          <t>Diclofenac oral tablet</t>
        </is>
      </c>
      <c r="I20" s="32" t="n">
        <v>4</v>
      </c>
      <c r="J20" s="32"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32" t="n"/>
      <c r="L20" s="32" t="inlineStr">
        <is>
          <t>Gout / Herbal Medicine</t>
        </is>
      </c>
      <c r="M20" s="32" t="inlineStr">
        <is>
          <t>Clinic</t>
        </is>
      </c>
      <c r="N20" s="32" t="inlineStr">
        <is>
          <t>OA Capsaicin: Capsaicin ทาเฉพาะที่ออกฤทธิ์ยับยั้ง Substance P บรรเทาปวดข้อเข่าได้อย่างปลอดภัย</t>
        </is>
      </c>
      <c r="O20" s="32" t="inlineStr">
        <is>
          <t>ข้อสอบจริง</t>
        </is>
      </c>
      <c r="P20" s="32" t="n"/>
    </row>
    <row r="21" ht="409.6" customHeight="1" s="49">
      <c r="A21" s="32" t="n">
        <v>19</v>
      </c>
      <c r="B21" s="32" t="inlineStr">
        <is>
          <t>ข้อใดคืออาการไม่พึงประสงค์จากการใช้ยา (ADR) สัมพันธ์กับขนาดยาและพบบ่อยที่สุดของยา Colchicine</t>
        </is>
      </c>
      <c r="C21" s="32" t="n"/>
      <c r="D21" s="32" t="inlineStr">
        <is>
          <t>Stevens-Johnson Syndrome (SJS)</t>
        </is>
      </c>
      <c r="E21" s="32" t="inlineStr">
        <is>
          <t>Nephrotic syndrome</t>
        </is>
      </c>
      <c r="F21" s="32" t="inlineStr">
        <is>
          <t>ปวดศีรษะรุนแรง</t>
        </is>
      </c>
      <c r="G21" s="32" t="inlineStr">
        <is>
          <t>ท้องเสียถ่ายเหลว (Diarrhea)</t>
        </is>
      </c>
      <c r="H21" s="32" t="inlineStr">
        <is>
          <t>ง่วงซึมอย่างรุนแรง</t>
        </is>
      </c>
      <c r="I21" s="32" t="n">
        <v>4</v>
      </c>
      <c r="J21" s="32"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32" t="n"/>
      <c r="L21" s="32" t="inlineStr">
        <is>
          <t>Gout</t>
        </is>
      </c>
      <c r="M21" s="32" t="inlineStr">
        <is>
          <t>Clinic</t>
        </is>
      </c>
      <c r="N21" s="32" t="inlineStr">
        <is>
          <t>Colchicine ADR: Diarrhea เป็น ADR พบบ่อยสุดจากการรบกวนเซลล์เยื่อบุลำไส้ที่แบ่งตัวเร็ว</t>
        </is>
      </c>
      <c r="O21" s="32" t="inlineStr">
        <is>
          <t>ข้อสอบจริง</t>
        </is>
      </c>
      <c r="P21" s="32" t="inlineStr">
        <is>
          <t>2566</t>
        </is>
      </c>
    </row>
    <row r="22" ht="409.6" customHeight="1" s="49">
      <c r="A22" s="32" t="n">
        <v>20</v>
      </c>
      <c r="B22" s="32" t="inlineStr">
        <is>
          <t>เหตุใดแพทย์จึงสั่งใช้ยา Allopurinol ควบคู่กับ Colchicine วันละครั้ง ในการเริ่มต้นรักษาระยะยาว</t>
        </is>
      </c>
      <c r="C22" s="32" t="n"/>
      <c r="D22" s="32" t="inlineStr">
        <is>
          <t>ยา Colchicine ช่วยลดผลข้างเคียงและอาการไม่พึงประสงค์ของยา Allopurinol</t>
        </is>
      </c>
      <c r="E22" s="32" t="inlineStr">
        <is>
          <t>เพื่อป้องกันข้ออักเสบเฉียบพลันกำเริบ (Gout flare) ในระหว่างเริ่มต้นใช้ยาลดกรดยูริก</t>
        </is>
      </c>
      <c r="F22" s="32" t="inlineStr">
        <is>
          <t>ยา Allopurinol ช่วยเสริมฤทธิ์ลดปวดและลดการอักเสบของยา Colchicine</t>
        </is>
      </c>
      <c r="G22" s="32" t="inlineStr">
        <is>
          <t>ยา Colchicine ช่วยเสริมฤทธิ์ยา Allopurinol ในการยับยั้งการสร้างกรดยูริก</t>
        </is>
      </c>
      <c r="H22" s="32" t="inlineStr">
        <is>
          <t>ป้องกันการเกิดผลข้างเคียงระยะยาวของยาลดกรดยูริกต่อไต</t>
        </is>
      </c>
      <c r="I22" s="32" t="n">
        <v>2</v>
      </c>
      <c r="J22" s="32"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32" t="n"/>
      <c r="L22" s="32" t="inlineStr">
        <is>
          <t>Gout</t>
        </is>
      </c>
      <c r="M22" s="32" t="inlineStr">
        <is>
          <t>Clinic</t>
        </is>
      </c>
      <c r="N22" s="32" t="inlineStr">
        <is>
          <t>Gout Prophylaxis: Colchicine ป้องกันข้ออักเสบกำเริบซ้ำจากการสลายผลึก Urate ในช่วงเริ่มยาลดกรดยูริก</t>
        </is>
      </c>
      <c r="O22" s="32" t="inlineStr">
        <is>
          <t>ข้อสอบจริง</t>
        </is>
      </c>
      <c r="P22" s="32" t="inlineStr">
        <is>
          <t>2566</t>
        </is>
      </c>
    </row>
    <row r="23" ht="409.6" customHeight="1" s="49">
      <c r="A23" s="32" t="n">
        <v>21</v>
      </c>
      <c r="B23" s="32"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32" t="n"/>
      <c r="D23" s="32" t="inlineStr">
        <is>
          <t>HLA-B35:05</t>
        </is>
      </c>
      <c r="E23" s="32" t="inlineStr">
        <is>
          <t>HLA-B15:02</t>
        </is>
      </c>
      <c r="F23" s="32" t="inlineStr">
        <is>
          <t>AST/ALT</t>
        </is>
      </c>
      <c r="G23" s="32" t="inlineStr">
        <is>
          <t>HLA-B58:01</t>
        </is>
      </c>
      <c r="H23" s="32" t="inlineStr">
        <is>
          <t>Serum creatinine (SCr)</t>
        </is>
      </c>
      <c r="I23" s="32" t="n">
        <v>4</v>
      </c>
      <c r="J23" s="32"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32" t="n"/>
      <c r="L23" s="32" t="inlineStr">
        <is>
          <t>Gout</t>
        </is>
      </c>
      <c r="M23" s="32" t="inlineStr">
        <is>
          <t>Clinic</t>
        </is>
      </c>
      <c r="N23" s="32" t="inlineStr">
        <is>
          <t>Allopurinol Gene Screening: HLA-B58:01 allele เป็น biomarker ทำนายการเกิด SCARs</t>
        </is>
      </c>
      <c r="O23" s="32" t="inlineStr">
        <is>
          <t>ข้อสอบจริง</t>
        </is>
      </c>
      <c r="P23" s="32" t="inlineStr">
        <is>
          <t>2566</t>
        </is>
      </c>
    </row>
    <row r="24" ht="409.6" customHeight="1" s="49">
      <c r="A24" s="32" t="n">
        <v>22</v>
      </c>
      <c r="B24" s="32" t="inlineStr">
        <is>
          <t>ข้อใดต่อไปนี้จัดเป็นยาทางเลือกแรกที่ผู้ป่วยควรได้รับเพื่อบรรเทาอาการอักเสบเฉียบพลัน</t>
        </is>
      </c>
      <c r="C24" s="32" t="n"/>
      <c r="D24" s="32" t="inlineStr">
        <is>
          <t>Allopurinol</t>
        </is>
      </c>
      <c r="E24" s="32" t="inlineStr">
        <is>
          <t>Oral Naproxen (หรือยากลุ่ม NSAIDs)</t>
        </is>
      </c>
      <c r="F24" s="32" t="inlineStr">
        <is>
          <t>Intra-articular steroid (ยาสเตียรอยด์ฉีดเข้าข้อ)</t>
        </is>
      </c>
      <c r="G24" s="32" t="inlineStr">
        <is>
          <t>Probenecid</t>
        </is>
      </c>
      <c r="H24" s="32" t="inlineStr">
        <is>
          <t>Benzbromarone</t>
        </is>
      </c>
      <c r="I24" s="32" t="n">
        <v>2</v>
      </c>
      <c r="J24" s="32"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32" t="n"/>
      <c r="L24" s="32" t="inlineStr">
        <is>
          <t>Gout</t>
        </is>
      </c>
      <c r="M24" s="32" t="inlineStr">
        <is>
          <t>Clinic</t>
        </is>
      </c>
      <c r="N24" s="32" t="inlineStr">
        <is>
          <t>Acute Gout: Naproxen / NSAIDs เป็นทางเลือกแรก ห้ามเริ่ม Allopurinol ทันที</t>
        </is>
      </c>
      <c r="O24" s="32" t="inlineStr">
        <is>
          <t>ข้อสอบจริง</t>
        </is>
      </c>
      <c r="P24" s="32" t="inlineStr">
        <is>
          <t>2565</t>
        </is>
      </c>
    </row>
    <row r="25" ht="409.6" customHeight="1" s="49">
      <c r="A25" s="32" t="n">
        <v>23</v>
      </c>
      <c r="B25" s="32"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32" t="n"/>
      <c r="D25" s="32" t="inlineStr">
        <is>
          <t>Allopurinol</t>
        </is>
      </c>
      <c r="E25" s="32" t="inlineStr">
        <is>
          <t>Febuxostat</t>
        </is>
      </c>
      <c r="F25" s="32" t="inlineStr">
        <is>
          <t>Benzbromarone</t>
        </is>
      </c>
      <c r="G25" s="32" t="inlineStr">
        <is>
          <t>Lesinurad</t>
        </is>
      </c>
      <c r="H25" s="32" t="inlineStr">
        <is>
          <t>Probenecid</t>
        </is>
      </c>
      <c r="I25" s="32" t="n">
        <v>1</v>
      </c>
      <c r="J25" s="32"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32" t="n"/>
      <c r="L25" s="32" t="inlineStr">
        <is>
          <t>Gout</t>
        </is>
      </c>
      <c r="M25" s="32" t="inlineStr">
        <is>
          <t>Clinic</t>
        </is>
      </c>
      <c r="N25" s="32" t="inlineStr">
        <is>
          <t>Allopurinol Contraindication: ห้ามใช้เด็ดขาดในผู้ป่วยที่มีประวัติแพ้ยา Allopurinol รุนแรง (SJS/TEN)</t>
        </is>
      </c>
      <c r="O25" s="32" t="inlineStr">
        <is>
          <t>ข้อสอบจริง</t>
        </is>
      </c>
      <c r="P25" s="32" t="inlineStr">
        <is>
          <t>2565</t>
        </is>
      </c>
    </row>
    <row r="26" ht="409.6" customHeight="1" s="49">
      <c r="A26" s="32" t="n">
        <v>24</v>
      </c>
      <c r="B26" s="32" t="inlineStr">
        <is>
          <t>ข้อใดต่อไปนี้ ไม่ใช่ คำแนะนำในการปฏิบัติตัวและปรับพฤติกรรม (Non-pharmacological therapy) ที่เหมาะสมสำหรับผู้ป่วยโรคเกาต์</t>
        </is>
      </c>
      <c r="C26" s="32" t="n"/>
      <c r="D26" s="32" t="inlineStr">
        <is>
          <t>แนะนำให้ลดน้ำหนักตัว</t>
        </is>
      </c>
      <c r="E26" s="32" t="inlineStr">
        <is>
          <t>แนะนำให้ลดหรือจำกัดการดื่มเครื่องดื่มสุราและแอลกอฮอล์</t>
        </is>
      </c>
      <c r="F26" s="32" t="inlineStr">
        <is>
          <t>แนะนำให้หลีกเลี่ยงหรือลดการรับประทานเครื่องในสัตว์</t>
        </is>
      </c>
      <c r="G26" s="32" t="inlineStr">
        <is>
          <t>แนะนำให้ลดการรับประทานน้ำผลไม้ที่มีน้ำตาล Fructose สูง</t>
        </is>
      </c>
      <c r="H26" s="32" t="inlineStr">
        <is>
          <t>แนะนำให้รับประทานวิตามินดี (Vitamin D) ปริมาณสูงเพื่อช่วยขับยูริก</t>
        </is>
      </c>
      <c r="I26" s="32" t="n">
        <v>5</v>
      </c>
      <c r="J26" s="32"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32" t="n"/>
      <c r="L26" s="32" t="inlineStr">
        <is>
          <t>Gout</t>
        </is>
      </c>
      <c r="M26" s="32" t="inlineStr">
        <is>
          <t>Clinic</t>
        </is>
      </c>
      <c r="N26" s="32" t="inlineStr">
        <is>
          <t>Gout Advice: การหยุดยาลดกรดยูริกทันทีเมื่อปวดทำให้ยูริกแกว่งและอักเสบเรื้อรัง</t>
        </is>
      </c>
      <c r="O26" s="32" t="inlineStr">
        <is>
          <t>ข้อสอบจริง</t>
        </is>
      </c>
      <c r="P26" s="32" t="inlineStr">
        <is>
          <t>2565</t>
        </is>
      </c>
    </row>
    <row r="27" ht="409.6" customHeight="1" s="49">
      <c r="A27" s="32" t="n">
        <v>25</v>
      </c>
      <c r="B27" s="32" t="inlineStr">
        <is>
          <t>ยาในข้อใดต่อไปนี้ที่ ไม่มีผล ทำให้ระดับกรดยูริกในเลือดเพิ่มสูงขึ้น (Hyperuricemia) หรือขัดขวางการขับยูริกที่ไต</t>
        </is>
      </c>
      <c r="C27" s="32" t="n"/>
      <c r="D27" s="32" t="inlineStr">
        <is>
          <t>Low dose aspirin</t>
        </is>
      </c>
      <c r="E27" s="32" t="inlineStr">
        <is>
          <t>Pyrazinamide</t>
        </is>
      </c>
      <c r="F27" s="32" t="inlineStr">
        <is>
          <t>Furosemide</t>
        </is>
      </c>
      <c r="G27" s="32" t="inlineStr">
        <is>
          <t>Hydrochlorothiazide (HCTZ)</t>
        </is>
      </c>
      <c r="H27" s="32" t="inlineStr">
        <is>
          <t>Fenofibrate</t>
        </is>
      </c>
      <c r="I27" s="32" t="n">
        <v>5</v>
      </c>
      <c r="J27" s="32"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32" t="n"/>
      <c r="L27" s="32" t="inlineStr">
        <is>
          <t>Gout</t>
        </is>
      </c>
      <c r="M27" s="32" t="inlineStr">
        <is>
          <t>Clinic</t>
        </is>
      </c>
      <c r="N27" s="32" t="inlineStr">
        <is>
          <t>Gout Drug-Induced: Losartan ช่วยขับกรดยูริกทางปัสสาวะ ขณะที่ Thiazide/Aspirin ลดการขับยูริก</t>
        </is>
      </c>
      <c r="O27" s="32" t="inlineStr">
        <is>
          <t>ข้อสอบจริง</t>
        </is>
      </c>
      <c r="P27" s="32" t="inlineStr">
        <is>
          <t>2565</t>
        </is>
      </c>
    </row>
    <row r="28" ht="409.6" customHeight="1" s="49">
      <c r="A28" s="32" t="n">
        <v>26</v>
      </c>
      <c r="B28" s="32"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32" t="n"/>
      <c r="D28" s="32" t="inlineStr">
        <is>
          <t>Rheumatoid factor (RF)</t>
        </is>
      </c>
      <c r="E28" s="32" t="inlineStr">
        <is>
          <t>C-reactive protein (CRP)</t>
        </is>
      </c>
      <c r="F28" s="32" t="inlineStr">
        <is>
          <t>Visual Analog Scale (VAS) score</t>
        </is>
      </c>
      <c r="G28" s="32" t="inlineStr">
        <is>
          <t>Complete Blood Count (CBC) และค่าการทำงานของตับ (AST/ALT)</t>
        </is>
      </c>
      <c r="H28" s="32" t="inlineStr">
        <is>
          <t>Erythrocyte Sedimentation Rate (ESR)</t>
        </is>
      </c>
      <c r="I28" s="32" t="n">
        <v>4</v>
      </c>
      <c r="J28" s="32"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32" t="n"/>
      <c r="L28" s="32" t="inlineStr">
        <is>
          <t>Rheumatoid arthritis</t>
        </is>
      </c>
      <c r="M28" s="32" t="inlineStr">
        <is>
          <t>Clinic</t>
        </is>
      </c>
      <c r="N28" s="32" t="inlineStr">
        <is>
          <t>RA Disease Activity: ประเมินด้วย CDAI, SDAI หรือ DAS28 เพื่อปรับขนาดยาตาม Treat-to-target</t>
        </is>
      </c>
      <c r="O28" s="32" t="inlineStr">
        <is>
          <t>ข้อสอบจริง</t>
        </is>
      </c>
      <c r="P28" s="32" t="inlineStr">
        <is>
          <t>2565</t>
        </is>
      </c>
    </row>
    <row r="29" ht="409.6" customHeight="1" s="49">
      <c r="A29" s="32" t="n">
        <v>27</v>
      </c>
      <c r="B29" s="32"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32" t="n"/>
      <c r="D29" s="32" t="inlineStr">
        <is>
          <t>เถาวัลย์เปรียง</t>
        </is>
      </c>
      <c r="E29" s="32" t="inlineStr">
        <is>
          <t>ชุมเห็ดเทศ</t>
        </is>
      </c>
      <c r="F29" s="32" t="inlineStr">
        <is>
          <t>รางจืด</t>
        </is>
      </c>
      <c r="G29" s="32" t="inlineStr">
        <is>
          <t>หญ้าหนวดแมว</t>
        </is>
      </c>
      <c r="H29" s="32" t="inlineStr">
        <is>
          <t>พญายอ</t>
        </is>
      </c>
      <c r="I29" s="32" t="n">
        <v>1</v>
      </c>
      <c r="J29" s="32"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32" t="n"/>
      <c r="L29" s="32" t="inlineStr">
        <is>
          <t>Gout / Herbal Medicine</t>
        </is>
      </c>
      <c r="M29" s="32" t="inlineStr">
        <is>
          <t>Clinic</t>
        </is>
      </c>
      <c r="N29" s="32" t="inlineStr">
        <is>
          <t>Herbal Medicine: สารสกัดเถาวัลย์เปรียง บรรเทาอาการปวดข้อเข่าเสื่อมได้เทียบเท่า NSAIDs</t>
        </is>
      </c>
      <c r="O29" s="32" t="inlineStr">
        <is>
          <t>ข้อสอบจริง</t>
        </is>
      </c>
      <c r="P29" s="32" t="inlineStr">
        <is>
          <t>2565</t>
        </is>
      </c>
    </row>
    <row r="30" ht="409.6" customHeight="1" s="49">
      <c r="A30" s="32" t="n">
        <v>28</v>
      </c>
      <c r="B30" s="32"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32" t="n"/>
      <c r="D30" s="32" t="inlineStr">
        <is>
          <t>Pancytopenia (เซลล์เม็ดเลือดต่ำทุกชนิด)</t>
        </is>
      </c>
      <c r="E30" s="32" t="inlineStr">
        <is>
          <t>Neutropenia (เม็ดเลือดขาวชนิดนิวโทรฟิลต่ำ)</t>
        </is>
      </c>
      <c r="F30" s="32" t="inlineStr">
        <is>
          <t>Thrombocytopenia (เกล็ดเลือดต่ำ)</t>
        </is>
      </c>
      <c r="G30" s="32" t="inlineStr">
        <is>
          <t>Anemia (ภาวะโลหิตจาง)</t>
        </is>
      </c>
      <c r="H30" s="32" t="inlineStr">
        <is>
          <t>Bicytopenia (เซลล์เม็ดเลือดต่ำสองชนิด)</t>
        </is>
      </c>
      <c r="I30" s="32" t="n">
        <v>1</v>
      </c>
      <c r="J30" s="32"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32" t="n"/>
      <c r="L30" s="32" t="inlineStr">
        <is>
          <t>Gout</t>
        </is>
      </c>
      <c r="M30" s="32" t="inlineStr">
        <is>
          <t>Clinic</t>
        </is>
      </c>
      <c r="N30" s="32" t="inlineStr">
        <is>
          <t>MTX Toxicity: ตรวจพบ Leukopenia / Myelosuppression จากฤทธิ์ Antifolate ของ MTX</t>
        </is>
      </c>
      <c r="O30" s="32" t="inlineStr">
        <is>
          <t>ข้อสอบจริง</t>
        </is>
      </c>
      <c r="P30" s="32" t="inlineStr">
        <is>
          <t>2564</t>
        </is>
      </c>
    </row>
    <row r="31" ht="409.6" customHeight="1" s="49">
      <c r="A31" s="32" t="n">
        <v>29</v>
      </c>
      <c r="B31" s="32"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32" t="n"/>
      <c r="D31" s="32" t="inlineStr">
        <is>
          <t>Naproxen</t>
        </is>
      </c>
      <c r="E31" s="32" t="inlineStr">
        <is>
          <t>Colchicine</t>
        </is>
      </c>
      <c r="F31" s="32" t="inlineStr">
        <is>
          <t>Allopurinol</t>
        </is>
      </c>
      <c r="G31" s="32" t="inlineStr">
        <is>
          <t>Paracetamol</t>
        </is>
      </c>
      <c r="H31" s="32" t="inlineStr">
        <is>
          <t>ทั้ง Allopurinol และ Colchicine ร่วมกัน</t>
        </is>
      </c>
      <c r="I31" s="32" t="n">
        <v>2</v>
      </c>
      <c r="J31" s="32"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32" t="n"/>
      <c r="L31" s="32" t="inlineStr">
        <is>
          <t>Gout</t>
        </is>
      </c>
      <c r="M31" s="32" t="inlineStr">
        <is>
          <t>Clinic</t>
        </is>
      </c>
      <c r="N31" s="32" t="inlineStr">
        <is>
          <t>Drug-Induced Cytopenia: MTX กดไขกระดูก ป้องกันได้ด้วยการให้ Folic acid เสริม</t>
        </is>
      </c>
      <c r="O31" s="32" t="inlineStr">
        <is>
          <t>ข้อสอบจริง</t>
        </is>
      </c>
      <c r="P31" s="32" t="inlineStr">
        <is>
          <t>2564</t>
        </is>
      </c>
    </row>
    <row r="32" ht="409.6" customHeight="1" s="49">
      <c r="A32" s="32" t="n">
        <v>30</v>
      </c>
      <c r="B32" s="32" t="inlineStr">
        <is>
          <t>จากข้อมูลข้างต้น ข้อใดคือคำจำกัดความที่ถูกต้องของค่า T-score ทางคลินิก</t>
        </is>
      </c>
      <c r="C32" s="32" t="n"/>
      <c r="D32" s="32" t="inlineStr">
        <is>
          <t>ค่าความหนาแน่นมวลกระดูกของผู้ป่วยเมื่อเทียบกับค่าสูงสุดของประชากรเพศเดียวกันในวัยหนุ่มสาว (Peak bone mass)</t>
        </is>
      </c>
      <c r="E32" s="32" t="inlineStr">
        <is>
          <t>ค่าความหนาแน่นมวลกระดูกของผู้ป่วยเมื่อเทียบกับค่าเฉลี่ยของประชากรในช่วงอายุเดียวกัน</t>
        </is>
      </c>
      <c r="F32" s="32" t="inlineStr">
        <is>
          <t>ค่าความแข็งแรงทางสรีรวิทยาของกระดูกสะโพกและกระดูกสันหลัง</t>
        </is>
      </c>
      <c r="G32" s="32" t="inlineStr">
        <is>
          <t>ค่าที่ใช้สำหรับวินิจฉัยภาวะกระดูกน่วมและกระดูกบางในสตรีอายุน้อย</t>
        </is>
      </c>
      <c r="H32" s="32" t="inlineStr">
        <is>
          <t>อัตราส่วนความเสี่ยงในการเกิดกระดูกหักจากอุบัติเหตุล้มเบาบาง</t>
        </is>
      </c>
      <c r="I32" s="32" t="n">
        <v>1</v>
      </c>
      <c r="J32" s="32"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32" t="n"/>
      <c r="L32" s="32" t="inlineStr">
        <is>
          <t>Osteoporosis</t>
        </is>
      </c>
      <c r="M32" s="32" t="inlineStr">
        <is>
          <t>Clinic</t>
        </is>
      </c>
      <c r="N32" s="32" t="inlineStr">
        <is>
          <t>Osteoporosis Definition: T-score ≤ -2.5 SD ณ Lumbar spine หรือ Hip</t>
        </is>
      </c>
      <c r="O32" s="32" t="inlineStr">
        <is>
          <t>ข้อสอบจริง</t>
        </is>
      </c>
      <c r="P32" s="32" t="inlineStr">
        <is>
          <t>2564</t>
        </is>
      </c>
    </row>
    <row r="33" ht="409.6" customHeight="1" s="49">
      <c r="A33" s="32" t="n">
        <v>31</v>
      </c>
      <c r="B33" s="32"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32" t="n"/>
      <c r="D33" s="32" t="inlineStr">
        <is>
          <t>Alendronate (หรือยากลุ่ม Bisphosphonates)</t>
        </is>
      </c>
      <c r="E33" s="32" t="inlineStr">
        <is>
          <t>Raloxifene</t>
        </is>
      </c>
      <c r="F33" s="32" t="inlineStr">
        <is>
          <t>Strontium ranelate</t>
        </is>
      </c>
      <c r="G33" s="32" t="inlineStr">
        <is>
          <t>Teriparatide</t>
        </is>
      </c>
      <c r="H33" s="32" t="inlineStr">
        <is>
          <t>Calcitonin nasal spray</t>
        </is>
      </c>
      <c r="I33" s="32" t="n">
        <v>1</v>
      </c>
      <c r="J33" s="32"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32" t="n"/>
      <c r="L33" s="32" t="inlineStr">
        <is>
          <t>Osteoporosis</t>
        </is>
      </c>
      <c r="M33" s="32" t="inlineStr">
        <is>
          <t>Clinic</t>
        </is>
      </c>
      <c r="N33" s="32" t="inlineStr">
        <is>
          <t>Osteoporosis First-line: Alendronate / Risedronate (Oral Bisphosphonates) ลด Fracture ได้ดีที่สุด</t>
        </is>
      </c>
      <c r="O33" s="32" t="inlineStr">
        <is>
          <t>ข้อสอบจริง</t>
        </is>
      </c>
      <c r="P33" s="32" t="inlineStr">
        <is>
          <t>2564</t>
        </is>
      </c>
    </row>
    <row r="34" ht="409.6" customHeight="1" s="49">
      <c r="A34" s="32" t="n">
        <v>32</v>
      </c>
      <c r="B34" s="32"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32" t="n"/>
      <c r="D34" s="32" t="inlineStr">
        <is>
          <t>อายุของผู้ป่วย</t>
        </is>
      </c>
      <c r="E34" s="32" t="inlineStr">
        <is>
          <t>ราคาค่ายา</t>
        </is>
      </c>
      <c r="F34" s="32" t="inlineStr">
        <is>
          <t>น้ำหนักตัวของผู้ป่วย</t>
        </is>
      </c>
      <c r="G34" s="32" t="inlineStr">
        <is>
          <t>ประวัติการแพ้ยาของผู้ป่วย</t>
        </is>
      </c>
      <c r="H34" s="32" t="inlineStr">
        <is>
          <t>โรคร่วมและการใช้ยาอื่นร่วมของผู้ป่วย</t>
        </is>
      </c>
      <c r="I34" s="32" t="n">
        <v>3</v>
      </c>
      <c r="J34" s="32"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32" t="n"/>
      <c r="L34" s="32" t="inlineStr">
        <is>
          <t>Osteoarthritis</t>
        </is>
      </c>
      <c r="M34" s="32" t="inlineStr">
        <is>
          <t>Clinic</t>
        </is>
      </c>
      <c r="N34" s="32" t="inlineStr">
        <is>
          <t>NSAIDs Safety: ปัจจัยเสี่ยงแผลทางเดินอาหาร ได้แก่ ผู้สูงอายุ, ประวัติ GI bleed, ยาต้านเกล็ดเลือด</t>
        </is>
      </c>
      <c r="O34" s="32" t="inlineStr">
        <is>
          <t>ข้อสอบจริง</t>
        </is>
      </c>
      <c r="P34" s="32" t="inlineStr">
        <is>
          <t>2563</t>
        </is>
      </c>
    </row>
    <row r="35" ht="409.6" customHeight="1" s="49">
      <c r="A35" s="32" t="n">
        <v>33</v>
      </c>
      <c r="B35" s="32"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32" t="n"/>
      <c r="D35" s="32" t="inlineStr">
        <is>
          <t>หลีกเลี่ยงการจ่ายยา NSAIDs ทุกชนิดเนื่องจากผู้ป่วยทาน Aspirin และเคยเกิดเลือดออกในทางเดินอาหาร</t>
        </is>
      </c>
      <c r="E35" s="32" t="inlineStr">
        <is>
          <t>จ่ายยา Acetaminophen (Paracetamol) เป็นตัวเลือกอันดับแรกในการบรรเทาปวดแทนยาอื่น</t>
        </is>
      </c>
      <c r="F35" s="32" t="inlineStr">
        <is>
          <t>สั่งจ่ายยากลุ่ม NSAIDs ร่วมกัน 2 ตัวเพื่อบรรเทาอาการปวดที่รุนแรง</t>
        </is>
      </c>
      <c r="G35" s="32" t="inlineStr">
        <is>
          <t>เลือกใช้ยากลุ่ม Selective COX-2 inhibitor เพียงอย่างเดียวโดยไม่ต้องใช้ยาอื่น</t>
        </is>
      </c>
      <c r="H35" s="32" t="inlineStr">
        <is>
          <t>จ่ายยากลุ่ม NSAIDs ร่วมกับ Proton Pump Inhibitor (PPI เช่น Omeprazole) ทุกครั้งเพื่อความปลอดภัยต่อทางเดินอาหาร</t>
        </is>
      </c>
      <c r="I35" s="32" t="n">
        <v>5</v>
      </c>
      <c r="J35" s="32"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32" t="n"/>
      <c r="L35" s="32" t="inlineStr">
        <is>
          <t>Gout</t>
        </is>
      </c>
      <c r="M35" s="32" t="inlineStr">
        <is>
          <t>Clinic</t>
        </is>
      </c>
      <c r="N35" s="32" t="inlineStr">
        <is>
          <t>NSAIDs GI Protection: ใช้ Celecoxib ร่วมกับ PPIs ในผู้ป่วย High GI risk และ low CV risk</t>
        </is>
      </c>
      <c r="O35" s="32" t="inlineStr">
        <is>
          <t>ข้อสอบจริง</t>
        </is>
      </c>
      <c r="P35" s="32" t="inlineStr">
        <is>
          <t>2563</t>
        </is>
      </c>
    </row>
    <row r="36" ht="409.6" customHeight="1" s="49">
      <c r="A36" s="32" t="n">
        <v>34</v>
      </c>
      <c r="B36" s="32" t="inlineStr">
        <is>
          <t>จากการที่ผู้ป่วยรับประทานยา Allopurinol ยาจะถูกสลายสภาพโดยเอนไซม์ Xanthine oxidase ได้สารเมตาโบไลต์ชนิดใดในปัสสาวะ</t>
        </is>
      </c>
      <c r="C36" s="32" t="n"/>
      <c r="D36" s="32" t="inlineStr">
        <is>
          <t>Hypoxanthine</t>
        </is>
      </c>
      <c r="E36" s="32" t="inlineStr">
        <is>
          <t>Inosine diphosphate</t>
        </is>
      </c>
      <c r="F36" s="32" t="inlineStr">
        <is>
          <t>Oxypurinol (หรือ Alloxanthine)</t>
        </is>
      </c>
      <c r="G36" s="32" t="inlineStr">
        <is>
          <t>Methyl 3-(3,5-di-tert-butyl-4-hydroxyphenyl)propionate</t>
        </is>
      </c>
      <c r="H36" s="32" t="inlineStr">
        <is>
          <t>L-adenine</t>
        </is>
      </c>
      <c r="I36" s="32" t="n">
        <v>3</v>
      </c>
      <c r="J36" s="32"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32" t="n"/>
      <c r="L36" s="32" t="inlineStr">
        <is>
          <t>Gout</t>
        </is>
      </c>
      <c r="M36" s="32" t="inlineStr">
        <is>
          <t>Clinic</t>
        </is>
      </c>
      <c r="N36" s="32" t="inlineStr">
        <is>
          <t>Allopurinol Metabolism: เปลี่ยนเป็นสารออกฤทธิ์ Oxypurinol ขับออกทางไตเป็นหลัก ต้องปรับตาม CrCl</t>
        </is>
      </c>
      <c r="O36" s="32" t="inlineStr">
        <is>
          <t>ข้อสอบจริง</t>
        </is>
      </c>
      <c r="P36" s="32" t="inlineStr">
        <is>
          <t>2563</t>
        </is>
      </c>
    </row>
    <row r="37" ht="409.6" customHeight="1" s="49">
      <c r="A37" s="32" t="n">
        <v>35</v>
      </c>
      <c r="B37" s="32"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32" t="n"/>
      <c r="D37" s="32" t="inlineStr">
        <is>
          <t>12 ชั่วโมง</t>
        </is>
      </c>
      <c r="E37" s="32" t="inlineStr">
        <is>
          <t>24 ชั่วโมง</t>
        </is>
      </c>
      <c r="F37" s="32" t="inlineStr">
        <is>
          <t>36 ชั่วโมง</t>
        </is>
      </c>
      <c r="G37" s="32" t="inlineStr">
        <is>
          <t>48 ชั่วโมง</t>
        </is>
      </c>
      <c r="H37" s="32" t="inlineStr">
        <is>
          <t>60 ชั่วโมง</t>
        </is>
      </c>
      <c r="I37" s="32" t="n">
        <v>3</v>
      </c>
      <c r="J37" s="32"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32" t="n"/>
      <c r="L37" s="32" t="inlineStr">
        <is>
          <t>Gout</t>
        </is>
      </c>
      <c r="M37" s="32" t="inlineStr">
        <is>
          <t>Clinic</t>
        </is>
      </c>
      <c r="N37" s="32" t="inlineStr">
        <is>
          <t>Colchicine Flare Duration: ควรเริ่มยาภายใน 24-36 ชั่วโมงหลังมีอาการ และให้ต่อเนื่องจนอาการสงบ</t>
        </is>
      </c>
      <c r="O37" s="32" t="inlineStr">
        <is>
          <t>ข้อสอบจริง</t>
        </is>
      </c>
      <c r="P37" s="32" t="inlineStr">
        <is>
          <t>2563</t>
        </is>
      </c>
    </row>
    <row r="38" ht="409.6" customHeight="1" s="49">
      <c r="A38" s="32" t="n">
        <v>36</v>
      </c>
      <c r="B38" s="32"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32" t="n"/>
      <c r="D38" s="32" t="inlineStr">
        <is>
          <t>น้อยกว่า 5 mg/dL</t>
        </is>
      </c>
      <c r="E38" s="32" t="inlineStr">
        <is>
          <t>น้อยกว่า 6 mg/dL</t>
        </is>
      </c>
      <c r="F38" s="32" t="inlineStr">
        <is>
          <t>น้อยกว่า 7 mg/dL</t>
        </is>
      </c>
      <c r="G38" s="32" t="inlineStr">
        <is>
          <t>น้อยกว่า 8 mg/dL</t>
        </is>
      </c>
      <c r="H38" s="32" t="inlineStr">
        <is>
          <t>น้อยกว่า 9 mg/dL</t>
        </is>
      </c>
      <c r="I38" s="32" t="n">
        <v>2</v>
      </c>
      <c r="J38" s="32"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32" t="n"/>
      <c r="L38" s="32" t="inlineStr">
        <is>
          <t>Gout</t>
        </is>
      </c>
      <c r="M38" s="32" t="inlineStr">
        <is>
          <t>Clinic</t>
        </is>
      </c>
      <c r="N38" s="32" t="inlineStr">
        <is>
          <t>Gout SUA Target: เป้าหมายกรดยูริกในเลือด &lt; 6.0 mg/dL (&lt; 5.0 mg/dL หากมี Tophi)</t>
        </is>
      </c>
      <c r="O38" s="32" t="inlineStr">
        <is>
          <t>ข้อสอบจริง</t>
        </is>
      </c>
      <c r="P38" s="32" t="inlineStr">
        <is>
          <t>2563</t>
        </is>
      </c>
    </row>
    <row r="39" ht="409.6" customHeight="1" s="49">
      <c r="A39" s="32" t="n">
        <v>37</v>
      </c>
      <c r="B39" s="32"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32" t="n"/>
      <c r="D39" s="32" t="inlineStr">
        <is>
          <t>Hyperuricemia</t>
        </is>
      </c>
      <c r="E39" s="32" t="inlineStr">
        <is>
          <t>Genital tract infection</t>
        </is>
      </c>
      <c r="F39" s="32" t="inlineStr">
        <is>
          <t>Angioedema</t>
        </is>
      </c>
      <c r="G39" s="32" t="inlineStr">
        <is>
          <t>Acute renal failure (ไตวายเฉียบพลัน)</t>
        </is>
      </c>
      <c r="H39" s="32" t="inlineStr">
        <is>
          <t>Constipation</t>
        </is>
      </c>
      <c r="I39" s="32" t="n">
        <v>4</v>
      </c>
      <c r="J39" s="32"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32" t="n"/>
      <c r="L39" s="32" t="inlineStr">
        <is>
          <t>Gout</t>
        </is>
      </c>
      <c r="M39" s="32" t="inlineStr">
        <is>
          <t>Clinic</t>
        </is>
      </c>
      <c r="N39" s="32" t="inlineStr">
        <is>
          <t>NSAIDs AKI: ยับยั้ง Renal PGE2/PGI2 ทำให้เกิด Afferent arteriole vasoconstriction</t>
        </is>
      </c>
      <c r="O39" s="32" t="inlineStr">
        <is>
          <t>ข้อสอบจริง</t>
        </is>
      </c>
      <c r="P39" s="32" t="inlineStr">
        <is>
          <t>2563</t>
        </is>
      </c>
    </row>
    <row r="40" ht="409.6" customHeight="1" s="49">
      <c r="A40" s="32" t="n">
        <v>38</v>
      </c>
      <c r="B40" s="32"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32" t="n"/>
      <c r="D40" s="32" t="inlineStr">
        <is>
          <t>Acute renal injury (Acute kidney injury: AKI)</t>
        </is>
      </c>
      <c r="E40" s="32" t="inlineStr">
        <is>
          <t>Renal stone (นิ่วในไต)</t>
        </is>
      </c>
      <c r="F40" s="32" t="inlineStr">
        <is>
          <t>Hemorrhagic cystitis (กระเพาะปัสสาวะอักเสบมีเลือดออก)</t>
        </is>
      </c>
      <c r="G40" s="32" t="inlineStr">
        <is>
          <t>Pyelonephritis (กรวยไตอักเสบ)</t>
        </is>
      </c>
      <c r="H40" s="32" t="inlineStr">
        <is>
          <t>Chronic kidney disease (โรคไตเรื้อรังระยะลุกลาม)</t>
        </is>
      </c>
      <c r="I40" s="32" t="n">
        <v>1</v>
      </c>
      <c r="J40" s="32"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32" t="n"/>
      <c r="L40" s="32" t="inlineStr">
        <is>
          <t>Gout</t>
        </is>
      </c>
      <c r="M40" s="32" t="inlineStr">
        <is>
          <t>Clinic</t>
        </is>
      </c>
      <c r="N40" s="32" t="inlineStr">
        <is>
          <t>NSAIDs Nephrotoxicity: เสี่ยงต่อ Hemodynamic acute kidney injury โดยเฉพาะเมื่อใช้ร่วมกับ ACEI/Diuretics</t>
        </is>
      </c>
      <c r="O40" s="32" t="inlineStr">
        <is>
          <t>ข้อสอบจริง</t>
        </is>
      </c>
      <c r="P40" s="32" t="inlineStr">
        <is>
          <t>2563</t>
        </is>
      </c>
    </row>
    <row r="41" ht="409.6" customHeight="1" s="49">
      <c r="A41" s="32" t="n">
        <v>39</v>
      </c>
      <c r="B41" s="32"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32" t="n"/>
      <c r="D41" s="32" t="inlineStr">
        <is>
          <t>Bisoprolol</t>
        </is>
      </c>
      <c r="E41" s="32" t="inlineStr">
        <is>
          <t>Metoprolol</t>
        </is>
      </c>
      <c r="F41" s="32" t="inlineStr">
        <is>
          <t>Amlodipine</t>
        </is>
      </c>
      <c r="G41" s="32" t="inlineStr">
        <is>
          <t>Manidipine</t>
        </is>
      </c>
      <c r="H41" s="32" t="inlineStr">
        <is>
          <t>Hydrochlorothiazide (HCTZ)</t>
        </is>
      </c>
      <c r="I41" s="32" t="n">
        <v>5</v>
      </c>
      <c r="J41" s="32"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32" t="n"/>
      <c r="L41" s="32" t="inlineStr">
        <is>
          <t>Gout</t>
        </is>
      </c>
      <c r="M41" s="32" t="inlineStr">
        <is>
          <t>Clinic</t>
        </is>
      </c>
      <c r="N41" s="32" t="inlineStr">
        <is>
          <t>Gout Drug Caution: HCTZ และ Thiazide diuretics แย่งขับกรดยูริกที่ท่อไต ทำให้กรดยูริกสูงขึ้น</t>
        </is>
      </c>
      <c r="O41" s="32" t="inlineStr">
        <is>
          <t>ข้อสอบจริง</t>
        </is>
      </c>
      <c r="P41" s="32" t="inlineStr">
        <is>
          <t>2563</t>
        </is>
      </c>
    </row>
    <row r="42" ht="409.6" customHeight="1" s="49">
      <c r="A42" s="32" t="n">
        <v>40</v>
      </c>
      <c r="B42" s="32"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32" t="n"/>
      <c r="D42" s="32" t="inlineStr">
        <is>
          <t>Azathioprine</t>
        </is>
      </c>
      <c r="E42" s="32" t="inlineStr">
        <is>
          <t>Benzbromarone</t>
        </is>
      </c>
      <c r="F42" s="32" t="inlineStr">
        <is>
          <t>Cyclosporin</t>
        </is>
      </c>
      <c r="G42" s="32" t="inlineStr">
        <is>
          <t>Febuxostat</t>
        </is>
      </c>
      <c r="H42" s="32" t="inlineStr">
        <is>
          <t>Leflunomide</t>
        </is>
      </c>
      <c r="I42" s="32" t="n">
        <v>2</v>
      </c>
      <c r="J42" s="32"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32" t="n"/>
      <c r="L42" s="32" t="inlineStr">
        <is>
          <t>Gout</t>
        </is>
      </c>
      <c r="M42" s="32" t="inlineStr">
        <is>
          <t>Clinic</t>
        </is>
      </c>
      <c r="N42" s="32" t="inlineStr">
        <is>
          <t>Gout Add-on ULT: หากใช้ Allopurinol เต็มขนาดแล้วยังไม่ถึงเป้า แนะนำ Add-on Uricosuric (Benzbromarone)</t>
        </is>
      </c>
      <c r="O42" s="32" t="inlineStr">
        <is>
          <t>ข้อสอบจริง</t>
        </is>
      </c>
      <c r="P42" s="32" t="inlineStr">
        <is>
          <t>2563</t>
        </is>
      </c>
    </row>
    <row r="43" ht="409.6" customHeight="1" s="49">
      <c r="A43" s="32" t="n">
        <v>41</v>
      </c>
      <c r="B43" s="32" t="inlineStr">
        <is>
          <t>จากกรณีศึกษาข้างต้น ผู้ป่วยรายนี้คาดว่าเป็นอาการแสดงของโรคในข้อใดมากที่สุด</t>
        </is>
      </c>
      <c r="C43" s="32" t="n"/>
      <c r="D43" s="32" t="inlineStr">
        <is>
          <t>Osteoarthritis</t>
        </is>
      </c>
      <c r="E43" s="32" t="inlineStr">
        <is>
          <t>Osteoporosis</t>
        </is>
      </c>
      <c r="F43" s="32" t="inlineStr">
        <is>
          <t>Osteomalacia</t>
        </is>
      </c>
      <c r="G43" s="32" t="inlineStr">
        <is>
          <t>Rheumatoid Arthritis</t>
        </is>
      </c>
      <c r="H43" s="32" t="inlineStr">
        <is>
          <t>Ligament injury</t>
        </is>
      </c>
      <c r="I43" s="32" t="n">
        <v>1</v>
      </c>
      <c r="J43" s="32"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32" t="n"/>
      <c r="L43" s="32" t="inlineStr">
        <is>
          <t>Osteoarthritis</t>
        </is>
      </c>
      <c r="M43" s="32" t="inlineStr">
        <is>
          <t>Clinic</t>
        </is>
      </c>
      <c r="N43" s="32" t="inlineStr">
        <is>
          <t>OA Diagnosis: ปวดเข่า, ขยับมีเสียง Crepitus, ข้อติดตอนเช้า &lt; 30 นาที, ไม่มีอาการอักเสบร้อนแดง</t>
        </is>
      </c>
      <c r="O43" s="32" t="inlineStr">
        <is>
          <t>ข้อสอบจริง</t>
        </is>
      </c>
      <c r="P43" s="32" t="inlineStr">
        <is>
          <t>2562</t>
        </is>
      </c>
    </row>
    <row r="44" ht="409.6" customHeight="1" s="49">
      <c r="A44" s="32" t="n">
        <v>42</v>
      </c>
      <c r="B44" s="32"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32" t="n"/>
      <c r="D44" s="32" t="inlineStr">
        <is>
          <t>Celecoxib</t>
        </is>
      </c>
      <c r="E44" s="32" t="inlineStr">
        <is>
          <t>Diacerein</t>
        </is>
      </c>
      <c r="F44" s="32" t="inlineStr">
        <is>
          <t>Tramadol</t>
        </is>
      </c>
      <c r="G44" s="32" t="inlineStr">
        <is>
          <t>Paracetamol</t>
        </is>
      </c>
      <c r="H44" s="32" t="inlineStr">
        <is>
          <t>Diclofenac emulgel</t>
        </is>
      </c>
      <c r="I44" s="32" t="n">
        <v>1</v>
      </c>
      <c r="J44" s="32"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32" t="n"/>
      <c r="L44" s="32" t="inlineStr">
        <is>
          <t>Osteoarthritis</t>
        </is>
      </c>
      <c r="M44" s="32" t="inlineStr">
        <is>
          <t>Clinic</t>
        </is>
      </c>
      <c r="N44" s="32" t="inlineStr">
        <is>
          <t>OA CKD Caution: ห้ามใช้ Oral NSAIDs ในผู้ป่วย ESRD หรือ Severe CKD (eGFR &lt; 30 mL/min)</t>
        </is>
      </c>
      <c r="O44" s="32" t="inlineStr">
        <is>
          <t>ข้อสอบจริง</t>
        </is>
      </c>
      <c r="P44" s="32" t="inlineStr">
        <is>
          <t>2562</t>
        </is>
      </c>
    </row>
    <row r="45" ht="409.6" customHeight="1" s="49">
      <c r="A45" s="32" t="n">
        <v>43</v>
      </c>
      <c r="B45" s="32" t="inlineStr">
        <is>
          <t>ข้อใดต่อไปนี้เป็นแนวทางการปฏิบัติตัวและดูแลรักษาที่ ไม่แนะนำ สำหรับผู้ป่วยรายนี้</t>
        </is>
      </c>
      <c r="C45" s="32" t="n"/>
      <c r="D45" s="32" t="inlineStr">
        <is>
          <t>ลดน้ำหนักตัวเพื่อลดแรงกดทับข้อเข่า</t>
        </is>
      </c>
      <c r="E45" s="32" t="inlineStr">
        <is>
          <t>ออกกำลังกายเบา ๆ ที่ไม่มีแรงกระแทก</t>
        </is>
      </c>
      <c r="F45" s="32" t="inlineStr">
        <is>
          <t>บริหารกล้ามเนื้อรอบบริเวณหัวเข่า</t>
        </is>
      </c>
      <c r="G45" s="32" t="inlineStr">
        <is>
          <t>รับประทาน Glucosamine sulfate เพื่อป้องกันและรักษาอาการ</t>
        </is>
      </c>
      <c r="H45" s="32" t="inlineStr">
        <is>
          <t>สวมรองเท้าส้นเตี้ยที่มีส้นหนานุ่มรับแรงกระแทก</t>
        </is>
      </c>
      <c r="I45" s="32" t="n">
        <v>4</v>
      </c>
      <c r="J45" s="32"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32" t="n"/>
      <c r="L45" s="32" t="inlineStr">
        <is>
          <t>Osteoarthritis</t>
        </is>
      </c>
      <c r="M45" s="32" t="inlineStr">
        <is>
          <t>Clinic</t>
        </is>
      </c>
      <c r="N45" s="32" t="inlineStr">
        <is>
          <t>OA Management: ลดน้ำหนัก, กายภาพบำบัดเพิ่มความแข็งแรงของกล้ามเนื้อรอบข้อเข่า Quadriceps</t>
        </is>
      </c>
      <c r="O45" s="32" t="inlineStr">
        <is>
          <t>ข้อสอบจริง</t>
        </is>
      </c>
      <c r="P45" s="32" t="inlineStr">
        <is>
          <t>2562</t>
        </is>
      </c>
    </row>
    <row r="46" ht="409.6" customHeight="1" s="49">
      <c r="A46" s="32" t="n">
        <v>44</v>
      </c>
      <c r="B46" s="32" t="inlineStr">
        <is>
          <t>ยาต้านการสลายกระดูกในข้อใดจัดเป็นยาทางเลือกแรกที่ควรเลือกใช้รักษาอาการกระดูกพรุนในผู้ป่วยรายนี้</t>
        </is>
      </c>
      <c r="C46" s="32" t="n"/>
      <c r="D46" s="32" t="inlineStr">
        <is>
          <t>Strontium ranelate</t>
        </is>
      </c>
      <c r="E46" s="32" t="inlineStr">
        <is>
          <t>Teriparatide</t>
        </is>
      </c>
      <c r="F46" s="32" t="inlineStr">
        <is>
          <t>Alendronate (หรือยากลุ่ม Bisphosphonates)</t>
        </is>
      </c>
      <c r="G46" s="32" t="inlineStr">
        <is>
          <t>Raloxifene</t>
        </is>
      </c>
      <c r="H46" s="32" t="inlineStr">
        <is>
          <t>Nasal salmon calcitonin</t>
        </is>
      </c>
      <c r="I46" s="32" t="n">
        <v>3</v>
      </c>
      <c r="J46" s="32"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32" t="n"/>
      <c r="L46" s="32" t="inlineStr">
        <is>
          <t>Osteoporosis</t>
        </is>
      </c>
      <c r="M46" s="32" t="inlineStr">
        <is>
          <t>Clinic</t>
        </is>
      </c>
      <c r="N46" s="32" t="inlineStr">
        <is>
          <t>Osteoporosis First-line: Alendronate เพิ่ม BMD และลดอุบัติการณ์กระดูกหักได้อย่างมีนัยสำคัญ</t>
        </is>
      </c>
      <c r="O46" s="32" t="inlineStr">
        <is>
          <t>ข้อสอบจริง</t>
        </is>
      </c>
      <c r="P46" s="32" t="inlineStr">
        <is>
          <t>2562</t>
        </is>
      </c>
    </row>
    <row r="47" ht="409.6" customHeight="1" s="49">
      <c r="A47" s="32" t="n">
        <v>45</v>
      </c>
      <c r="B47" s="32"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32" t="n"/>
      <c r="D47" s="32" t="inlineStr">
        <is>
          <t>Psychosis</t>
        </is>
      </c>
      <c r="E47" s="32" t="inlineStr">
        <is>
          <t>Osteonecrosis of the jaw (กระดูกขากรรไกรเน่าเสีย)</t>
        </is>
      </c>
      <c r="F47" s="32" t="inlineStr">
        <is>
          <t>Epistaxis</t>
        </is>
      </c>
      <c r="G47" s="32" t="inlineStr">
        <is>
          <t>Transient flu-like syndrome</t>
        </is>
      </c>
      <c r="H47" s="32" t="inlineStr">
        <is>
          <t>Cardiac rhythm interruption</t>
        </is>
      </c>
      <c r="I47" s="32" t="n">
        <v>2</v>
      </c>
      <c r="J47" s="32"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32" t="n"/>
      <c r="L47" s="32" t="inlineStr">
        <is>
          <t>Osteoporosis</t>
        </is>
      </c>
      <c r="M47" s="32" t="inlineStr">
        <is>
          <t>Clinic</t>
        </is>
      </c>
      <c r="N47" s="32" t="inlineStr">
        <is>
          <t>Bisphosphonates ADR: Osteonecrosis of the Jaw (ONJ) ต้องตรวจและทำหัตถการทันตกรรมก่อนเริ่มยา</t>
        </is>
      </c>
      <c r="O47" s="32" t="inlineStr">
        <is>
          <t>ข้อสอบจริง</t>
        </is>
      </c>
      <c r="P47" s="32" t="inlineStr">
        <is>
          <t>2562</t>
        </is>
      </c>
    </row>
    <row r="48" ht="409.6" customHeight="1" s="49">
      <c r="A48" s="32" t="n">
        <v>46</v>
      </c>
      <c r="B48" s="32" t="inlineStr">
        <is>
          <t>ข้อใดคือกลไกการออกฤทธิ์ทางเภสัชวิทยาในการต้านการอักเสบของยากลุ่ม Corticosteroids ในร่างกาย</t>
        </is>
      </c>
      <c r="C48" s="32" t="n"/>
      <c r="D48" s="32" t="inlineStr">
        <is>
          <t>รบกวนการจำลองตัวของดีเอ็นเอ (DNA synthesis)</t>
        </is>
      </c>
      <c r="E48" s="32" t="inlineStr">
        <is>
          <t>ยับยั้งการหลั่งสาร Cytokine IL-2</t>
        </is>
      </c>
      <c r="F48" s="32" t="inlineStr">
        <is>
          <t>ยับยั้งการสังเคราะห์และหลั่งสาร Melatonin</t>
        </is>
      </c>
      <c r="G48" s="32" t="inlineStr">
        <is>
          <t>ยับยั้งการสังเคราะห์สาร Ergosterol ที่ผนังเซลล์</t>
        </is>
      </c>
      <c r="H48" s="32" t="inlineStr">
        <is>
          <t>ยับยั้งการทำงานของเอนไซม์ Phospholipase A2</t>
        </is>
      </c>
      <c r="I48" s="32" t="n">
        <v>5</v>
      </c>
      <c r="J48" s="32"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32" t="n"/>
      <c r="L48" s="32" t="inlineStr">
        <is>
          <t>Osteoarthritis</t>
        </is>
      </c>
      <c r="M48" s="32" t="inlineStr">
        <is>
          <t>Clinic</t>
        </is>
      </c>
      <c r="N48" s="32" t="inlineStr">
        <is>
          <t>Steroids Mechanism: จับกับ Glucocorticoid receptor ยับยั้ง NF-kB และลดการสร้าง Pro-inflammatory cytokines</t>
        </is>
      </c>
      <c r="O48" s="32" t="inlineStr">
        <is>
          <t>ข้อสอบจริง</t>
        </is>
      </c>
      <c r="P48" s="32" t="inlineStr">
        <is>
          <t>2562</t>
        </is>
      </c>
    </row>
    <row r="49" ht="409.6" customHeight="1" s="49">
      <c r="A49" s="32" t="n">
        <v>47</v>
      </c>
      <c r="B49" s="32"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32" t="n"/>
      <c r="D49" s="32" t="inlineStr">
        <is>
          <t>มากกว่า 2.5</t>
        </is>
      </c>
      <c r="E49" s="32" t="inlineStr">
        <is>
          <t>ระหว่าง 1.0 ถึง 2.5</t>
        </is>
      </c>
      <c r="F49" s="32" t="inlineStr">
        <is>
          <t>ระหว่าง -1.0 ถึง 1.0</t>
        </is>
      </c>
      <c r="G49" s="32" t="inlineStr">
        <is>
          <t>ระหว่าง -2.5 ถึง -1.0</t>
        </is>
      </c>
      <c r="H49" s="32" t="inlineStr">
        <is>
          <t>น้อยกว่าหรือเท่ากับ -2.5</t>
        </is>
      </c>
      <c r="I49" s="32" t="n">
        <v>5</v>
      </c>
      <c r="J49" s="32"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32" t="n"/>
      <c r="L49" s="32" t="inlineStr">
        <is>
          <t>Osteoporosis</t>
        </is>
      </c>
      <c r="M49" s="32" t="inlineStr">
        <is>
          <t>Clinic</t>
        </is>
      </c>
      <c r="N49" s="32" t="inlineStr">
        <is>
          <t>BMD Criteria: WHO เกณฑ์ Osteoporosis คือ T-score ≤ -2.5 SD</t>
        </is>
      </c>
      <c r="O49" s="32" t="inlineStr">
        <is>
          <t>ข้อสอบจริง</t>
        </is>
      </c>
      <c r="P49" s="32" t="inlineStr">
        <is>
          <t>2562</t>
        </is>
      </c>
    </row>
    <row r="50" ht="409.6" customHeight="1" s="49">
      <c r="A50" s="32" t="n">
        <v>48</v>
      </c>
      <c r="B50" s="32" t="inlineStr">
        <is>
          <t>จากข้อมูลกรณีศึกษาข้างต้น ผู้ป่วยรายนี้ควรได้รับการวินิจฉัยว่าเป็นโรคในข้อใดต่อไปนี้</t>
        </is>
      </c>
      <c r="C50" s="32" t="n"/>
      <c r="D50" s="32" t="inlineStr">
        <is>
          <t>Osteoporosis</t>
        </is>
      </c>
      <c r="E50" s="32" t="inlineStr">
        <is>
          <t>Osteopenia</t>
        </is>
      </c>
      <c r="F50" s="32" t="inlineStr">
        <is>
          <t>Osteoarthritis</t>
        </is>
      </c>
      <c r="G50" s="32" t="inlineStr">
        <is>
          <t>Osteosarcoma</t>
        </is>
      </c>
      <c r="H50" s="32" t="inlineStr">
        <is>
          <t>Osteomyelitis</t>
        </is>
      </c>
      <c r="I50" s="32" t="n">
        <v>1</v>
      </c>
      <c r="J50" s="32"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32" t="n"/>
      <c r="L50" s="32" t="inlineStr">
        <is>
          <t>Osteoporosis</t>
        </is>
      </c>
      <c r="M50" s="32" t="inlineStr">
        <is>
          <t>Clinic</t>
        </is>
      </c>
      <c r="N50" s="32" t="inlineStr">
        <is>
          <t>Osteoporosis Fragility Fracture: ผู้สูงอายุหกล้มกระดูกข้อมือหัก ร่วมกับ T-score ≤ -2.5 วินิจฉัย Osteoporosis</t>
        </is>
      </c>
      <c r="O50" s="32" t="inlineStr">
        <is>
          <t>ข้อสอบจริง</t>
        </is>
      </c>
      <c r="P50" s="32" t="inlineStr">
        <is>
          <t>2561</t>
        </is>
      </c>
    </row>
    <row r="51" ht="409.6" customHeight="1" s="49">
      <c r="A51" s="32" t="n">
        <v>49</v>
      </c>
      <c r="B51" s="32" t="inlineStr">
        <is>
          <t>ข้อใดต่อไปนี้จัดเป็นปัจจัยเสี่ยงของการเกิดโรคกระดูกพรุนของผู้ป่วยรายนี้</t>
        </is>
      </c>
      <c r="C51" s="32" t="n"/>
      <c r="D51" s="32" t="inlineStr">
        <is>
          <t>เพศหญิงและอายุที่มากขึ้น (วัยหมดประจำเดือน)</t>
        </is>
      </c>
      <c r="E51" s="32" t="inlineStr">
        <is>
          <t>การใช้ยากลุ่มขับปัสสาวะ Hydrochlorothiazide (HCTZ)</t>
        </is>
      </c>
      <c r="F51" s="32" t="inlineStr">
        <is>
          <t>การใช้ยากลุ่ม Calcium channel blockers (เช่น Nifedipine)</t>
        </is>
      </c>
      <c r="G51" s="32" t="inlineStr">
        <is>
          <t>การมีโรคประจำตัวเป็นความดันโลหิตสูง</t>
        </is>
      </c>
      <c r="H51" s="32" t="inlineStr">
        <is>
          <t>ประวัติครอบครัวที่คุณป้าเป็นโรคข้อเสื่อม</t>
        </is>
      </c>
      <c r="I51" s="32" t="n">
        <v>1</v>
      </c>
      <c r="J51" s="32"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32" t="n"/>
      <c r="L51" s="32" t="inlineStr">
        <is>
          <t>Osteoporosis</t>
        </is>
      </c>
      <c r="M51" s="32" t="inlineStr">
        <is>
          <t>Clinic</t>
        </is>
      </c>
      <c r="N51" s="32" t="inlineStr">
        <is>
          <t>Osteoporosis Risk Factors: วัยหมดประจำเดือน ขาดฮอร์โมน Estrogen ทำให้ Osteoclast สลายกระดูกเด่น</t>
        </is>
      </c>
      <c r="O51" s="32" t="inlineStr">
        <is>
          <t>ข้อสอบจริง</t>
        </is>
      </c>
      <c r="P51" s="32" t="inlineStr">
        <is>
          <t>2561</t>
        </is>
      </c>
    </row>
    <row r="52" ht="409.6" customHeight="1" s="49">
      <c r="A52" s="32" t="n">
        <v>50</v>
      </c>
      <c r="B52" s="32"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32" t="n"/>
      <c r="D52" s="32" t="inlineStr">
        <is>
          <t>Cystitis</t>
        </is>
      </c>
      <c r="E52" s="32" t="inlineStr">
        <is>
          <t>Diabetes</t>
        </is>
      </c>
      <c r="F52" s="32" t="inlineStr">
        <is>
          <t>Psoriasis</t>
        </is>
      </c>
      <c r="G52" s="32" t="inlineStr">
        <is>
          <t>Epilepsy</t>
        </is>
      </c>
      <c r="H52" s="32" t="inlineStr">
        <is>
          <t>Peptic ulcer</t>
        </is>
      </c>
      <c r="I52" s="32" t="n">
        <v>5</v>
      </c>
      <c r="J52" s="32"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32" t="n"/>
      <c r="L52" s="32" t="inlineStr">
        <is>
          <t>Osteoarthritis / Herbal Medicine</t>
        </is>
      </c>
      <c r="M52" s="32" t="inlineStr">
        <is>
          <t>Clinic</t>
        </is>
      </c>
      <c r="N52" s="32" t="inlineStr">
        <is>
          <t>Derris scandens Caution: เถาวัลย์เปรียงยับยั้ง COX มีฤทธิ์ระคายเคืองกระเพาะอาหาร ระวังใน Peptic ulcer</t>
        </is>
      </c>
      <c r="O52" s="32" t="inlineStr">
        <is>
          <t>ข้อสอบจริง</t>
        </is>
      </c>
      <c r="P52" s="32" t="inlineStr">
        <is>
          <t>2561</t>
        </is>
      </c>
    </row>
    <row r="53" ht="409.6" customHeight="1" s="49">
      <c r="A53" s="32" t="n">
        <v>51</v>
      </c>
      <c r="B53" s="32"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32" t="n"/>
      <c r="D53" s="32" t="inlineStr">
        <is>
          <t>Raloxifene</t>
        </is>
      </c>
      <c r="E53" s="32" t="inlineStr">
        <is>
          <t>Calcitonin</t>
        </is>
      </c>
      <c r="F53" s="32" t="inlineStr">
        <is>
          <t>Denosumab</t>
        </is>
      </c>
      <c r="G53" s="32" t="inlineStr">
        <is>
          <t>Teriparatide</t>
        </is>
      </c>
      <c r="H53" s="32" t="inlineStr">
        <is>
          <t>Alendronate</t>
        </is>
      </c>
      <c r="I53" s="32" t="n">
        <v>5</v>
      </c>
      <c r="J53" s="32"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32" t="n"/>
      <c r="L53" s="32" t="inlineStr">
        <is>
          <t>Osteoporosis</t>
        </is>
      </c>
      <c r="M53" s="32" t="inlineStr">
        <is>
          <t>Clinic</t>
        </is>
      </c>
      <c r="N53" s="32" t="inlineStr">
        <is>
          <t>Osteoporosis Secondary Prevention: Alendronate เป็นยาทางเลือกแรกในการป้องกันกระดูกหักซ้ำ</t>
        </is>
      </c>
      <c r="O53" s="32" t="inlineStr">
        <is>
          <t>ข้อสอบจริง</t>
        </is>
      </c>
      <c r="P53" s="32" t="inlineStr">
        <is>
          <t>2561</t>
        </is>
      </c>
    </row>
    <row r="54" ht="409.6" customHeight="1" s="49">
      <c r="A54" s="32" t="n">
        <v>52</v>
      </c>
      <c r="B54" s="32"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32" t="n"/>
      <c r="D54" s="32" t="inlineStr">
        <is>
          <t>Hyponatremia</t>
        </is>
      </c>
      <c r="E54" s="32" t="inlineStr">
        <is>
          <t>Hypercalcemia</t>
        </is>
      </c>
      <c r="F54" s="32" t="inlineStr">
        <is>
          <t>Ketoacidosis</t>
        </is>
      </c>
      <c r="G54" s="32" t="inlineStr">
        <is>
          <t>Respiratory acidosis</t>
        </is>
      </c>
      <c r="H54" s="32" t="inlineStr">
        <is>
          <t>Osteonecrosis of the jaw (กระดูกขากรรไกรเน่าเสีย)</t>
        </is>
      </c>
      <c r="I54" s="32" t="n">
        <v>5</v>
      </c>
      <c r="J54" s="32"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32" t="n"/>
      <c r="L54" s="32" t="inlineStr">
        <is>
          <t>Osteoporosis</t>
        </is>
      </c>
      <c r="M54" s="32" t="inlineStr">
        <is>
          <t>Clinic</t>
        </is>
      </c>
      <c r="N54" s="32" t="inlineStr">
        <is>
          <t>Bisphosphonates Rare ADR: ONJ และ Atypical femoral fracture (AFF) สัมพันธ์กับการใช้ยาระยะยาว</t>
        </is>
      </c>
      <c r="O54" s="32" t="inlineStr">
        <is>
          <t>ข้อสอบจริง</t>
        </is>
      </c>
      <c r="P54" s="32" t="inlineStr">
        <is>
          <t>2561</t>
        </is>
      </c>
    </row>
    <row r="55" ht="409.6" customHeight="1" s="49">
      <c r="A55" s="32" t="n">
        <v>53</v>
      </c>
      <c r="B55" s="32" t="inlineStr">
        <is>
          <t>จากกรณีศึกษา ยาตัวใดในรายการยาที่ผู้ป่วยได้รับที่มีความเป็นพิษต่อไตสูงสุดหากใช้อย่างต่อเนื่องเป็นเวลานาน</t>
        </is>
      </c>
      <c r="C55" s="32" t="n"/>
      <c r="D55" s="32" t="inlineStr">
        <is>
          <t>Risedronate</t>
        </is>
      </c>
      <c r="E55" s="32" t="inlineStr">
        <is>
          <t>Diclofenac</t>
        </is>
      </c>
      <c r="F55" s="32" t="inlineStr">
        <is>
          <t>Glucosamine</t>
        </is>
      </c>
      <c r="G55" s="32" t="inlineStr">
        <is>
          <t>Vitamin B complex</t>
        </is>
      </c>
      <c r="H55" s="32" t="inlineStr">
        <is>
          <t>Calcium carbonate</t>
        </is>
      </c>
      <c r="I55" s="32" t="n">
        <v>2</v>
      </c>
      <c r="J55"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32" t="n"/>
      <c r="L55" s="32" t="inlineStr">
        <is>
          <t>Osteoarthritis</t>
        </is>
      </c>
      <c r="M55" s="32" t="inlineStr">
        <is>
          <t>Clinic</t>
        </is>
      </c>
      <c r="N55" s="32" t="inlineStr">
        <is>
          <t>NSAIDs Renal Safety: ยับยั้ง Prostaglandins ลดเลือดไปเลี้ยงไต ส่งผลให้ Scr สูงขึ้นและเกิดไตวาย</t>
        </is>
      </c>
      <c r="O55" s="32" t="inlineStr">
        <is>
          <t>ข้อสอบจริง</t>
        </is>
      </c>
      <c r="P55" s="32" t="inlineStr">
        <is>
          <t>2559</t>
        </is>
      </c>
    </row>
    <row r="56" ht="409.6" customHeight="1" s="49">
      <c r="A56" s="32" t="n">
        <v>54</v>
      </c>
      <c r="B56" s="32" t="inlineStr">
        <is>
          <t>ข้อความใดต่อไปนี้อธิบายคำแนะนำในการรับประทานยา Risedronate ที่ ไม่ถูกต้อง</t>
        </is>
      </c>
      <c r="C56" s="32" t="n"/>
      <c r="D56" s="32" t="inlineStr">
        <is>
          <t>ควรรับประทานยาวันเดียวกันในแต่ละสัปดาห์</t>
        </is>
      </c>
      <c r="E56" s="32" t="inlineStr">
        <is>
          <t>ยาอาจทำให้เกิดการระคายเคืองและมีแผลที่หลอดอาหารได้</t>
        </is>
      </c>
      <c r="F56" s="32" t="inlineStr">
        <is>
          <t>หลังรับประทานยาแล้ว ต้องนั่งหรือยืนตัวตรงอย่างน้อย 30 นาที</t>
        </is>
      </c>
      <c r="G56" s="32" t="inlineStr">
        <is>
          <t>ควรรับประทานยาก่อนอาหารอย่างน้อย 1 ชั่วโมง</t>
        </is>
      </c>
      <c r="H56" s="32" t="inlineStr">
        <is>
          <t>ควรรับประทานยาร่วมกับนมหรือยาลดกรดเพื่อเพิ่มประสิทธิภาพการดูดซึมยา</t>
        </is>
      </c>
      <c r="I56" s="32" t="n">
        <v>5</v>
      </c>
      <c r="J56" s="32"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32" t="n"/>
      <c r="L56" s="32" t="inlineStr">
        <is>
          <t>Osteoarthritis</t>
        </is>
      </c>
      <c r="M56" s="32" t="inlineStr">
        <is>
          <t>Clinic</t>
        </is>
      </c>
      <c r="N56" s="32" t="inlineStr">
        <is>
          <t>Bisphosphonates Administration: ทานตอนเช้าก่อนอาหาร 30 นาที ดื่มน้ำเปล่าเต็มแก้ว และห้ามนอนราบ 30 นาที</t>
        </is>
      </c>
      <c r="O56" s="32" t="inlineStr">
        <is>
          <t>ข้อสอบจริง</t>
        </is>
      </c>
      <c r="P56" s="32" t="inlineStr">
        <is>
          <t>2559</t>
        </is>
      </c>
    </row>
    <row r="57" ht="409.6" customHeight="1" s="49">
      <c r="A57" s="32" t="n">
        <v>55</v>
      </c>
      <c r="B57" s="32"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32" t="n"/>
      <c r="D57" s="32" t="inlineStr">
        <is>
          <t>Risedronate</t>
        </is>
      </c>
      <c r="E57" s="32" t="inlineStr">
        <is>
          <t>Diclofenac</t>
        </is>
      </c>
      <c r="F57" s="32" t="inlineStr">
        <is>
          <t>Calcium carbonate</t>
        </is>
      </c>
      <c r="G57" s="32" t="inlineStr">
        <is>
          <t>Glucosamine</t>
        </is>
      </c>
      <c r="H57" s="32" t="inlineStr">
        <is>
          <t>พฤติกรรมการไม่ชอบออกกำลังกาย</t>
        </is>
      </c>
      <c r="I57" s="32" t="n">
        <v>2</v>
      </c>
      <c r="J57" s="32"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32" t="n"/>
      <c r="L57" s="32" t="inlineStr">
        <is>
          <t>Osteoarthritis</t>
        </is>
      </c>
      <c r="M57" s="32" t="inlineStr">
        <is>
          <t>Clinic</t>
        </is>
      </c>
      <c r="N57" s="32" t="inlineStr">
        <is>
          <t>NSAIDs Blood Pressure: NSAIDs ยับยั้ง Renal PG ทำให้เกิดการคั่งของโซเดียมและน้ำ ส่งผลให้ความดันโลหิตสูงขึ้น</t>
        </is>
      </c>
      <c r="O57" s="32" t="inlineStr">
        <is>
          <t>ข้อสอบจริง</t>
        </is>
      </c>
      <c r="P57" s="32" t="inlineStr">
        <is>
          <t>2559</t>
        </is>
      </c>
    </row>
    <row r="58" ht="409.6" customHeight="1" s="49">
      <c r="A58" s="32" t="n">
        <v>56</v>
      </c>
      <c r="B58" s="32"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32" t="n"/>
      <c r="D58" s="32" t="inlineStr">
        <is>
          <t>Ibuprofen</t>
        </is>
      </c>
      <c r="E58" s="32" t="inlineStr">
        <is>
          <t>Diclofenac</t>
        </is>
      </c>
      <c r="F58" s="32" t="inlineStr">
        <is>
          <t>Naproxen</t>
        </is>
      </c>
      <c r="G58" s="32" t="inlineStr">
        <is>
          <t>Celecoxib</t>
        </is>
      </c>
      <c r="H58" s="32" t="inlineStr">
        <is>
          <t>Piroxicam</t>
        </is>
      </c>
      <c r="I58" s="32" t="n">
        <v>3</v>
      </c>
      <c r="J58" s="32"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32" t="n"/>
      <c r="L58" s="32" t="inlineStr">
        <is>
          <t>Osteoarthritis</t>
        </is>
      </c>
      <c r="M58" s="32" t="inlineStr">
        <is>
          <t>Clinic</t>
        </is>
      </c>
      <c r="N58" s="32" t="inlineStr">
        <is>
          <t>ACR 2019 Knee OA: Strongly recommend Topical NSAIDs over oral NSAIDs; Exercise &amp; weight management are core non-pharmacologic interventions.</t>
        </is>
      </c>
      <c r="O58" s="32" t="inlineStr">
        <is>
          <t>ข้อสอบจริง</t>
        </is>
      </c>
      <c r="P58" s="32" t="inlineStr">
        <is>
          <t>2559</t>
        </is>
      </c>
    </row>
    <row r="59" ht="409.6" customHeight="1" s="49">
      <c r="A59" s="32" t="n">
        <v>57</v>
      </c>
      <c r="B59" s="32" t="inlineStr">
        <is>
          <t>ผู้ป่วยรายนี้ควรได้รับยาในข้อใดเป็นทางเลือกแรก (First-line) สำหรับการบรรเทาอาการปวดตามแนวทางเวชปฏิบัติ</t>
        </is>
      </c>
      <c r="C59" s="32" t="n"/>
      <c r="D59" s="32" t="inlineStr">
        <is>
          <t>Tramadol</t>
        </is>
      </c>
      <c r="E59" s="32" t="inlineStr">
        <is>
          <t>Piroxicam</t>
        </is>
      </c>
      <c r="F59" s="32" t="inlineStr">
        <is>
          <t>Colchicine</t>
        </is>
      </c>
      <c r="G59" s="32" t="inlineStr">
        <is>
          <t>Acetaminophen</t>
        </is>
      </c>
      <c r="H59" s="32" t="inlineStr">
        <is>
          <t>Orphenadrine + Paracetamol</t>
        </is>
      </c>
      <c r="I59" s="32" t="n">
        <v>4</v>
      </c>
      <c r="J59" s="32"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32" t="n"/>
      <c r="L59" s="32" t="inlineStr">
        <is>
          <t>Gout</t>
        </is>
      </c>
      <c r="M59" s="32" t="inlineStr">
        <is>
          <t>Clinic</t>
        </is>
      </c>
      <c r="N59" s="32" t="inlineStr">
        <is>
          <t>OA Treatment Hierarchy: Paracetamol หรือ Topical NSAIDs เป็นตัวเลือกลำดับแรกในข้อเข่าเสื่อม</t>
        </is>
      </c>
      <c r="O59" s="32" t="inlineStr">
        <is>
          <t>ข้อสอบจริง</t>
        </is>
      </c>
      <c r="P59" s="32" t="inlineStr">
        <is>
          <t>2559</t>
        </is>
      </c>
    </row>
    <row r="60" ht="409.6" customHeight="1" s="49">
      <c r="A60" s="32" t="n">
        <v>58</v>
      </c>
      <c r="B60" s="32" t="inlineStr">
        <is>
          <t>ยา Naproxen มีกลไกการออกฤทธิ์ทางเภสัชวิทยาต้านการอักเสบอย่างไร</t>
        </is>
      </c>
      <c r="C60" s="32" t="n"/>
      <c r="D60" s="32" t="inlineStr">
        <is>
          <t>ลดการสร้างสาร Leukotriene</t>
        </is>
      </c>
      <c r="E60" s="32" t="inlineStr">
        <is>
          <t>ลดการสร้างสาร Thromboxane A2</t>
        </is>
      </c>
      <c r="F60" s="32" t="inlineStr">
        <is>
          <t>ยับยั้งการทำงานของ Prostaglandin receptor</t>
        </is>
      </c>
      <c r="G60" s="32" t="inlineStr">
        <is>
          <t>ยับยั้งการทำงานของเอนไซม์ Lipo-oxygenase</t>
        </is>
      </c>
      <c r="H60" s="32" t="inlineStr">
        <is>
          <t>ยับยั้งการทำงานของเอนไซม์ Cyclo-oxygenase</t>
        </is>
      </c>
      <c r="I60" s="32" t="n">
        <v>5</v>
      </c>
      <c r="J60" s="32"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32" t="n"/>
      <c r="L60" s="32" t="inlineStr">
        <is>
          <t>Gout</t>
        </is>
      </c>
      <c r="M60" s="32" t="inlineStr">
        <is>
          <t>Clinic</t>
        </is>
      </c>
      <c r="N60" s="32" t="inlineStr">
        <is>
          <t>NSAIDs Mechanism: ยับยั้งเอนไซม์ Cyclooxygenase (COX) ลดการสร้าง Prostaglandins บรรเทาปวดอักเสบ</t>
        </is>
      </c>
      <c r="O60" s="32" t="inlineStr">
        <is>
          <t>ข้อสอบจริง</t>
        </is>
      </c>
      <c r="P60" s="32" t="inlineStr">
        <is>
          <t>2559</t>
        </is>
      </c>
    </row>
    <row r="61" ht="409.6" customHeight="1" s="49">
      <c r="A61" s="32" t="n">
        <v>59</v>
      </c>
      <c r="B61" s="32"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32" t="n"/>
      <c r="D61" s="32" t="inlineStr">
        <is>
          <t>เปลี่ยนเป็นยา Celecoxib</t>
        </is>
      </c>
      <c r="E61" s="32" t="inlineStr">
        <is>
          <t>เปลี่ยนเป็นยา Tramadol</t>
        </is>
      </c>
      <c r="F61" s="32" t="inlineStr">
        <is>
          <t>เปลี่ยนเป็นยา Methotrexate</t>
        </is>
      </c>
      <c r="G61" s="32" t="inlineStr">
        <is>
          <t>รับประทาน Naproxen 250 mg ร่วมกับ Antacid</t>
        </is>
      </c>
      <c r="H61" s="32" t="inlineStr">
        <is>
          <t>รับประทาน Naproxen 500 mg ร่วมกับ Omeprazole</t>
        </is>
      </c>
      <c r="I61" s="32" t="n">
        <v>5</v>
      </c>
      <c r="J61" s="32"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32" t="n"/>
      <c r="L61" s="32" t="inlineStr">
        <is>
          <t>Gout</t>
        </is>
      </c>
      <c r="M61" s="32" t="inlineStr">
        <is>
          <t>Clinic</t>
        </is>
      </c>
      <c r="N61" s="32" t="inlineStr">
        <is>
          <t>NSAIDs GI Prevention: ให้ PPI (เช่น Omeprazole) ร่วมกับ NSAID ช่วยป้องกันการเกิด Gastric &amp; Duodenal ulcers</t>
        </is>
      </c>
      <c r="O61" s="32" t="inlineStr">
        <is>
          <t>ข้อสอบจริง</t>
        </is>
      </c>
      <c r="P61" s="32" t="inlineStr">
        <is>
          <t>2559</t>
        </is>
      </c>
    </row>
    <row r="62" ht="409.6" customHeight="1" s="49">
      <c r="A62" s="32" t="n">
        <v>60</v>
      </c>
      <c r="B62" s="32"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32" t="n"/>
      <c r="D62" s="32" t="inlineStr">
        <is>
          <t>Renal toxicity</t>
        </is>
      </c>
      <c r="E62" s="32" t="inlineStr">
        <is>
          <t>Hepatotoxicity</t>
        </is>
      </c>
      <c r="F62" s="32" t="inlineStr">
        <is>
          <t>Retinal toxicity (พิษต่อจอประสาทตา)</t>
        </is>
      </c>
      <c r="G62" s="32" t="inlineStr">
        <is>
          <t>Hematologic toxicity</t>
        </is>
      </c>
      <c r="H62" s="32" t="inlineStr">
        <is>
          <t>Gastrointestinal toxicity</t>
        </is>
      </c>
      <c r="I62" s="32" t="n">
        <v>3</v>
      </c>
      <c r="J62" s="32"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32" t="n"/>
      <c r="L62" s="32" t="inlineStr">
        <is>
          <t>Gout</t>
        </is>
      </c>
      <c r="M62" s="32" t="inlineStr">
        <is>
          <t>Clinic</t>
        </is>
      </c>
      <c r="N62" s="32" t="inlineStr">
        <is>
          <t>Hydroxychloroquine Ocular Toxicity: ตกตะกอนที่ Retinal pigment epithelium ต้องตรวจลานสายตาและจอประสาทตาทุกปี</t>
        </is>
      </c>
      <c r="O62" s="32" t="inlineStr">
        <is>
          <t>ข้อสอบจริง</t>
        </is>
      </c>
      <c r="P62" s="32" t="inlineStr">
        <is>
          <t>2559</t>
        </is>
      </c>
    </row>
    <row r="63" ht="409.6" customHeight="1" s="49">
      <c r="A63" s="32" t="n">
        <v>61</v>
      </c>
      <c r="B63" s="32" t="inlineStr">
        <is>
          <t>สารสำคัญทางธรรมชาติที่มีผลต่อนวัตกรรมหรือการบำบัดสรรพคุณลดปวดอักเสบที่ผสมอยู่ในเจลพริกคือสารใด</t>
        </is>
      </c>
      <c r="C63" s="32" t="n"/>
      <c r="D63" s="32" t="inlineStr">
        <is>
          <t>Eugenol</t>
        </is>
      </c>
      <c r="E63" s="32" t="inlineStr">
        <is>
          <t>Capsaicin</t>
        </is>
      </c>
      <c r="F63" s="32" t="inlineStr">
        <is>
          <t>Piperazine</t>
        </is>
      </c>
      <c r="G63" s="32" t="inlineStr">
        <is>
          <t>Volatile oil</t>
        </is>
      </c>
      <c r="H63" s="32" t="inlineStr">
        <is>
          <t>Curcuminoid</t>
        </is>
      </c>
      <c r="I63" s="32" t="n">
        <v>2</v>
      </c>
      <c r="J63" s="32"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32" t="n"/>
      <c r="L63" s="32" t="inlineStr">
        <is>
          <t>Gout / Herbal Medicine</t>
        </is>
      </c>
      <c r="M63" s="32" t="inlineStr">
        <is>
          <t>Clinic</t>
        </is>
      </c>
      <c r="N63" s="32" t="inlineStr">
        <is>
          <t>Capsaicin Gel: สารสกัดจากพริก ยับยั้งการหลั่ง Substance P จากปลายประสาทรับความรู้สึกปวด</t>
        </is>
      </c>
      <c r="O63" s="32" t="inlineStr">
        <is>
          <t>ข้อสอบจริง</t>
        </is>
      </c>
      <c r="P63" s="32" t="inlineStr">
        <is>
          <t>2559</t>
        </is>
      </c>
    </row>
    <row r="64" ht="409.6" customHeight="1" s="49">
      <c r="A64" s="32" t="n">
        <v>62</v>
      </c>
      <c r="B64" s="32"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32" t="n"/>
      <c r="D64" s="32" t="inlineStr">
        <is>
          <t>อายุของผู้ป่วย</t>
        </is>
      </c>
      <c r="E64" s="32" t="inlineStr">
        <is>
          <t>การเกิดพยาธิสภาพที่ข้อเข่าทั้งสองข้างพร้อมกัน</t>
        </is>
      </c>
      <c r="F64" s="32" t="inlineStr">
        <is>
          <t>ตรวจคลำดูแล้วบวมเล็กน้อย ไม่มีปวดแดงร้อนรุนแรง</t>
        </is>
      </c>
      <c r="G64" s="32" t="inlineStr">
        <is>
          <t>มีอาการข้อฝืดขัดหลังตื่นนอนตอนเช้านานน้อยกว่า 30 นาที</t>
        </is>
      </c>
      <c r="H64" s="32" t="inlineStr">
        <is>
          <t>มีเสียงกรอบแกรบในข้อเข่าขณะขยับเคลื่อนไหว</t>
        </is>
      </c>
      <c r="I64" s="32" t="n">
        <v>2</v>
      </c>
      <c r="J64" s="32"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32" t="n"/>
      <c r="L64" s="32" t="inlineStr">
        <is>
          <t>Osteoarthritis</t>
        </is>
      </c>
      <c r="M64" s="32" t="inlineStr">
        <is>
          <t>Clinic</t>
        </is>
      </c>
      <c r="N64" s="32" t="inlineStr">
        <is>
          <t>OA Diagnostic Criteria: Morning stiffness นานเกิน 1 ชั่วโมง เป็นลักษณะของ RA ไม่ใช่ OA (OA &lt; 30 นาที)</t>
        </is>
      </c>
      <c r="O64" s="32" t="inlineStr">
        <is>
          <t>ข้อสอบจริง</t>
        </is>
      </c>
      <c r="P64" s="32" t="inlineStr">
        <is>
          <t>2558</t>
        </is>
      </c>
    </row>
    <row r="65" ht="409.6" customHeight="1" s="49">
      <c r="A65" s="32" t="n">
        <v>63</v>
      </c>
      <c r="B65" s="32"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32" t="n"/>
      <c r="D65" s="32" t="inlineStr">
        <is>
          <t>Paracetamol (Acetaminophen)</t>
        </is>
      </c>
      <c r="E65" s="32" t="inlineStr">
        <is>
          <t>Glucosamine sulfate</t>
        </is>
      </c>
      <c r="F65" s="32" t="inlineStr">
        <is>
          <t>Diclofenac sodium</t>
        </is>
      </c>
      <c r="G65" s="32" t="inlineStr">
        <is>
          <t>Tramadol</t>
        </is>
      </c>
      <c r="H65" s="32" t="inlineStr">
        <is>
          <t>Naproxen</t>
        </is>
      </c>
      <c r="I65" s="32" t="n">
        <v>1</v>
      </c>
      <c r="J65" s="32"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32" t="n"/>
      <c r="L65" s="32" t="inlineStr">
        <is>
          <t>Osteoarthritis</t>
        </is>
      </c>
      <c r="M65" s="32" t="inlineStr">
        <is>
          <t>Clinic</t>
        </is>
      </c>
      <c r="N65" s="32" t="inlineStr">
        <is>
          <t>OA First-line Analgesic: Paracetamol ขนาดไม่เกิน 3,000-4,000 mg/day เหมาะสำหรับ Mild-to-moderate OA pain</t>
        </is>
      </c>
      <c r="O65" s="32" t="inlineStr">
        <is>
          <t>ข้อสอบจริง</t>
        </is>
      </c>
      <c r="P65" s="32" t="inlineStr">
        <is>
          <t>2558</t>
        </is>
      </c>
    </row>
    <row r="66" ht="409.6" customHeight="1" s="49">
      <c r="A66" s="32" t="n">
        <v>64</v>
      </c>
      <c r="B66" s="32"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32" t="n"/>
      <c r="D66" s="32" t="inlineStr">
        <is>
          <t>ขมิ้นชัน</t>
        </is>
      </c>
      <c r="E66" s="32" t="inlineStr">
        <is>
          <t>ใบฝรั่ง</t>
        </is>
      </c>
      <c r="F66" s="32" t="inlineStr">
        <is>
          <t>เมล็ดน้อยหน่า</t>
        </is>
      </c>
      <c r="G66" s="32" t="inlineStr">
        <is>
          <t>เถาวัลย์เปรียง</t>
        </is>
      </c>
      <c r="H66" s="32" t="inlineStr">
        <is>
          <t>เจลพริก</t>
        </is>
      </c>
      <c r="I66" s="32" t="n">
        <v>1</v>
      </c>
      <c r="J66" s="32"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32" t="n"/>
      <c r="L66" s="32" t="inlineStr">
        <is>
          <t>Osteoarthritis / Herbal Medicine</t>
        </is>
      </c>
      <c r="M66" s="32" t="inlineStr">
        <is>
          <t>Clinic</t>
        </is>
      </c>
      <c r="N66" s="32" t="inlineStr">
        <is>
          <t>Curcumin in Knee OA: สารสกัดขมิ้นชัน มีฤทธิ์ลดปวดข้อเข่าเสื่อมได้ดีเทียบเท่า Ibuprofen และ GI safety สูงกว่า</t>
        </is>
      </c>
      <c r="O66" s="32" t="inlineStr">
        <is>
          <t>ข้อสอบจริง</t>
        </is>
      </c>
      <c r="P66" s="32" t="inlineStr">
        <is>
          <t>2558</t>
        </is>
      </c>
    </row>
    <row r="67" ht="409.6" customHeight="1" s="49">
      <c r="A67" s="32" t="n">
        <v>65</v>
      </c>
      <c r="B67" s="32"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32" t="n"/>
      <c r="D67" s="32" t="inlineStr">
        <is>
          <t>Cimetidine</t>
        </is>
      </c>
      <c r="E67" s="32" t="inlineStr">
        <is>
          <t>Omeprazole</t>
        </is>
      </c>
      <c r="F67" s="32" t="inlineStr">
        <is>
          <t>Sucralfate</t>
        </is>
      </c>
      <c r="G67" s="32" t="inlineStr">
        <is>
          <t>Antacid</t>
        </is>
      </c>
      <c r="H67" s="32" t="inlineStr">
        <is>
          <t>Misoprostol</t>
        </is>
      </c>
      <c r="I67" s="32" t="n">
        <v>2</v>
      </c>
      <c r="J67" s="32"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สูงที่สุดและได้รับการรับรองในระดับสากลเหนือยากลุ่ม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32" t="n"/>
      <c r="L67" s="32" t="inlineStr">
        <is>
          <t>Osteoarthritis</t>
        </is>
      </c>
      <c r="M67" s="32" t="inlineStr">
        <is>
          <t>Clinic</t>
        </is>
      </c>
      <c r="N67" s="32" t="inlineStr">
        <is>
          <t>PPI Co-prescription: Omeprazole เป็นยาทางเลือกมาตรฐานในการป้องกัน NSAID-induced ulcer</t>
        </is>
      </c>
      <c r="O67" s="32" t="inlineStr">
        <is>
          <t>ข้อสอบจริง</t>
        </is>
      </c>
      <c r="P67" s="32" t="inlineStr">
        <is>
          <t>2558</t>
        </is>
      </c>
    </row>
    <row r="68" ht="409.6" customHeight="1" s="49">
      <c r="A68" s="32" t="n">
        <v>66</v>
      </c>
      <c r="B68" s="32" t="inlineStr">
        <is>
          <t>ยากลุ่ม NSAIDs ตัวใดต่อไปนี้ที่มีความปลอดภัยและส่งผลกระทบต่อระบบหัวใจและหลอดเลือด (Cardiovascular safety) ต่ำที่สุด</t>
        </is>
      </c>
      <c r="C68" s="32" t="n"/>
      <c r="D68" s="32" t="inlineStr">
        <is>
          <t>Ibuprofen</t>
        </is>
      </c>
      <c r="E68" s="32" t="inlineStr">
        <is>
          <t>Diclofenac</t>
        </is>
      </c>
      <c r="F68" s="32" t="inlineStr">
        <is>
          <t>Naproxen</t>
        </is>
      </c>
      <c r="G68" s="32" t="inlineStr">
        <is>
          <t>Sulindac</t>
        </is>
      </c>
      <c r="H68" s="32" t="inlineStr">
        <is>
          <t>Parecoxib</t>
        </is>
      </c>
      <c r="I68" s="32" t="n">
        <v>5</v>
      </c>
      <c r="J68" s="32"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32" t="n"/>
      <c r="L68" s="32" t="inlineStr">
        <is>
          <t>Osteoarthritis</t>
        </is>
      </c>
      <c r="M68" s="32" t="inlineStr">
        <is>
          <t>Clinic</t>
        </is>
      </c>
      <c r="N68" s="32" t="inlineStr">
        <is>
          <t>NSAIDs CV Risk: Parecoxib / Selective COX-2 inhibitors มีความเสี่ยงต่อ CV events สูงสุด</t>
        </is>
      </c>
      <c r="O68" s="32" t="inlineStr">
        <is>
          <t>ข้อสอบจริง</t>
        </is>
      </c>
      <c r="P68" s="32" t="inlineStr">
        <is>
          <t>2558</t>
        </is>
      </c>
    </row>
    <row r="69" ht="409.6" customHeight="1" s="49">
      <c r="A69" s="32" t="n">
        <v>67</v>
      </c>
      <c r="B69" s="32" t="inlineStr">
        <is>
          <t>ปฏิกิริยาการแพ้ยาในผู้ป่วยรายนี้ (Toxic Epidermal Necrolysis: TEN) จัดอยู่ในการแพ้ยาประเภทใดตามสากล (Coombs and Gell classification)</t>
        </is>
      </c>
      <c r="C69" s="32" t="n"/>
      <c r="D69" s="32" t="inlineStr">
        <is>
          <t>Type I</t>
        </is>
      </c>
      <c r="E69" s="32" t="inlineStr">
        <is>
          <t>Type II</t>
        </is>
      </c>
      <c r="F69" s="32" t="inlineStr">
        <is>
          <t>Type III</t>
        </is>
      </c>
      <c r="G69" s="32" t="inlineStr">
        <is>
          <t>Type IV</t>
        </is>
      </c>
      <c r="H69" s="32" t="inlineStr">
        <is>
          <t>Mixed type</t>
        </is>
      </c>
      <c r="I69" s="32" t="n">
        <v>4</v>
      </c>
      <c r="J69" s="32"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32" t="n"/>
      <c r="L69" s="32" t="inlineStr">
        <is>
          <t>Gout</t>
        </is>
      </c>
      <c r="M69" s="32" t="inlineStr">
        <is>
          <t>Clinic</t>
        </is>
      </c>
      <c r="N69" s="32" t="inlineStr">
        <is>
          <t>TEN Hypersensitivity: จัดเป็น Type IV (Delayed cell-mediated) hypersensitivity กระตุ้นโดย CD8+ T cells</t>
        </is>
      </c>
      <c r="O69" s="32" t="inlineStr">
        <is>
          <t>ข้อสอบจริง</t>
        </is>
      </c>
      <c r="P69" s="32" t="inlineStr">
        <is>
          <t>2558</t>
        </is>
      </c>
    </row>
    <row r="70" ht="409.6" customHeight="1" s="49">
      <c r="A70" s="32" t="n">
        <v>68</v>
      </c>
      <c r="B70" s="32" t="inlineStr">
        <is>
          <t>ยาในข้อใดต่อไปนี้ที่เป็นสาเหตุหรือตัวกระตุ้นหลักที่มีโอกาสทำให้เกิดการแพ้ยารุนแรงชนิด TEN ในผู้ป่วยรายนี้มากที่สุด</t>
        </is>
      </c>
      <c r="C70" s="32" t="n"/>
      <c r="D70" s="32" t="inlineStr">
        <is>
          <t>การรับประทานยา Paracetamol</t>
        </is>
      </c>
      <c r="E70" s="32" t="inlineStr">
        <is>
          <t>การรับประทานยา Allopurinol</t>
        </is>
      </c>
      <c r="F70" s="32" t="inlineStr">
        <is>
          <t>ประวัติการเจ็บป่วยเป็นเบาหวานและไขมันในเลือดสูง</t>
        </is>
      </c>
      <c r="G70" s="32" t="inlineStr">
        <is>
          <t>เพศหญิงและสถานะการแต่งงานของผู้ป่วย</t>
        </is>
      </c>
      <c r="H70" s="32" t="inlineStr">
        <is>
          <t>สภาพแวดล้อมหรือโรคความดันโลหิตสูงที่เป็นอยู่</t>
        </is>
      </c>
      <c r="I70" s="32" t="n">
        <v>2</v>
      </c>
      <c r="J70" s="32"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32" t="n"/>
      <c r="L70" s="32" t="inlineStr">
        <is>
          <t>Gout</t>
        </is>
      </c>
      <c r="M70" s="32" t="inlineStr">
        <is>
          <t>Clinic</t>
        </is>
      </c>
      <c r="N70" s="32" t="inlineStr">
        <is>
          <t>Allopurinol-induced TEN: Allopurinol เป็นสาเหตุพบบ่อยอันดับต้น ๆ ของ SJS/TEN ในประเทศไทย</t>
        </is>
      </c>
      <c r="O70" s="32" t="inlineStr">
        <is>
          <t>ข้อสอบจริง</t>
        </is>
      </c>
      <c r="P70" s="32" t="inlineStr">
        <is>
          <t>2558</t>
        </is>
      </c>
    </row>
    <row r="71" ht="409.6" customHeight="1" s="49">
      <c r="A71" s="32" t="n">
        <v>69</v>
      </c>
      <c r="B71" s="32" t="inlineStr">
        <is>
          <t>ข้อใดต่อไปนี้ ไม่เกี่ยวข้อง หรือไม่ได้ใช้เป็นเกณฑ์การวินิจฉัยและการประเมินความรุนแรงของโรค Toxic Epidermal Necrolysis (TEN)</t>
        </is>
      </c>
      <c r="C71" s="32" t="n"/>
      <c r="D71" s="32" t="inlineStr">
        <is>
          <t>มีผื่นผิวหนังลอกไหม้มากกว่าร้อยละ 30 ของร่างกาย</t>
        </is>
      </c>
      <c r="E71" s="32" t="inlineStr">
        <is>
          <t>อาการนำเริ่มต้น เช่น มีไข้ เจ็บคอ และมีผื่นแดงเกิดขึ้น</t>
        </is>
      </c>
      <c r="F71" s="32" t="inlineStr">
        <is>
          <t>ประวัติได้รับยากลุ่มที่มีความถี่การแพ้สูง (High incidence drug)</t>
        </is>
      </c>
      <c r="G71" s="32" t="inlineStr">
        <is>
          <t>การเกิดแผลและผดพุพองตามเยื่อบุอวัยวะต่าง ๆ</t>
        </is>
      </c>
      <c r="H71" s="32" t="inlineStr">
        <is>
          <t>ระยะเวลาการเป็นโรคประจำตัวเรื้อรังนานกว่า 2 สัปดาห์ขึ้นไป</t>
        </is>
      </c>
      <c r="I71" s="32" t="n">
        <v>5</v>
      </c>
      <c r="J71" s="32"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32" t="n"/>
      <c r="L71" s="32" t="inlineStr">
        <is>
          <t>Gout</t>
        </is>
      </c>
      <c r="M71" s="32" t="inlineStr">
        <is>
          <t>Clinic</t>
        </is>
      </c>
      <c r="N71" s="32" t="inlineStr">
        <is>
          <t>TEN Diagnosis: เกณฑ์การวินิจฉัยประเมินจาก Skin detachment &gt; 30% BSA, Mucosal involvement, และ SCORTEN</t>
        </is>
      </c>
      <c r="O71" s="32" t="inlineStr">
        <is>
          <t>ข้อสอบจริง</t>
        </is>
      </c>
      <c r="P71" s="32" t="inlineStr">
        <is>
          <t>2558</t>
        </is>
      </c>
    </row>
    <row r="72" ht="409.6" customHeight="1" s="49">
      <c r="A72" s="32" t="n">
        <v>70</v>
      </c>
      <c r="B72" s="32"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32" t="n"/>
      <c r="D72" s="32" t="inlineStr">
        <is>
          <t>Mild severity</t>
        </is>
      </c>
      <c r="E72" s="32" t="inlineStr">
        <is>
          <t>Moderate severity</t>
        </is>
      </c>
      <c r="F72" s="32" t="inlineStr">
        <is>
          <t>Severe severity (หรือ Life-threatening)</t>
        </is>
      </c>
      <c r="G72" s="32" t="inlineStr">
        <is>
          <t>Minor severity</t>
        </is>
      </c>
      <c r="H72" s="32" t="inlineStr">
        <is>
          <t>Chronic severity</t>
        </is>
      </c>
      <c r="I72" s="32" t="n">
        <v>3</v>
      </c>
      <c r="J72" s="32"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ไม่ใช่ศัพท์เทคนิคมาตรฐานสากลในการแบ่งระดับความรุนแรงของอาการไม่พึงประสงค์จากยา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32" t="n"/>
      <c r="L72" s="32" t="inlineStr">
        <is>
          <t>Gout</t>
        </is>
      </c>
      <c r="M72" s="32" t="inlineStr">
        <is>
          <t>Clinic</t>
        </is>
      </c>
      <c r="N72" s="32" t="inlineStr">
        <is>
          <t>TEN Severity Level: SJS/TEN เป็นอาการไม่พึงประสงค์ระดับ Life-threatening ที่มีอัตราการเสียชีวิตสูง</t>
        </is>
      </c>
      <c r="O72" s="32" t="inlineStr">
        <is>
          <t>ข้อสอบจริง</t>
        </is>
      </c>
      <c r="P72" s="32" t="inlineStr">
        <is>
          <t>2558</t>
        </is>
      </c>
    </row>
    <row r="73" ht="409.6" customHeight="1" s="49">
      <c r="A73" s="32" t="n">
        <v>71</v>
      </c>
      <c r="B73"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32" t="n"/>
      <c r="D73" s="32" t="inlineStr">
        <is>
          <t>Rheumatoid arthritis</t>
        </is>
      </c>
      <c r="E73" s="32" t="inlineStr">
        <is>
          <t>Osteoarthritis</t>
        </is>
      </c>
      <c r="F73" s="32" t="inlineStr">
        <is>
          <t>Osteoporosis</t>
        </is>
      </c>
      <c r="G73" s="32" t="inlineStr">
        <is>
          <t>Acute gout</t>
        </is>
      </c>
      <c r="H73" s="32" t="inlineStr">
        <is>
          <t>Osteomalacia</t>
        </is>
      </c>
      <c r="I73" s="32" t="n">
        <v>4</v>
      </c>
      <c r="J73" s="32"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32" t="n"/>
      <c r="L73" s="32" t="inlineStr">
        <is>
          <t>Gout</t>
        </is>
      </c>
      <c r="M73" s="32" t="inlineStr">
        <is>
          <t>Clinic</t>
        </is>
      </c>
      <c r="N73" s="32" t="inlineStr">
        <is>
          <t>ข้อ 1 Pharma Plus เล่มม่วง (เฉลยข้อ ง)</t>
        </is>
      </c>
      <c r="O73" s="32" t="inlineStr">
        <is>
          <t>ข้อสอบจริง</t>
        </is>
      </c>
      <c r="P73" s="32" t="inlineStr">
        <is>
          <t>Pharma Plus เล่มม่วง</t>
        </is>
      </c>
    </row>
    <row r="74" ht="409.6" customHeight="1" s="49">
      <c r="A74" s="32" t="n">
        <v>72</v>
      </c>
      <c r="B74"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32" t="n"/>
      <c r="D74" s="32" t="inlineStr">
        <is>
          <t>Paracetamol</t>
        </is>
      </c>
      <c r="E74" s="32" t="inlineStr">
        <is>
          <t>Probenecid</t>
        </is>
      </c>
      <c r="F74" s="32" t="inlineStr">
        <is>
          <t>Colchicine</t>
        </is>
      </c>
      <c r="G74" s="32" t="inlineStr">
        <is>
          <t>Tramadol</t>
        </is>
      </c>
      <c r="H74" s="32" t="inlineStr">
        <is>
          <t>Allopurinol</t>
        </is>
      </c>
      <c r="I74" s="32" t="n">
        <v>3</v>
      </c>
      <c r="J74" s="32"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32" t="n"/>
      <c r="L74" s="32" t="inlineStr">
        <is>
          <t>Gout</t>
        </is>
      </c>
      <c r="M74" s="32" t="inlineStr">
        <is>
          <t>Clinic</t>
        </is>
      </c>
      <c r="N74" s="32" t="inlineStr">
        <is>
          <t>ข้อ 2 Pharma Plus เล่มม่วง (เฉลยข้อ ค)</t>
        </is>
      </c>
      <c r="O74" s="32" t="inlineStr">
        <is>
          <t>ข้อสอบจริง</t>
        </is>
      </c>
      <c r="P74" s="32" t="inlineStr">
        <is>
          <t>Pharma Plus เล่มม่วง</t>
        </is>
      </c>
    </row>
    <row r="75" ht="409.6" customHeight="1" s="49">
      <c r="A75" s="32" t="n">
        <v>73</v>
      </c>
      <c r="B75"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32" t="n"/>
      <c r="D75" s="32" t="inlineStr">
        <is>
          <t>Prednisolone</t>
        </is>
      </c>
      <c r="E75" s="32" t="inlineStr">
        <is>
          <t>Indomethacin</t>
        </is>
      </c>
      <c r="F75" s="32" t="inlineStr">
        <is>
          <t>Allopurinol</t>
        </is>
      </c>
      <c r="G75" s="32" t="inlineStr">
        <is>
          <t>Paracetamol</t>
        </is>
      </c>
      <c r="H75" s="32" t="inlineStr">
        <is>
          <t>Tramadol</t>
        </is>
      </c>
      <c r="I75" s="32" t="n">
        <v>3</v>
      </c>
      <c r="J75" s="32"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32" t="n"/>
      <c r="L75" s="32" t="inlineStr">
        <is>
          <t>Gout</t>
        </is>
      </c>
      <c r="M75" s="32" t="inlineStr">
        <is>
          <t>Clinic</t>
        </is>
      </c>
      <c r="N75" s="32" t="inlineStr">
        <is>
          <t>ข้อ 3 Pharma Plus เล่มม่วง (เฉลยข้อ ค)</t>
        </is>
      </c>
      <c r="O75" s="32" t="inlineStr">
        <is>
          <t>ข้อสอบจริง</t>
        </is>
      </c>
      <c r="P75" s="32" t="inlineStr">
        <is>
          <t>Pharma Plus เล่มม่วง</t>
        </is>
      </c>
    </row>
    <row r="76" ht="409.6" customHeight="1" s="49">
      <c r="A76" s="32" t="n">
        <v>74</v>
      </c>
      <c r="B76" s="32"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32" t="n"/>
      <c r="D76" s="32" t="inlineStr">
        <is>
          <t>Corticosteroid</t>
        </is>
      </c>
      <c r="E76" s="32" t="inlineStr">
        <is>
          <t>Xanthine oxidase inhibitor</t>
        </is>
      </c>
      <c r="F76" s="32" t="inlineStr">
        <is>
          <t>Uricosuric agent</t>
        </is>
      </c>
      <c r="G76" s="32" t="inlineStr">
        <is>
          <t>NSAID</t>
        </is>
      </c>
      <c r="H76" s="32" t="inlineStr">
        <is>
          <t>Para-aminophenol derivatives</t>
        </is>
      </c>
      <c r="I76" s="32" t="n">
        <v>5</v>
      </c>
      <c r="J76" s="32"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32" t="n"/>
      <c r="L76" s="32" t="inlineStr">
        <is>
          <t>Gout</t>
        </is>
      </c>
      <c r="M76" s="32" t="inlineStr">
        <is>
          <t>Clinic</t>
        </is>
      </c>
      <c r="N76" s="32" t="inlineStr">
        <is>
          <t>ข้อ 4 Pharma Plus เล่มม่วง (เฉลยข้อ จ)</t>
        </is>
      </c>
      <c r="O76" s="32" t="inlineStr">
        <is>
          <t>ข้อสอบจริง</t>
        </is>
      </c>
      <c r="P76" s="32" t="inlineStr">
        <is>
          <t>Pharma Plus เล่มม่วง</t>
        </is>
      </c>
    </row>
    <row r="77" ht="409.6" customHeight="1" s="49">
      <c r="A77" s="32" t="n">
        <v>75</v>
      </c>
      <c r="B77" s="32"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32" t="n"/>
      <c r="D77" s="32" t="inlineStr">
        <is>
          <t>Glucosamine sulfate</t>
        </is>
      </c>
      <c r="E77" s="32" t="inlineStr">
        <is>
          <t>Hydroxychloroquine</t>
        </is>
      </c>
      <c r="F77" s="32" t="inlineStr">
        <is>
          <t>Auranofin</t>
        </is>
      </c>
      <c r="G77" s="32" t="inlineStr">
        <is>
          <t>Prednisolone</t>
        </is>
      </c>
      <c r="H77" s="32" t="inlineStr">
        <is>
          <t>Methotrexate</t>
        </is>
      </c>
      <c r="I77" s="32" t="n">
        <v>1</v>
      </c>
      <c r="J77" s="32"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32" t="n"/>
      <c r="L77" s="32" t="inlineStr">
        <is>
          <t>Osteoarthritis</t>
        </is>
      </c>
      <c r="M77" s="32" t="inlineStr">
        <is>
          <t>Clinic</t>
        </is>
      </c>
      <c r="N77" s="32" t="inlineStr">
        <is>
          <t>ข้อ 5 Pharma Plus เล่มม่วง (เฉลยข้อ ก)</t>
        </is>
      </c>
      <c r="O77" s="32" t="inlineStr">
        <is>
          <t>ข้อสอบจริง</t>
        </is>
      </c>
      <c r="P77" s="32" t="inlineStr">
        <is>
          <t>Pharma Plus เล่มม่วง</t>
        </is>
      </c>
    </row>
    <row r="78" ht="409.6" customHeight="1" s="49">
      <c r="A78" s="32" t="n">
        <v>76</v>
      </c>
      <c r="B78" s="32" t="inlineStr">
        <is>
          <t>ข้อใดเป็นข้อแนะนำที่ไม่เหมาะสมสำหรับผู้ป่วย</t>
        </is>
      </c>
      <c r="C78" s="32" t="n"/>
      <c r="D78" s="32" t="inlineStr">
        <is>
          <t>ลดน้ำหนัก</t>
        </is>
      </c>
      <c r="E78" s="32" t="inlineStr">
        <is>
          <t>ให้ออกกำลังกาย</t>
        </is>
      </c>
      <c r="F78" s="32" t="inlineStr">
        <is>
          <t>การใช้อุปกรณ์พยุงข้อเข่า (Knee brace) เพื่อช่วยแบ่งเบาภาระการรับน้ำหนัก</t>
        </is>
      </c>
      <c r="G78" s="32" t="inlineStr">
        <is>
          <t>หลีกเลี่ยงการฉีดยาเข้าข้อในและติดต่อกัน</t>
        </is>
      </c>
      <c r="H78" s="32" t="inlineStr">
        <is>
          <t>รับประทานยา codeine เมื่อมีอาการปวดทันที</t>
        </is>
      </c>
      <c r="I78" s="32" t="n">
        <v>5</v>
      </c>
      <c r="J78" s="32"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ซึ่งแนวทางเวชปฏิบัติทั้งระดับสากล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32" t="n"/>
      <c r="L78" s="32" t="inlineStr">
        <is>
          <t>Osteoarthritis</t>
        </is>
      </c>
      <c r="M78" s="32" t="inlineStr">
        <is>
          <t>Clinic</t>
        </is>
      </c>
      <c r="N78" s="32" t="inlineStr">
        <is>
          <t>ข้อ 6 Pharma Plus เล่มม่วง (เฉลยข้อ จ)</t>
        </is>
      </c>
      <c r="O78" s="32" t="inlineStr">
        <is>
          <t>ข้อสอบจริง</t>
        </is>
      </c>
      <c r="P78" s="32" t="inlineStr">
        <is>
          <t>Pharma Plus เล่มม่วง</t>
        </is>
      </c>
    </row>
    <row r="79" ht="409.6" customHeight="1" s="49">
      <c r="A79" s="32" t="n">
        <v>77</v>
      </c>
      <c r="B79" s="32" t="inlineStr">
        <is>
          <t>ท่านคิดว่าผลิตภัณฑ์จากสมุนไพรข้อใด มีข้อบ่งใช้ใกล้เคียงกับ diclofenac emulsion gel มากที่สุด</t>
        </is>
      </c>
      <c r="C79" s="32" t="n"/>
      <c r="D79" s="32" t="inlineStr">
        <is>
          <t>เจลพพลู</t>
        </is>
      </c>
      <c r="E79" s="32" t="inlineStr">
        <is>
          <t>ครีมชุมเห็ดเทศ</t>
        </is>
      </c>
      <c r="F79" s="32" t="inlineStr">
        <is>
          <t>เจลว่านหางจระเข้</t>
        </is>
      </c>
      <c r="G79" s="32" t="inlineStr">
        <is>
          <t>ครีมไพล</t>
        </is>
      </c>
      <c r="H79" s="32" t="inlineStr">
        <is>
          <t>ครีมพญายอ</t>
        </is>
      </c>
      <c r="I79" s="32" t="n">
        <v>4</v>
      </c>
      <c r="J79" s="32"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32" t="n"/>
      <c r="L79" s="32" t="inlineStr">
        <is>
          <t>Osteoarthritis / Herbal Medicine</t>
        </is>
      </c>
      <c r="M79" s="32" t="inlineStr">
        <is>
          <t>Clinic</t>
        </is>
      </c>
      <c r="N79" s="32" t="inlineStr">
        <is>
          <t>ข้อ 7 Pharma Plus เล่มม่วง (เฉลยข้อ ง)</t>
        </is>
      </c>
      <c r="O79" s="32" t="inlineStr">
        <is>
          <t>ข้อสอบจริง</t>
        </is>
      </c>
      <c r="P79" s="32" t="inlineStr">
        <is>
          <t>Pharma Plus เล่มม่วง</t>
        </is>
      </c>
    </row>
    <row r="80" ht="409.6" customHeight="1" s="49">
      <c r="A80" s="32" t="n">
        <v>78</v>
      </c>
      <c r="B80" s="32" t="inlineStr">
        <is>
          <t>ข้อใดถูกต้อง</t>
        </is>
      </c>
      <c r="C80" s="32" t="n"/>
      <c r="D80" s="32" t="inlineStr">
        <is>
          <t>เมื่อโรคข้อเสื่อมเกิดการอักเสบร่วมด้วยควรเลือกใช้ยา opioid analgesic จะเหมาะสมกว่ากลุ่ม NSAIDs</t>
        </is>
      </c>
      <c r="E80" s="32" t="inlineStr">
        <is>
          <t>Opioid analgesic ไม่ควรใช้ติดต่อกันนานเพราะจะทำให้เกิดการติดยา</t>
        </is>
      </c>
      <c r="F80" s="32" t="inlineStr">
        <is>
          <t>การใช้ยา NSAIDs ควรเริ่มในขนาดที่สูงก่อนเพื่อบรรเทาอาการเจ็บปวดทันทีก่อน</t>
        </is>
      </c>
      <c r="G80" s="32" t="inlineStr">
        <is>
          <t>ผลข้างเคียงของการใช้ยากลุ่ม opioid analgesic ที่พบบ่อย คือ ท้องเสีย</t>
        </is>
      </c>
      <c r="H80" s="32" t="inlineStr">
        <is>
          <t>ยากลุ่ม cox-1 มีผลต่อการเกาะกลุ่มของเกล็ดเลือดมากกว่ายากลุ่ม cox-2</t>
        </is>
      </c>
      <c r="I80" s="32" t="n">
        <v>2</v>
      </c>
      <c r="J80" s="32"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32" t="n"/>
      <c r="L80" s="32" t="inlineStr">
        <is>
          <t>Osteoarthritis</t>
        </is>
      </c>
      <c r="M80" s="32" t="inlineStr">
        <is>
          <t>Clinic</t>
        </is>
      </c>
      <c r="N80" s="32" t="inlineStr">
        <is>
          <t>ข้อ 8 Pharma Plus เล่มม่วง (เฉลยข้อ ข)</t>
        </is>
      </c>
      <c r="O80" s="32" t="inlineStr">
        <is>
          <t>ข้อสอบจริง</t>
        </is>
      </c>
      <c r="P80" s="32" t="inlineStr">
        <is>
          <t>Pharma Plus เล่มม่วง</t>
        </is>
      </c>
    </row>
    <row r="81" ht="409.6" customHeight="1" s="49">
      <c r="A81" s="32" t="n">
        <v>79</v>
      </c>
      <c r="B81" s="32" t="inlineStr">
        <is>
          <t>เมื่อแพทย์พิจารณาแล้วจึงจ่ายยากลุ่ม cox-2 selective inhibitor ข้อใดถูกต้องเกี่ยวกับ cox-2 selective inhibitor</t>
        </is>
      </c>
      <c r="C81" s="32" t="n"/>
      <c r="D81" s="32" t="inlineStr">
        <is>
          <t>ในโครงสร้างของยากลุ่ม Cox-2 inhibitor มี Carboxyl group เป็นส่วนสำคัญที่ใช้ในการจับกับของ enzyme cox-2</t>
        </is>
      </c>
      <c r="E81" s="32" t="inlineStr">
        <is>
          <t>ยากลุ่ม cox-2 inhibitor ไม่มีผลข้างเคียงต่อกระเพาะอาหาร เนื่องจากยับยั้งเอนไซม์ cox-2 ที่กระเพาะอาหาร</t>
        </is>
      </c>
      <c r="F81" s="32" t="inlineStr">
        <is>
          <t>ยากลุ่ม cox-2 inhibitor แต่ละตัวมี cox-2/cox-1 Selective ratio ที่แตกต่างกัน</t>
        </is>
      </c>
      <c r="G81" s="32" t="inlineStr">
        <is>
          <t>ยากลุ่ม cox-2 inhibitor ทุกตัวไม่สามารถให้ในผู้ป่วยที่แพ้ยากลุ่ม sulfonamide ได้</t>
        </is>
      </c>
      <c r="H81" s="32" t="inlineStr">
        <is>
          <t>ยากลุ่ม cox-2 inhibitor ออกฤทธิ์จับกับ Cox-2 เท่านั้น โดยไม่สามารถจับกับเอนไซม์ cox-1 ได้</t>
        </is>
      </c>
      <c r="I81" s="32" t="n">
        <v>3</v>
      </c>
      <c r="J81" s="32"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32" t="n"/>
      <c r="L81" s="32" t="inlineStr">
        <is>
          <t>Osteoarthritis</t>
        </is>
      </c>
      <c r="M81" s="32" t="inlineStr">
        <is>
          <t>Clinic</t>
        </is>
      </c>
      <c r="N81" s="32" t="inlineStr">
        <is>
          <t>ข้อ 9 Pharma Plus เล่มม่วง (เฉลยข้อ ค)</t>
        </is>
      </c>
      <c r="O81" s="32" t="inlineStr">
        <is>
          <t>ข้อสอบจริง</t>
        </is>
      </c>
      <c r="P81" s="32" t="inlineStr">
        <is>
          <t>Pharma Plus เล่มม่วง</t>
        </is>
      </c>
    </row>
    <row r="82" ht="409.6" customHeight="1" s="49">
      <c r="A82" s="32" t="n">
        <v>80</v>
      </c>
      <c r="B82"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32" t="n"/>
      <c r="D82" s="32" t="inlineStr">
        <is>
          <t>ปวดบวมข้อที่นิ้วมือและเท้า</t>
        </is>
      </c>
      <c r="E82" s="32" t="inlineStr">
        <is>
          <t>ปวดบวมแดงร้อน</t>
        </is>
      </c>
      <c r="F82" s="32" t="inlineStr">
        <is>
          <t>Uric acid</t>
        </is>
      </c>
      <c r="G82" s="32" t="inlineStr">
        <is>
          <t>Scr</t>
        </is>
      </c>
      <c r="H82" s="32" t="inlineStr">
        <is>
          <t>Synovial crystal</t>
        </is>
      </c>
      <c r="I82" s="32" t="n">
        <v>5</v>
      </c>
      <c r="J82" s="32"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32" t="n"/>
      <c r="L82" s="32" t="inlineStr">
        <is>
          <t>Gout</t>
        </is>
      </c>
      <c r="M82" s="32" t="inlineStr">
        <is>
          <t>Clinic</t>
        </is>
      </c>
      <c r="N82" s="32" t="inlineStr">
        <is>
          <t>ข้อ 10 Pharma Plus เล่มม่วง (เฉลยข้อ จ)</t>
        </is>
      </c>
      <c r="O82" s="32" t="inlineStr">
        <is>
          <t>ข้อสอบจริง</t>
        </is>
      </c>
      <c r="P82" s="32" t="inlineStr">
        <is>
          <t>Pharma Plus เล่มม่วง</t>
        </is>
      </c>
    </row>
    <row r="83" ht="409.6" customHeight="1" s="49">
      <c r="A83" s="32" t="n">
        <v>81</v>
      </c>
      <c r="B83" s="32"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32" t="n"/>
      <c r="D83" s="32" t="inlineStr">
        <is>
          <t>Allopurinol</t>
        </is>
      </c>
      <c r="E83" s="32" t="inlineStr">
        <is>
          <t>Aspirin</t>
        </is>
      </c>
      <c r="F83" s="32" t="inlineStr">
        <is>
          <t>Colchicine</t>
        </is>
      </c>
      <c r="G83" s="32" t="inlineStr">
        <is>
          <t>Prednisolone</t>
        </is>
      </c>
      <c r="H83" s="32" t="inlineStr">
        <is>
          <t>Probenecid</t>
        </is>
      </c>
      <c r="I83" s="32" t="n">
        <v>3</v>
      </c>
      <c r="J83" s="32"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32" t="n"/>
      <c r="L83" s="32" t="inlineStr">
        <is>
          <t>Gout</t>
        </is>
      </c>
      <c r="M83" s="32" t="inlineStr">
        <is>
          <t>Clinic</t>
        </is>
      </c>
      <c r="N83" s="32" t="inlineStr">
        <is>
          <t>ข้อ 11 Pharma Plus เล่มม่วง (เฉลยข้อ ค)</t>
        </is>
      </c>
      <c r="O83" s="32" t="inlineStr">
        <is>
          <t>ข้อสอบจริง</t>
        </is>
      </c>
      <c r="P83" s="32" t="inlineStr">
        <is>
          <t>Pharma Plus เล่มม่วง</t>
        </is>
      </c>
    </row>
    <row r="84" ht="409.6" customHeight="1" s="49">
      <c r="A84" s="32" t="n">
        <v>82</v>
      </c>
      <c r="B84" s="32"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32" t="n"/>
      <c r="D84" s="32" t="inlineStr">
        <is>
          <t>CaCO3</t>
        </is>
      </c>
      <c r="E84" s="32" t="inlineStr">
        <is>
          <t>HCTZ</t>
        </is>
      </c>
      <c r="F84" s="32" t="inlineStr">
        <is>
          <t>Ibuprofen</t>
        </is>
      </c>
      <c r="G84" s="32" t="inlineStr">
        <is>
          <t>MFM</t>
        </is>
      </c>
      <c r="H84" s="32" t="inlineStr">
        <is>
          <t>Simvastatin</t>
        </is>
      </c>
      <c r="I84" s="32" t="n">
        <v>4</v>
      </c>
      <c r="J84" s="32"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32" t="n"/>
      <c r="L84" s="32" t="inlineStr">
        <is>
          <t>Gout</t>
        </is>
      </c>
      <c r="M84" s="32" t="inlineStr">
        <is>
          <t>Clinic</t>
        </is>
      </c>
      <c r="N84" s="32" t="inlineStr">
        <is>
          <t>ข้อ 12 Pharma Plus เล่มม่วง (เฉลยข้อ ง)</t>
        </is>
      </c>
      <c r="O84" s="32" t="inlineStr">
        <is>
          <t>ข้อสอบจริง</t>
        </is>
      </c>
      <c r="P84" s="32" t="inlineStr">
        <is>
          <t>Pharma Plus เล่มม่วง</t>
        </is>
      </c>
    </row>
    <row r="85" ht="409.6" customHeight="1" s="49">
      <c r="A85" s="32" t="n">
        <v>83</v>
      </c>
      <c r="B85" s="32" t="inlineStr">
        <is>
          <t>ยาใดควรระวังในกลุ่ม sulfonamide</t>
        </is>
      </c>
      <c r="C85" s="32" t="n"/>
      <c r="D85" s="32" t="inlineStr">
        <is>
          <t>Allopurinol</t>
        </is>
      </c>
      <c r="E85" s="32" t="inlineStr">
        <is>
          <t>Colchicine</t>
        </is>
      </c>
      <c r="F85" s="32" t="inlineStr">
        <is>
          <t>HCTZ</t>
        </is>
      </c>
      <c r="G85" s="32" t="inlineStr">
        <is>
          <t>Ibuprofen</t>
        </is>
      </c>
      <c r="H85" s="32" t="inlineStr">
        <is>
          <t>Naproxen</t>
        </is>
      </c>
      <c r="I85" s="32" t="n">
        <v>3</v>
      </c>
      <c r="J85" s="32"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32" t="n"/>
      <c r="L85" s="32" t="inlineStr">
        <is>
          <t>Gout</t>
        </is>
      </c>
      <c r="M85" s="32" t="inlineStr">
        <is>
          <t>Clinic</t>
        </is>
      </c>
      <c r="N85" s="32" t="inlineStr">
        <is>
          <t>ข้อ 13 Pharma Plus เล่มม่วง (เฉลยข้อ ค)</t>
        </is>
      </c>
      <c r="O85" s="32" t="inlineStr">
        <is>
          <t>ข้อสอบจริง</t>
        </is>
      </c>
      <c r="P85" s="32" t="inlineStr">
        <is>
          <t>Pharma Plus เล่มม่วง</t>
        </is>
      </c>
    </row>
    <row r="86" ht="409.6" customHeight="1" s="49">
      <c r="A86" s="32" t="n">
        <v>84</v>
      </c>
      <c r="B86" s="32" t="inlineStr">
        <is>
          <t>NSAID ที่มีฤทธิ์เปลี่ยนแปลงระดับ uric acid ในเลือด</t>
        </is>
      </c>
      <c r="C86" s="32" t="n"/>
      <c r="D86" s="32" t="inlineStr">
        <is>
          <t>Aspirin</t>
        </is>
      </c>
      <c r="E86" s="32" t="inlineStr">
        <is>
          <t>Celecoxib</t>
        </is>
      </c>
      <c r="F86" s="32" t="inlineStr">
        <is>
          <t>Ibuprofen</t>
        </is>
      </c>
      <c r="G86" s="32" t="inlineStr">
        <is>
          <t>Nimesulide</t>
        </is>
      </c>
      <c r="H86" s="32" t="inlineStr">
        <is>
          <t>Piroxicam</t>
        </is>
      </c>
      <c r="I86" s="32" t="n">
        <v>1</v>
      </c>
      <c r="J86" s="32"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32" t="n"/>
      <c r="L86" s="32" t="inlineStr">
        <is>
          <t>Gout</t>
        </is>
      </c>
      <c r="M86" s="32" t="inlineStr">
        <is>
          <t>Clinic</t>
        </is>
      </c>
      <c r="N86" s="32" t="inlineStr">
        <is>
          <t>ข้อ 14 Pharma Plus เล่มม่วง (เฉลยข้อ ก)</t>
        </is>
      </c>
      <c r="O86" s="32" t="inlineStr">
        <is>
          <t>ข้อสอบจริง</t>
        </is>
      </c>
      <c r="P86" s="32" t="inlineStr">
        <is>
          <t>Pharma Plus เล่มม่วง</t>
        </is>
      </c>
    </row>
    <row r="87" ht="409.6" customHeight="1" s="49">
      <c r="A87" s="32" t="n">
        <v>85</v>
      </c>
      <c r="B87"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32" t="n"/>
      <c r="D87" s="32" t="inlineStr">
        <is>
          <t>เกิดจากการสร้าง uric acid มากเกินไป</t>
        </is>
      </c>
      <c r="E87" s="32" t="inlineStr">
        <is>
          <t>เกิดจากการที่ขับ uric acid ได้น้อยลง</t>
        </is>
      </c>
      <c r="F87" s="32" t="inlineStr">
        <is>
          <t>อาการจะค่อยๆปวด มากขึ้นเรื่อย ๆ</t>
        </is>
      </c>
      <c r="G87" s="32" t="inlineStr">
        <is>
          <t>อาการมักจะเกิดตอนกลางคืนหรือเช้ามืด</t>
        </is>
      </c>
      <c r="H87" s="32" t="inlineStr">
        <is>
          <t>อาจพบนิ่วตกตะกอนที่ไตได้</t>
        </is>
      </c>
      <c r="I87" s="32" t="n">
        <v>3</v>
      </c>
      <c r="J87" s="32"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32" t="n"/>
      <c r="L87" s="32" t="inlineStr">
        <is>
          <t>Gout</t>
        </is>
      </c>
      <c r="M87" s="32" t="inlineStr">
        <is>
          <t>Clinic</t>
        </is>
      </c>
      <c r="N87" s="32" t="inlineStr">
        <is>
          <t>ข้อ 15 Pharma Plus เล่มม่วง (เฉลยข้อ ค)</t>
        </is>
      </c>
      <c r="O87" s="32" t="inlineStr">
        <is>
          <t>ข้อสอบจริง</t>
        </is>
      </c>
      <c r="P87" s="32" t="inlineStr">
        <is>
          <t>Pharma Plus เล่มม่วง</t>
        </is>
      </c>
    </row>
    <row r="88" ht="409.6" customHeight="1" s="49">
      <c r="A88" s="32" t="n">
        <v>86</v>
      </c>
      <c r="B88"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32" t="n"/>
      <c r="D88" s="32" t="inlineStr">
        <is>
          <t>โรคที่อาจมีผลทำให้ระดับ uric acid สูงขึ้น ได้แก่ เบาหวาน ความดันโลหิตสูง</t>
        </is>
      </c>
      <c r="E88" s="32" t="inlineStr">
        <is>
          <t>หากผู้ป่วยมีอาการปวดข้อ ข้อบวมควรรีบให้ยาลดระดับ uric acid ในเลือด</t>
        </is>
      </c>
      <c r="F88" s="32" t="inlineStr">
        <is>
          <t>การให้ยา aspirin ในขนาด 3 g ต่อวัน มีผลให้ระดับ uric acid ลดลง</t>
        </is>
      </c>
      <c r="G88" s="32" t="inlineStr">
        <is>
          <t>ยา colchicine จะให้ผลการรักษาที่ดีใน 2 วันแรกของ gout attack</t>
        </is>
      </c>
      <c r="H88" s="32" t="inlineStr">
        <is>
          <t>พันธุกรรม มีผลต่อการเกิดโรค</t>
        </is>
      </c>
      <c r="I88" s="32" t="n">
        <v>2</v>
      </c>
      <c r="J88" s="32"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32" t="n"/>
      <c r="L88" s="32" t="inlineStr">
        <is>
          <t>Gout</t>
        </is>
      </c>
      <c r="M88" s="32" t="inlineStr">
        <is>
          <t>Clinic</t>
        </is>
      </c>
      <c r="N88" s="32" t="inlineStr">
        <is>
          <t>ข้อ 16 Pharma Plus เล่มม่วง (เฉลยข้อ ข)</t>
        </is>
      </c>
      <c r="O88" s="32" t="inlineStr">
        <is>
          <t>ข้อสอบจริง</t>
        </is>
      </c>
      <c r="P88" s="32" t="inlineStr">
        <is>
          <t>Pharma Plus เล่มม่วง</t>
        </is>
      </c>
    </row>
    <row r="89" ht="409.6" customHeight="1" s="49">
      <c r="A89" s="32" t="n">
        <v>87</v>
      </c>
      <c r="B89" s="32"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32" t="n"/>
      <c r="D89" s="32" t="inlineStr">
        <is>
          <t>Indomethacin</t>
        </is>
      </c>
      <c r="E89" s="32" t="inlineStr">
        <is>
          <t>Colchicine</t>
        </is>
      </c>
      <c r="F89" s="32" t="inlineStr">
        <is>
          <t>Indomethacin + colchicine</t>
        </is>
      </c>
      <c r="G89" s="32" t="inlineStr">
        <is>
          <t>Colchicine + allopurinol</t>
        </is>
      </c>
      <c r="H89" s="32" t="inlineStr">
        <is>
          <t>Indomethacin + colchicine + allopurinol</t>
        </is>
      </c>
      <c r="I89" s="32" t="n">
        <v>1</v>
      </c>
      <c r="J89" s="32"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32" t="n"/>
      <c r="L89" s="32" t="inlineStr">
        <is>
          <t>Gout</t>
        </is>
      </c>
      <c r="M89" s="32" t="inlineStr">
        <is>
          <t>Clinic</t>
        </is>
      </c>
      <c r="N89" s="32" t="inlineStr">
        <is>
          <t>ข้อ 17 Pharma Plus เล่มม่วง (เฉลยข้อ ก)</t>
        </is>
      </c>
      <c r="O89" s="32" t="inlineStr">
        <is>
          <t>ข้อสอบจริง</t>
        </is>
      </c>
      <c r="P89" s="32" t="inlineStr">
        <is>
          <t>Pharma Plus เล่มม่วง</t>
        </is>
      </c>
    </row>
    <row r="90" ht="396" customHeight="1" s="49">
      <c r="A90" s="32" t="n">
        <v>88</v>
      </c>
      <c r="B90"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32" t="n"/>
      <c r="D90" s="32" t="inlineStr">
        <is>
          <t>Rheumatoid arthritis</t>
        </is>
      </c>
      <c r="E90" s="32" t="inlineStr">
        <is>
          <t>Osteoarthritis</t>
        </is>
      </c>
      <c r="F90" s="32" t="inlineStr">
        <is>
          <t>Acute Gout</t>
        </is>
      </c>
      <c r="G90" s="32" t="inlineStr">
        <is>
          <t>Osteoporosis</t>
        </is>
      </c>
      <c r="H90" s="32" t="inlineStr">
        <is>
          <t>Osteomalacia</t>
        </is>
      </c>
      <c r="I90" s="32" t="n">
        <v>3</v>
      </c>
      <c r="J90" s="32"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32" t="n"/>
      <c r="L90" s="32" t="inlineStr">
        <is>
          <t>Gout</t>
        </is>
      </c>
      <c r="M90" s="32" t="inlineStr">
        <is>
          <t>Clinic</t>
        </is>
      </c>
      <c r="N90" s="32" t="inlineStr">
        <is>
          <t>ข้อ 18 Pharma Plus เล่มม่วง (เฉลยข้อ ค)</t>
        </is>
      </c>
      <c r="O90" s="32" t="inlineStr">
        <is>
          <t>ข้อสอบจริง</t>
        </is>
      </c>
      <c r="P90" s="32" t="inlineStr">
        <is>
          <t>Pharma Plus เล่มม่วง</t>
        </is>
      </c>
    </row>
    <row r="91" ht="409.6" customHeight="1" s="49">
      <c r="A91" s="32" t="n">
        <v>89</v>
      </c>
      <c r="B91"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32" t="n"/>
      <c r="D91" s="32" t="inlineStr">
        <is>
          <t>เกิดจากการมีภาวะกรดยูริกในเลือดสูง และมีผลึก monosodium glutamate ตกตะกอนในข้อ</t>
        </is>
      </c>
      <c r="E91" s="32" t="inlineStr">
        <is>
          <t>เกิดจากการเสื่อมสภาพของกระดูกอ่อน โดยถูกทำลายจนเกิดการผิดรูปร่างไป</t>
        </is>
      </c>
      <c r="F91" s="32" t="inlineStr">
        <is>
          <t>เกิดจากการอักเสบเรื้อรังของเนื้อเยื่อไขกระดูกและกระดูกอ่อนถูกทำลาย</t>
        </is>
      </c>
      <c r="G91" s="32" t="inlineStr">
        <is>
          <t>เกิดจากโรค autoimmune ทำให้มีปุ่ม tophi เกิดขึ้นบริเวณข้ออักเสบ</t>
        </is>
      </c>
      <c r="H91" s="32" t="inlineStr">
        <is>
          <t>ไม่มีข้อใดถูก</t>
        </is>
      </c>
      <c r="I91" s="32" t="n">
        <v>5</v>
      </c>
      <c r="J91" s="32"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32" t="n"/>
      <c r="L91" s="32" t="inlineStr">
        <is>
          <t>Gout</t>
        </is>
      </c>
      <c r="M91" s="32" t="inlineStr">
        <is>
          <t>Clinic</t>
        </is>
      </c>
      <c r="N91" s="32" t="inlineStr">
        <is>
          <t>ข้อ 19 Pharma Plus เล่มม่วง (เฉลยข้อ จ)</t>
        </is>
      </c>
      <c r="O91" s="32" t="inlineStr">
        <is>
          <t>ข้อสอบจริง</t>
        </is>
      </c>
      <c r="P91" s="32" t="inlineStr">
        <is>
          <t>Pharma Plus เล่มม่วง</t>
        </is>
      </c>
    </row>
    <row r="92" ht="409.6" customHeight="1" s="49">
      <c r="A92" s="32" t="n">
        <v>90</v>
      </c>
      <c r="B92"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32" t="n"/>
      <c r="D92" s="32" t="inlineStr">
        <is>
          <t>Diuretic</t>
        </is>
      </c>
      <c r="E92" s="32" t="inlineStr">
        <is>
          <t>Salicylates low dose</t>
        </is>
      </c>
      <c r="F92" s="32" t="inlineStr">
        <is>
          <t>Pyrazinamide</t>
        </is>
      </c>
      <c r="G92" s="32" t="inlineStr">
        <is>
          <t>Ethambutol</t>
        </is>
      </c>
      <c r="H92" s="32" t="inlineStr">
        <is>
          <t>ไม่มีข้อใดถูก</t>
        </is>
      </c>
      <c r="I92" s="32" t="n">
        <v>5</v>
      </c>
      <c r="J92" s="32"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32" t="n"/>
      <c r="L92" s="32" t="inlineStr">
        <is>
          <t>Gout</t>
        </is>
      </c>
      <c r="M92" s="32" t="inlineStr">
        <is>
          <t>Clinic</t>
        </is>
      </c>
      <c r="N92" s="32" t="inlineStr">
        <is>
          <t>ข้อ 20 Pharma Plus เล่มม่วง (เฉลยข้อ จ)</t>
        </is>
      </c>
      <c r="O92" s="32" t="inlineStr">
        <is>
          <t>ข้อสอบจริง</t>
        </is>
      </c>
      <c r="P92" s="32" t="inlineStr">
        <is>
          <t>Pharma Plus เล่มม่วง</t>
        </is>
      </c>
    </row>
    <row r="93" ht="409.6" customHeight="1" s="49">
      <c r="A93" s="32" t="n">
        <v>91</v>
      </c>
      <c r="B93"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32" t="n"/>
      <c r="D93" s="32" t="inlineStr">
        <is>
          <t>Aspirin</t>
        </is>
      </c>
      <c r="E93" s="32" t="inlineStr">
        <is>
          <t>Colchicine</t>
        </is>
      </c>
      <c r="F93" s="32" t="inlineStr">
        <is>
          <t>Indomethacin + colchicine</t>
        </is>
      </c>
      <c r="G93" s="32" t="inlineStr">
        <is>
          <t>Colchicine + allopurinol</t>
        </is>
      </c>
      <c r="H93" s="32" t="inlineStr">
        <is>
          <t>Indomethacin + colchicine+ allopurinol</t>
        </is>
      </c>
      <c r="I93" s="32" t="n">
        <v>2</v>
      </c>
      <c r="J93" s="32"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32" t="n"/>
      <c r="L93" s="32" t="inlineStr">
        <is>
          <t>Gout</t>
        </is>
      </c>
      <c r="M93" s="32" t="inlineStr">
        <is>
          <t>Clinic</t>
        </is>
      </c>
      <c r="N93" s="32" t="inlineStr">
        <is>
          <t>ข้อ 21 Pharma Plus เล่มม่วง (เฉลยข้อ ข)</t>
        </is>
      </c>
      <c r="O93" s="32" t="inlineStr">
        <is>
          <t>ข้อสอบจริง</t>
        </is>
      </c>
      <c r="P93" s="32" t="inlineStr">
        <is>
          <t>Pharma Plus เล่มม่วง</t>
        </is>
      </c>
    </row>
    <row r="94" ht="409.6" customHeight="1" s="49">
      <c r="A94" s="32" t="n">
        <v>92</v>
      </c>
      <c r="B94"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32" t="n"/>
      <c r="D94" s="32" t="inlineStr">
        <is>
          <t>ตับอักเสบ</t>
        </is>
      </c>
      <c r="E94" s="32" t="inlineStr">
        <is>
          <t>ท้องเสีย</t>
        </is>
      </c>
      <c r="F94" s="32" t="inlineStr">
        <is>
          <t>ปัสสาวะเป็นสีโค้ก</t>
        </is>
      </c>
      <c r="G94" s="32" t="inlineStr">
        <is>
          <t>กดการทำงานของไขกระดูก</t>
        </is>
      </c>
      <c r="H94" s="32" t="inlineStr">
        <is>
          <t>ถูกทุกข้อ</t>
        </is>
      </c>
      <c r="I94" s="32" t="n">
        <v>5</v>
      </c>
      <c r="J94" s="32"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32" t="n"/>
      <c r="L94" s="32" t="inlineStr">
        <is>
          <t>Gout</t>
        </is>
      </c>
      <c r="M94" s="32" t="inlineStr">
        <is>
          <t>Clinic</t>
        </is>
      </c>
      <c r="N94" s="32" t="inlineStr">
        <is>
          <t>ข้อ 22 Pharma Plus เล่มม่วง (เฉลยข้อ จ)</t>
        </is>
      </c>
      <c r="O94" s="32" t="inlineStr">
        <is>
          <t>ข้อสอบจริง</t>
        </is>
      </c>
      <c r="P94" s="32" t="inlineStr">
        <is>
          <t>Pharma Plus เล่มม่วง</t>
        </is>
      </c>
    </row>
    <row r="95" ht="409.6" customHeight="1" s="49">
      <c r="A95" s="32" t="n">
        <v>93</v>
      </c>
      <c r="B95" s="32"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32" t="n"/>
      <c r="D95" s="32" t="inlineStr">
        <is>
          <t>Corticosteroid</t>
        </is>
      </c>
      <c r="E95" s="32" t="inlineStr">
        <is>
          <t>NSAIDs</t>
        </is>
      </c>
      <c r="F95" s="32" t="inlineStr">
        <is>
          <t>Xanthine oxidase inhibitors</t>
        </is>
      </c>
      <c r="G95" s="32" t="inlineStr">
        <is>
          <t>Uricosuric agent</t>
        </is>
      </c>
      <c r="H95" s="32" t="inlineStr">
        <is>
          <t>ถูกทั้งข้อ ค. และ ง.</t>
        </is>
      </c>
      <c r="I95" s="32" t="n">
        <v>5</v>
      </c>
      <c r="J95" s="32"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32" t="n"/>
      <c r="L95" s="32" t="inlineStr">
        <is>
          <t>Gout</t>
        </is>
      </c>
      <c r="M95" s="32" t="inlineStr">
        <is>
          <t>Clinic</t>
        </is>
      </c>
      <c r="N95" s="32" t="inlineStr">
        <is>
          <t>ข้อ 23 Pharma Plus เล่มม่วง (เฉลยข้อ จ)</t>
        </is>
      </c>
      <c r="O95" s="32" t="inlineStr">
        <is>
          <t>ข้อสอบจริง</t>
        </is>
      </c>
      <c r="P95" s="32" t="inlineStr">
        <is>
          <t>Pharma Plus เล่มม่วง</t>
        </is>
      </c>
    </row>
    <row r="96" ht="409.6" customHeight="1" s="49">
      <c r="A96" s="32" t="n">
        <v>94</v>
      </c>
      <c r="B96" s="32" t="inlineStr">
        <is>
          <t>ข้อใดกล่าวผิด</t>
        </is>
      </c>
      <c r="C96" s="32" t="n"/>
      <c r="D96" s="32" t="inlineStr">
        <is>
          <t>Colchicine ออกฤทธิ์ลดการอักเสบของข้อ แต่ไม่มีฤทธิ์ analgesic</t>
        </is>
      </c>
      <c r="E96" s="32" t="inlineStr">
        <is>
          <t>Allopurinol ออกฤทธิ์ลดการสร้างกรดยูริก โดยยับยั้งเอนไซม์ xanthine oxidase</t>
        </is>
      </c>
      <c r="F96" s="32" t="inlineStr">
        <is>
          <t>Probenecid ออกฤทธิ์ยับยั้งการดูดกลับของกรดยูริกที่ท่อไต และเพิ่มการขับออกของกรดยูริกทางไตด้วย</t>
        </is>
      </c>
      <c r="G96" s="32" t="inlineStr">
        <is>
          <t>ข้อ ก. และข้อ ค. กล่าวผิด</t>
        </is>
      </c>
      <c r="H96" s="32" t="inlineStr">
        <is>
          <t>กล่าวถูกทุกข้อ</t>
        </is>
      </c>
      <c r="I96" s="32" t="n">
        <v>1</v>
      </c>
      <c r="J96" s="32"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32" t="n"/>
      <c r="L96" s="32" t="inlineStr">
        <is>
          <t>Gout</t>
        </is>
      </c>
      <c r="M96" s="32" t="inlineStr">
        <is>
          <t>Clinic</t>
        </is>
      </c>
      <c r="N96" s="32" t="inlineStr">
        <is>
          <t>ข้อ 24 Pharma Plus เล่มม่วง (เฉลยข้อ ก)</t>
        </is>
      </c>
      <c r="O96" s="32" t="inlineStr">
        <is>
          <t>Mock</t>
        </is>
      </c>
      <c r="P96" s="32" t="inlineStr">
        <is>
          <t>Pharma Plus เล่มม่วง</t>
        </is>
      </c>
    </row>
    <row r="97" ht="409.6" customHeight="1" s="49">
      <c r="A97" s="32" t="n">
        <v>95</v>
      </c>
      <c r="B97" s="32"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32" t="n"/>
      <c r="D97" s="32" t="inlineStr">
        <is>
          <t>ยา allopurinol เนื่องจากเป็นยาอันตราย</t>
        </is>
      </c>
      <c r="E97" s="32" t="inlineStr">
        <is>
          <t>ยา colchicine เนื่องจากเป็นยาอันตราย</t>
        </is>
      </c>
      <c r="F97" s="32" t="inlineStr">
        <is>
          <t>ยา etoricoxib เนื่องจากเป็นยาควบคุมพิเศษ</t>
        </is>
      </c>
      <c r="G97" s="32" t="inlineStr">
        <is>
          <t>ยา prednisolone เนื่องจากเป็นยาควบคุมพิเศษ</t>
        </is>
      </c>
      <c r="H97" s="32" t="inlineStr">
        <is>
          <t>เภสัชกรสามารถจ่ายยาได้ทุกข้อ</t>
        </is>
      </c>
      <c r="I97" s="32" t="n">
        <v>4</v>
      </c>
      <c r="J97" s="32"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32" t="n"/>
      <c r="L97" s="32" t="inlineStr">
        <is>
          <t>Gout / Pharmacy Laws &amp; Ethics</t>
        </is>
      </c>
      <c r="M97" s="32" t="inlineStr">
        <is>
          <t>Clinic</t>
        </is>
      </c>
      <c r="N97" s="32" t="inlineStr">
        <is>
          <t>ข้อ 25 Pharma Plus เล่มม่วง (เฉลยข้อ ง)</t>
        </is>
      </c>
      <c r="O97" s="32" t="inlineStr">
        <is>
          <t>Mock</t>
        </is>
      </c>
      <c r="P97" s="32" t="inlineStr">
        <is>
          <t>Pharma Plus เล่มม่วง</t>
        </is>
      </c>
    </row>
    <row r="98" ht="409.6" customHeight="1" s="49">
      <c r="A98" s="32" t="n">
        <v>96</v>
      </c>
      <c r="B98"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32" t="n"/>
      <c r="D98" s="32" t="inlineStr">
        <is>
          <t>SLE</t>
        </is>
      </c>
      <c r="E98" s="32" t="inlineStr">
        <is>
          <t>Gout</t>
        </is>
      </c>
      <c r="F98" s="32" t="inlineStr">
        <is>
          <t>Tendonitis</t>
        </is>
      </c>
      <c r="G98" s="32" t="inlineStr">
        <is>
          <t>Osteoarthritis</t>
        </is>
      </c>
      <c r="H98" s="32" t="inlineStr">
        <is>
          <t>Rheumatoid arthritis</t>
        </is>
      </c>
      <c r="I98" s="32" t="n">
        <v>2</v>
      </c>
      <c r="J98" s="32"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32" t="n"/>
      <c r="L98" s="32" t="inlineStr">
        <is>
          <t>Gout</t>
        </is>
      </c>
      <c r="M98" s="32" t="inlineStr">
        <is>
          <t>Clinic</t>
        </is>
      </c>
      <c r="N98" s="32" t="inlineStr">
        <is>
          <t>ข้อ 26 Pharma Plus เล่มม่วง (เฉลยข้อ ข)</t>
        </is>
      </c>
      <c r="O98" s="32" t="inlineStr">
        <is>
          <t>Mock</t>
        </is>
      </c>
      <c r="P98" s="32" t="inlineStr">
        <is>
          <t>Pharma Plus เล่มม่วง</t>
        </is>
      </c>
    </row>
    <row r="99" ht="409.6" customHeight="1" s="49">
      <c r="A99" s="32" t="n">
        <v>97</v>
      </c>
      <c r="B99"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32" t="n"/>
      <c r="D99" s="32" t="inlineStr">
        <is>
          <t>ALT (SGPT)</t>
        </is>
      </c>
      <c r="E99" s="32" t="inlineStr">
        <is>
          <t>FBS</t>
        </is>
      </c>
      <c r="F99" s="32" t="inlineStr">
        <is>
          <t>Hct</t>
        </is>
      </c>
      <c r="G99" s="32" t="inlineStr">
        <is>
          <t>BUN</t>
        </is>
      </c>
      <c r="H99" s="32" t="inlineStr">
        <is>
          <t>Uric acid</t>
        </is>
      </c>
      <c r="I99" s="32" t="n">
        <v>5</v>
      </c>
      <c r="J99" s="32"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32" t="n"/>
      <c r="L99" s="32" t="inlineStr">
        <is>
          <t>Gout</t>
        </is>
      </c>
      <c r="M99" s="32" t="inlineStr">
        <is>
          <t>Clinic</t>
        </is>
      </c>
      <c r="N99" s="32" t="inlineStr">
        <is>
          <t>ข้อ 27 Pharma Plus เล่มม่วง (เฉลยข้อ จ)</t>
        </is>
      </c>
      <c r="O99" s="32" t="inlineStr">
        <is>
          <t>Mock</t>
        </is>
      </c>
      <c r="P99" s="32" t="inlineStr">
        <is>
          <t>Pharma Plus เล่มม่วง</t>
        </is>
      </c>
    </row>
    <row r="100" ht="409.6" customHeight="1" s="49">
      <c r="A100" s="32" t="n">
        <v>98</v>
      </c>
      <c r="B100"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32" t="n"/>
      <c r="D100" s="32" t="inlineStr">
        <is>
          <t>ASA</t>
        </is>
      </c>
      <c r="E100" s="32" t="inlineStr">
        <is>
          <t>Allopurinol</t>
        </is>
      </c>
      <c r="F100" s="32" t="inlineStr">
        <is>
          <t>Colchicine</t>
        </is>
      </c>
      <c r="G100" s="32" t="inlineStr">
        <is>
          <t>Tramadol</t>
        </is>
      </c>
      <c r="H100" s="32" t="inlineStr">
        <is>
          <t>Paracetamol</t>
        </is>
      </c>
      <c r="I100" s="32" t="n">
        <v>1</v>
      </c>
      <c r="J100" s="32"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32" t="n"/>
      <c r="L100" s="32" t="inlineStr">
        <is>
          <t>Gout</t>
        </is>
      </c>
      <c r="M100" s="32" t="inlineStr">
        <is>
          <t>Clinic</t>
        </is>
      </c>
      <c r="N100" s="32" t="inlineStr">
        <is>
          <t>ข้อ 28 Pharma Plus เล่มม่วง (เฉลยข้อ ก ข)</t>
        </is>
      </c>
      <c r="O100" s="32" t="inlineStr">
        <is>
          <t>Mock</t>
        </is>
      </c>
      <c r="P100" s="32" t="inlineStr">
        <is>
          <t>Pharma Plus เล่มม่วง</t>
        </is>
      </c>
    </row>
    <row r="101" ht="409.6" customHeight="1" s="49">
      <c r="A101" s="32" t="n">
        <v>99</v>
      </c>
      <c r="B101" s="32"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32" t="n"/>
      <c r="D101" s="32" t="inlineStr">
        <is>
          <t>ควบคุมน้ำหนัก</t>
        </is>
      </c>
      <c r="E101" s="32" t="inlineStr">
        <is>
          <t>ออกกำลังกายอย่างสม่ำเสมอ</t>
        </is>
      </c>
      <c r="F101" s="32" t="inlineStr">
        <is>
          <t>ควบคุมระดับน้ำตาลในเลือด</t>
        </is>
      </c>
      <c r="G101" s="32" t="inlineStr">
        <is>
          <t>รับประทานสัตว์ปีกแทนสัตว์ใหญ่</t>
        </is>
      </c>
      <c r="H101" s="32" t="inlineStr">
        <is>
          <t>หยุดรับประทานเครื่องในอย่างเคร่งครัด</t>
        </is>
      </c>
      <c r="I101" s="32" t="n">
        <v>5</v>
      </c>
      <c r="J101" s="32"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32" t="n"/>
      <c r="L101" s="32" t="inlineStr">
        <is>
          <t>Gout</t>
        </is>
      </c>
      <c r="M101" s="32" t="inlineStr">
        <is>
          <t>Clinic</t>
        </is>
      </c>
      <c r="N101" s="32" t="inlineStr">
        <is>
          <t>ข้อ 29 Pharma Plus เล่มม่วง (เฉลยข้อ จ)</t>
        </is>
      </c>
      <c r="O101" s="32" t="inlineStr">
        <is>
          <t>Mock</t>
        </is>
      </c>
      <c r="P101" s="32" t="inlineStr">
        <is>
          <t>Pharma Plus เล่มม่วง</t>
        </is>
      </c>
    </row>
    <row r="102" ht="409.6" customHeight="1" s="49">
      <c r="A102" s="32" t="n">
        <v>100</v>
      </c>
      <c r="B102"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32" t="n"/>
      <c r="D102" s="32" t="inlineStr">
        <is>
          <t>Indomethacin 25 mg 1x3 pc</t>
        </is>
      </c>
      <c r="E102" s="32" t="inlineStr">
        <is>
          <t>Piroxicam 10 mg 1x2 pc</t>
        </is>
      </c>
      <c r="F102" s="32" t="inlineStr">
        <is>
          <t>Naproxen 500 mg 1x2 pc</t>
        </is>
      </c>
      <c r="G102" s="32" t="inlineStr">
        <is>
          <t>Ibuprofen 800 mg 1x4 pc</t>
        </is>
      </c>
      <c r="H102" s="32" t="inlineStr">
        <is>
          <t>Aspirin 500 mg 1x3 pc</t>
        </is>
      </c>
      <c r="I102" s="32" t="n">
        <v>5</v>
      </c>
      <c r="J102" s="32"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32" t="n"/>
      <c r="L102" s="32" t="inlineStr">
        <is>
          <t>Gout</t>
        </is>
      </c>
      <c r="M102" s="32" t="inlineStr">
        <is>
          <t>Clinic</t>
        </is>
      </c>
      <c r="N102" s="32" t="inlineStr">
        <is>
          <t>ข้อ 30 Pharma Plus เล่มม่วง (เฉลยข้อ จ)</t>
        </is>
      </c>
      <c r="O102" s="32" t="inlineStr">
        <is>
          <t>Mock</t>
        </is>
      </c>
      <c r="P102" s="32" t="inlineStr">
        <is>
          <t>Pharma Plus เล่มม่วง</t>
        </is>
      </c>
    </row>
    <row r="103" ht="409.6" customHeight="1" s="49">
      <c r="A103" s="32" t="n">
        <v>101</v>
      </c>
      <c r="B103" s="32"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32" t="n"/>
      <c r="D103" s="32" t="inlineStr">
        <is>
          <t>ยับยั้ง norciceptin</t>
        </is>
      </c>
      <c r="E103" s="32" t="inlineStr">
        <is>
          <t>Inhibit PG</t>
        </is>
      </c>
      <c r="F103" s="32" t="inlineStr">
        <is>
          <t>IL-1 receptor antagonists</t>
        </is>
      </c>
      <c r="G103" s="32" t="inlineStr">
        <is>
          <t>Inhibit INF</t>
        </is>
      </c>
      <c r="H103" s="32" t="inlineStr">
        <is>
          <t>กด PMN ทำให้ไม่สามารถหลั่งสารอักเสบ</t>
        </is>
      </c>
      <c r="I103" s="32" t="n">
        <v>5</v>
      </c>
      <c r="J103" s="32"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32" t="n"/>
      <c r="L103" s="32" t="inlineStr">
        <is>
          <t>Gout</t>
        </is>
      </c>
      <c r="M103" s="32" t="inlineStr">
        <is>
          <t>Clinic</t>
        </is>
      </c>
      <c r="N103" s="32" t="inlineStr">
        <is>
          <t>ข้อ 31 Pharma Plus เล่มม่วง (เฉลยข้อ จ)</t>
        </is>
      </c>
      <c r="O103" s="32" t="inlineStr">
        <is>
          <t>Mock</t>
        </is>
      </c>
      <c r="P103" s="32" t="inlineStr">
        <is>
          <t>Pharma Plus เล่มม่วง</t>
        </is>
      </c>
    </row>
    <row r="104" ht="409.6" customHeight="1" s="49">
      <c r="A104" s="32" t="n">
        <v>102</v>
      </c>
      <c r="B104"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32" t="n"/>
      <c r="D104" s="32" t="inlineStr">
        <is>
          <t>HMG-CoA reductase inhibitors</t>
        </is>
      </c>
      <c r="E104" s="32" t="inlineStr">
        <is>
          <t>Integrase inhibitors</t>
        </is>
      </c>
      <c r="F104" s="32" t="inlineStr">
        <is>
          <t>Xanthine oxidase inhibitors</t>
        </is>
      </c>
      <c r="G104" s="32" t="inlineStr">
        <is>
          <t>DNA gyrase inhibitors</t>
        </is>
      </c>
      <c r="H104" s="32" t="inlineStr">
        <is>
          <t>Cholinesterase inhibitors</t>
        </is>
      </c>
      <c r="I104" s="32" t="n">
        <v>3</v>
      </c>
      <c r="J104" s="32"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32" t="n"/>
      <c r="L104" s="32" t="inlineStr">
        <is>
          <t>Gout</t>
        </is>
      </c>
      <c r="M104" s="32" t="inlineStr">
        <is>
          <t>Clinic</t>
        </is>
      </c>
      <c r="N104" s="32" t="inlineStr">
        <is>
          <t>ข้อ 32 Pharma Plus เล่มม่วง (เฉลยข้อ ค)</t>
        </is>
      </c>
      <c r="O104" s="32" t="inlineStr">
        <is>
          <t>Mock</t>
        </is>
      </c>
      <c r="P104" s="32" t="inlineStr">
        <is>
          <t>Pharma Plus เล่มม่วง</t>
        </is>
      </c>
    </row>
    <row r="105" ht="409.6" customHeight="1" s="49">
      <c r="A105" s="32" t="n">
        <v>103</v>
      </c>
      <c r="B105" s="32"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32" t="n"/>
      <c r="D105" s="32" t="inlineStr">
        <is>
          <t>รางจืด</t>
        </is>
      </c>
      <c r="E105" s="32" t="inlineStr">
        <is>
          <t>ขมิ้นชัน</t>
        </is>
      </c>
      <c r="F105" s="32" t="inlineStr">
        <is>
          <t>ตรีผลา</t>
        </is>
      </c>
      <c r="G105" s="32" t="inlineStr">
        <is>
          <t>ฟ้าทลายโจร</t>
        </is>
      </c>
      <c r="H105" s="32" t="inlineStr">
        <is>
          <t>เถาวัลย์เปรียง</t>
        </is>
      </c>
      <c r="I105" s="32" t="n">
        <v>5</v>
      </c>
      <c r="J105" s="32"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32" t="n"/>
      <c r="L105" s="32" t="inlineStr">
        <is>
          <t>Gout / Herbal Medicine</t>
        </is>
      </c>
      <c r="M105" s="32" t="inlineStr">
        <is>
          <t>Clinic</t>
        </is>
      </c>
      <c r="N105" s="32" t="inlineStr">
        <is>
          <t>ข้อ 33 Pharma Plus เล่มม่วง (เฉลยข้อ จ)</t>
        </is>
      </c>
      <c r="O105" s="32" t="inlineStr">
        <is>
          <t>Mock</t>
        </is>
      </c>
      <c r="P105" s="32" t="inlineStr">
        <is>
          <t>Pharma Plus เล่มม่วง</t>
        </is>
      </c>
    </row>
    <row r="106" ht="409.6" customHeight="1" s="49">
      <c r="A106" s="32" t="n">
        <v>104</v>
      </c>
      <c r="B106" s="32"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32" t="n"/>
      <c r="D106" s="32" t="inlineStr">
        <is>
          <t>Hydrochlorothiazide induced hyponatremia</t>
        </is>
      </c>
      <c r="E106" s="32" t="inlineStr">
        <is>
          <t>ระดับยา colchicine ลดลงเนื่องจากเกิดปฏิกิริยากับ hydrochlorothiazide</t>
        </is>
      </c>
      <c r="F106" s="32" t="inlineStr">
        <is>
          <t>ภาวะแทรกซ้อนจากโรคความดันโลหิตสูง</t>
        </is>
      </c>
      <c r="G106" s="32" t="inlineStr">
        <is>
          <t>การได้รับยา hydrochlorothiazide</t>
        </is>
      </c>
      <c r="H106" s="32" t="inlineStr">
        <is>
          <t>การได้รับยา amiloride</t>
        </is>
      </c>
      <c r="I106" s="32" t="n">
        <v>4</v>
      </c>
      <c r="J106" s="32"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32" t="n"/>
      <c r="L106" s="32" t="inlineStr">
        <is>
          <t>Gout</t>
        </is>
      </c>
      <c r="M106" s="32" t="inlineStr">
        <is>
          <t>Clinic</t>
        </is>
      </c>
      <c r="N106" s="32" t="inlineStr">
        <is>
          <t>ข้อ 34 Pharma Plus เล่มม่วง (เฉลยข้อ ง)</t>
        </is>
      </c>
      <c r="O106" s="32" t="inlineStr">
        <is>
          <t>Mock</t>
        </is>
      </c>
      <c r="P106" s="32" t="inlineStr">
        <is>
          <t>Pharma Plus เล่มม่วง</t>
        </is>
      </c>
    </row>
    <row r="107" ht="409.6" customHeight="1" s="49">
      <c r="A107" s="32" t="n">
        <v>105</v>
      </c>
      <c r="B107" s="32" t="inlineStr">
        <is>
          <t>ข้อใดเป็นอาหารที่ผู้ป่วยไม่ควรได้รับมากที่สุด</t>
        </is>
      </c>
      <c r="C107" s="32" t="n"/>
      <c r="D107" s="32" t="inlineStr">
        <is>
          <t>ต้มยำปลาช่อน</t>
        </is>
      </c>
      <c r="E107" s="32" t="inlineStr">
        <is>
          <t>หมูแดดเดียว</t>
        </is>
      </c>
      <c r="F107" s="32" t="inlineStr">
        <is>
          <t>ตับหวาน</t>
        </is>
      </c>
      <c r="G107" s="32" t="inlineStr">
        <is>
          <t>แกงบวชฟักทอง</t>
        </is>
      </c>
      <c r="H107" s="32" t="inlineStr">
        <is>
          <t>ปลาหมึกย่าง</t>
        </is>
      </c>
      <c r="I107" s="32" t="n">
        <v>3</v>
      </c>
      <c r="J107" s="32"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32" t="n"/>
      <c r="L107" s="32" t="inlineStr">
        <is>
          <t>Gout</t>
        </is>
      </c>
      <c r="M107" s="32" t="inlineStr">
        <is>
          <t>Clinic</t>
        </is>
      </c>
      <c r="N107" s="32" t="inlineStr">
        <is>
          <t>ข้อ 35 Pharma Plus เล่มม่วง (เฉลยข้อ ค)</t>
        </is>
      </c>
      <c r="O107" s="32" t="inlineStr">
        <is>
          <t>Mock</t>
        </is>
      </c>
      <c r="P107" s="32" t="inlineStr">
        <is>
          <t>Pharma Plus เล่มม่วง</t>
        </is>
      </c>
    </row>
    <row r="108" ht="409.6" customHeight="1" s="49">
      <c r="A108" s="32" t="n">
        <v>106</v>
      </c>
      <c r="B108" s="32" t="inlineStr">
        <is>
          <t>ข้อใดกล่าวถึง colchicine ถูกต้อง</t>
        </is>
      </c>
      <c r="C108" s="32" t="n"/>
      <c r="D108" s="32" t="inlineStr">
        <is>
          <t>เป็นยาตัวเลือกรองที่ใช้ในการรักษาโรคเกาท์</t>
        </is>
      </c>
      <c r="E108" s="32" t="inlineStr">
        <is>
          <t>ต้องมีการจำกัดการรับประทานน้ำ</t>
        </is>
      </c>
      <c r="F108" s="32" t="inlineStr">
        <is>
          <t>ห้ามใช้ในสตรีมีครรภ์เด็ดขาด</t>
        </is>
      </c>
      <c r="G108" s="32" t="inlineStr">
        <is>
          <t>มีอันตรกิริยากับยากลุ่ม macrolide</t>
        </is>
      </c>
      <c r="H108" s="32" t="inlineStr">
        <is>
          <t>ไม่ต้องปรับขนาดยาในผู้ป่วยโรคไต</t>
        </is>
      </c>
      <c r="I108" s="32" t="n">
        <v>4</v>
      </c>
      <c r="J108" s="32"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32" t="n"/>
      <c r="L108" s="32" t="inlineStr">
        <is>
          <t>Gout</t>
        </is>
      </c>
      <c r="M108" s="32" t="inlineStr">
        <is>
          <t>Clinic</t>
        </is>
      </c>
      <c r="N108" s="32" t="inlineStr">
        <is>
          <t>ข้อ 36 Pharma Plus เล่มม่วง (เฉลยข้อ ง)</t>
        </is>
      </c>
      <c r="O108" s="32" t="inlineStr">
        <is>
          <t>Mock</t>
        </is>
      </c>
      <c r="P108" s="32" t="inlineStr">
        <is>
          <t>Pharma Plus เล่มม่วง</t>
        </is>
      </c>
    </row>
    <row r="109" ht="409.6" customHeight="1" s="49">
      <c r="A109" s="32" t="n">
        <v>107</v>
      </c>
      <c r="B109" s="32" t="inlineStr">
        <is>
          <t>ข้อใดเป็นอาการไม่พึงประสงค์จากยา colchicine ที่พบบ่อยที่สุด</t>
        </is>
      </c>
      <c r="C109" s="32" t="n"/>
      <c r="D109" s="32" t="inlineStr">
        <is>
          <t>Ototoxicity</t>
        </is>
      </c>
      <c r="E109" s="32" t="inlineStr">
        <is>
          <t>Diarrhea</t>
        </is>
      </c>
      <c r="F109" s="32" t="inlineStr">
        <is>
          <t>Retinopathy</t>
        </is>
      </c>
      <c r="G109" s="32" t="inlineStr">
        <is>
          <t>Peripheral neuritis</t>
        </is>
      </c>
      <c r="H109" s="32" t="inlineStr">
        <is>
          <t>Hepatic impairment</t>
        </is>
      </c>
      <c r="I109" s="32" t="n">
        <v>2</v>
      </c>
      <c r="J109" s="32"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32" t="n"/>
      <c r="L109" s="32" t="inlineStr">
        <is>
          <t>Gout</t>
        </is>
      </c>
      <c r="M109" s="32" t="inlineStr">
        <is>
          <t>Clinic</t>
        </is>
      </c>
      <c r="N109" s="32" t="inlineStr">
        <is>
          <t>ข้อ 37 Pharma Plus เล่มม่วง (เฉลยข้อ ข)</t>
        </is>
      </c>
      <c r="O109" s="32" t="inlineStr">
        <is>
          <t>Mock</t>
        </is>
      </c>
      <c r="P109" s="32" t="inlineStr">
        <is>
          <t>Pharma Plus เล่มม่วง</t>
        </is>
      </c>
    </row>
    <row r="110" ht="409.6" customHeight="1" s="49">
      <c r="A110" s="32" t="n">
        <v>108</v>
      </c>
      <c r="B110" s="32" t="inlineStr">
        <is>
          <t>ข้อใดเป็นกลไกทางเภสัชวิทยาของยา allopurinol</t>
        </is>
      </c>
      <c r="C110" s="32" t="n"/>
      <c r="D110" s="32" t="inlineStr">
        <is>
          <t>ลดการอักเสบ</t>
        </is>
      </c>
      <c r="E110" s="32" t="inlineStr">
        <is>
          <t>เพิ่มการหลั่ง uric acid</t>
        </is>
      </c>
      <c r="F110" s="32" t="inlineStr">
        <is>
          <t>ยับยั้ง xanthine oxidase</t>
        </is>
      </c>
      <c r="G110" s="32" t="inlineStr">
        <is>
          <t>ยับยั้ง macrophage มาบริเวณที่มีการอักเสบ</t>
        </is>
      </c>
      <c r="H110" s="32" t="inlineStr">
        <is>
          <t>เพิ่มการขับ uric acid</t>
        </is>
      </c>
      <c r="I110" s="32" t="n">
        <v>3</v>
      </c>
      <c r="J110" s="32"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32" t="n"/>
      <c r="L110" s="32" t="inlineStr">
        <is>
          <t>Gout</t>
        </is>
      </c>
      <c r="M110" s="32" t="inlineStr">
        <is>
          <t>Clinic</t>
        </is>
      </c>
      <c r="N110" s="32" t="inlineStr">
        <is>
          <t>ข้อ 38 Pharma Plus เล่มม่วง (เฉลยข้อ ค)</t>
        </is>
      </c>
      <c r="O110" s="32" t="inlineStr">
        <is>
          <t>Mock</t>
        </is>
      </c>
      <c r="P110" s="32" t="inlineStr">
        <is>
          <t>Pharma Plus เล่มม่วง</t>
        </is>
      </c>
    </row>
    <row r="111" ht="409.6" customHeight="1" s="49">
      <c r="A111" s="32" t="n">
        <v>109</v>
      </c>
      <c r="B111"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32" t="n"/>
      <c r="D111" s="32" t="inlineStr">
        <is>
          <t>Ibuprofen</t>
        </is>
      </c>
      <c r="E111" s="32" t="inlineStr">
        <is>
          <t>Diclofenac</t>
        </is>
      </c>
      <c r="F111" s="32" t="inlineStr">
        <is>
          <t>Nimesulide</t>
        </is>
      </c>
      <c r="G111" s="32" t="inlineStr">
        <is>
          <t>Paracetamol</t>
        </is>
      </c>
      <c r="H111" s="32" t="inlineStr">
        <is>
          <t>Aspirin</t>
        </is>
      </c>
      <c r="I111" s="32" t="n">
        <v>3</v>
      </c>
      <c r="J111" s="32"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32" t="n"/>
      <c r="L111" s="32" t="inlineStr">
        <is>
          <t>Osteoarthritis</t>
        </is>
      </c>
      <c r="M111" s="32" t="inlineStr">
        <is>
          <t>Clinic</t>
        </is>
      </c>
      <c r="N111" s="32" t="inlineStr">
        <is>
          <t>ข้อ 39 Pharma Plus เล่มม่วง (เฉลยข้อ ค)</t>
        </is>
      </c>
      <c r="O111" s="32" t="inlineStr">
        <is>
          <t>Mock</t>
        </is>
      </c>
      <c r="P111" s="32" t="inlineStr">
        <is>
          <t>Pharma Plus เล่มม่วง</t>
        </is>
      </c>
    </row>
    <row r="112" ht="409.6" customHeight="1" s="49">
      <c r="A112" s="32" t="n">
        <v>110</v>
      </c>
      <c r="B112" s="32"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32" t="n"/>
      <c r="D112" s="32" t="inlineStr">
        <is>
          <t>รับประทาน paracetamol 3 เม็ด ทุก 4 ชั่วโมง</t>
        </is>
      </c>
      <c r="E112" s="32" t="inlineStr">
        <is>
          <t>เพิ่มยา muscle relaxant ให้แก่ผู้ป่วย</t>
        </is>
      </c>
      <c r="F112" s="32" t="inlineStr">
        <is>
          <t>รับประทาน glucosamine ครั้งละ 2 เม็ด วันละ 3 ครั้ง</t>
        </is>
      </c>
      <c r="G112" s="32" t="inlineStr">
        <is>
          <t>รับประทาน calcium carbonate (1 g) 2 เม็ด ก่อนอาหารเช้า</t>
        </is>
      </c>
      <c r="H112" s="32" t="inlineStr">
        <is>
          <t>ถูวดเจลพริกบริเวณปวด เพื่อให้ยาดูดซึมได้เยอะ</t>
        </is>
      </c>
      <c r="I112" s="32" t="n">
        <v>3</v>
      </c>
      <c r="J112" s="32"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32" t="n"/>
      <c r="L112" s="32" t="inlineStr">
        <is>
          <t>Osteoarthritis / Herbal Medicine</t>
        </is>
      </c>
      <c r="M112" s="32" t="inlineStr">
        <is>
          <t>Clinic</t>
        </is>
      </c>
      <c r="N112" s="32" t="inlineStr">
        <is>
          <t>ข้อ 40 Pharma Plus เล่มม่วง (เฉลยข้อ ค)</t>
        </is>
      </c>
      <c r="O112" s="32" t="inlineStr">
        <is>
          <t>Mock</t>
        </is>
      </c>
      <c r="P112" s="32" t="inlineStr">
        <is>
          <t>Pharma Plus เล่มม่วง</t>
        </is>
      </c>
    </row>
    <row r="113" ht="409.6" customHeight="1" s="49">
      <c r="A113" s="32" t="n">
        <v>111</v>
      </c>
      <c r="B113" s="32" t="inlineStr">
        <is>
          <t>ข้อใดที่เภสัชกรไม่ต้องให้คำแนะนำเรื่องการปฏิบัติตัวเกี่ยวกับโรค osteoarthritis</t>
        </is>
      </c>
      <c r="C113" s="32" t="n"/>
      <c r="D113" s="32" t="inlineStr">
        <is>
          <t>หลีกเลี่ยงนั่งพับเพียบ</t>
        </is>
      </c>
      <c r="E113" s="32" t="inlineStr">
        <is>
          <t>ลดน้ำหนักตัว</t>
        </is>
      </c>
      <c r="F113" s="32" t="inlineStr">
        <is>
          <t>หลีกเลี่ยงการยกของหนัก</t>
        </is>
      </c>
      <c r="G113" s="32" t="inlineStr">
        <is>
          <t>ออกกำลังกายในน้ำ</t>
        </is>
      </c>
      <c r="H113" s="32" t="inlineStr">
        <is>
          <t>หลีกเลี่ยงการรับประทานยอดผัก</t>
        </is>
      </c>
      <c r="I113" s="32" t="n">
        <v>5</v>
      </c>
      <c r="J113" s="32"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32" t="n"/>
      <c r="L113" s="32" t="inlineStr">
        <is>
          <t>Osteoarthritis</t>
        </is>
      </c>
      <c r="M113" s="32" t="inlineStr">
        <is>
          <t>Clinic</t>
        </is>
      </c>
      <c r="N113" s="32" t="inlineStr">
        <is>
          <t>ข้อ 41 Pharma Plus เล่มม่วง (เฉลยข้อ จ)</t>
        </is>
      </c>
      <c r="O113" s="32" t="inlineStr">
        <is>
          <t>Mock</t>
        </is>
      </c>
      <c r="P113" s="32" t="inlineStr">
        <is>
          <t>Pharma Plus เล่มม่วง</t>
        </is>
      </c>
    </row>
    <row r="114" ht="409.6" customHeight="1" s="49">
      <c r="A114" s="32" t="n">
        <v>112</v>
      </c>
      <c r="B114" s="32"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32" t="n"/>
      <c r="D114" s="32" t="inlineStr">
        <is>
          <t>40 mg</t>
        </is>
      </c>
      <c r="E114" s="32" t="inlineStr">
        <is>
          <t>80 mg</t>
        </is>
      </c>
      <c r="F114" s="32" t="inlineStr">
        <is>
          <t>400 mg</t>
        </is>
      </c>
      <c r="G114" s="32" t="inlineStr">
        <is>
          <t>800 mg</t>
        </is>
      </c>
      <c r="H114" s="32" t="inlineStr">
        <is>
          <t>2000 mg</t>
        </is>
      </c>
      <c r="I114" s="32" t="n">
        <v>4</v>
      </c>
      <c r="J114" s="32"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32" t="n"/>
      <c r="L114" s="32" t="inlineStr">
        <is>
          <t>Osteoarthritis / Pharmaceutical Calculations</t>
        </is>
      </c>
      <c r="M114" s="32" t="inlineStr">
        <is>
          <t>Clinic</t>
        </is>
      </c>
      <c r="N114" s="32" t="inlineStr">
        <is>
          <t>ข้อ 42 Pharma Plus เล่มม่วง (เฉลยข้อ ง)</t>
        </is>
      </c>
      <c r="O114" s="32" t="inlineStr">
        <is>
          <t>Mock</t>
        </is>
      </c>
      <c r="P114" s="32" t="inlineStr">
        <is>
          <t>Pharma Plus เล่มม่วง</t>
        </is>
      </c>
    </row>
    <row r="115" ht="409.6" customHeight="1" s="49">
      <c r="A115" s="32" t="n">
        <v>113</v>
      </c>
      <c r="B115"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32" t="n"/>
      <c r="D115" s="32" t="inlineStr">
        <is>
          <t>ข้อฝืดยามเช้า (morning stiffness) อย่างน้อย 1 ชม.</t>
        </is>
      </c>
      <c r="E115" s="32" t="inlineStr">
        <is>
          <t>มี nodule ขึ้นบริเวณข้อที่อักเสบ</t>
        </is>
      </c>
      <c r="F115" s="32" t="inlineStr">
        <is>
          <t>มักเกิดกับข้อใหญ่ๆที่รับน้ำหนักมาก</t>
        </is>
      </c>
      <c r="G115" s="32" t="inlineStr">
        <is>
          <t>อาจพบนิวตตะกอนที่ไตได้ มีข้อเท้าบวม</t>
        </is>
      </c>
      <c r="H115" s="32" t="inlineStr">
        <is>
          <t>อาการปวดเกิดขึ้นที่ข้อเดียวกันทั้งสองข้างของร่างกาย</t>
        </is>
      </c>
      <c r="I115" s="32" t="n">
        <v>2</v>
      </c>
      <c r="J115" s="32"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32" t="n"/>
      <c r="L115" s="32" t="inlineStr">
        <is>
          <t>Gout</t>
        </is>
      </c>
      <c r="M115" s="32" t="inlineStr">
        <is>
          <t>Clinic</t>
        </is>
      </c>
      <c r="N115" s="32" t="inlineStr">
        <is>
          <t>ข้อ 43 Pharma Plus เล่มม่วง (เฉลยข้อ ข)</t>
        </is>
      </c>
      <c r="O115" s="32" t="inlineStr">
        <is>
          <t>Mock</t>
        </is>
      </c>
      <c r="P115" s="32" t="inlineStr">
        <is>
          <t>Pharma Plus เล่มม่วง</t>
        </is>
      </c>
    </row>
    <row r="116" ht="409.6" customHeight="1" s="49">
      <c r="A116" s="32" t="n">
        <v>114</v>
      </c>
      <c r="B116" s="32"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32" t="n"/>
      <c r="D116" s="32" t="inlineStr">
        <is>
          <t>Indomethacin</t>
        </is>
      </c>
      <c r="E116" s="32" t="inlineStr">
        <is>
          <t>Colchicine</t>
        </is>
      </c>
      <c r="F116" s="32" t="inlineStr">
        <is>
          <t>Indomethacin + colchicine</t>
        </is>
      </c>
      <c r="G116" s="32" t="inlineStr">
        <is>
          <t>Colchicine + allopurinol</t>
        </is>
      </c>
      <c r="H116" s="32" t="inlineStr">
        <is>
          <t>Indomethacin + colchicine + allopurinol</t>
        </is>
      </c>
      <c r="I116" s="32" t="n">
        <v>1</v>
      </c>
      <c r="J116" s="32"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32" t="n"/>
      <c r="L116" s="32" t="inlineStr">
        <is>
          <t>Gout</t>
        </is>
      </c>
      <c r="M116" s="32" t="inlineStr">
        <is>
          <t>Clinic</t>
        </is>
      </c>
      <c r="N116" s="32" t="inlineStr">
        <is>
          <t>ข้อ 44 Pharma Plus เล่มม่วง (เฉลยข้อ ก ข)</t>
        </is>
      </c>
      <c r="O116" s="32" t="inlineStr">
        <is>
          <t>Mock</t>
        </is>
      </c>
      <c r="P116" s="32" t="inlineStr">
        <is>
          <t>Pharma Plus เล่มม่วง</t>
        </is>
      </c>
    </row>
    <row r="117" ht="409.6" customHeight="1" s="49">
      <c r="A117" s="32" t="n">
        <v>115</v>
      </c>
      <c r="B117" s="32"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32" t="n"/>
      <c r="D117" s="32" t="inlineStr">
        <is>
          <t>Meloxicam</t>
        </is>
      </c>
      <c r="E117" s="32" t="inlineStr">
        <is>
          <t>Nabumetone</t>
        </is>
      </c>
      <c r="F117" s="32" t="inlineStr">
        <is>
          <t>Loxoprofen</t>
        </is>
      </c>
      <c r="G117" s="32" t="inlineStr">
        <is>
          <t>Celecoxib</t>
        </is>
      </c>
      <c r="H117" s="32" t="inlineStr">
        <is>
          <t>Sulindac</t>
        </is>
      </c>
      <c r="I117" s="32" t="n">
        <v>4</v>
      </c>
      <c r="J117" s="32"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32" t="n"/>
      <c r="L117" s="32" t="inlineStr">
        <is>
          <t>Gout</t>
        </is>
      </c>
      <c r="M117" s="32" t="inlineStr">
        <is>
          <t>Clinic</t>
        </is>
      </c>
      <c r="N117" s="32" t="inlineStr">
        <is>
          <t>ข้อ 45 Pharma Plus เล่มม่วง (เฉลยข้อ ง)</t>
        </is>
      </c>
      <c r="O117" s="32" t="inlineStr">
        <is>
          <t>Mock</t>
        </is>
      </c>
      <c r="P117" s="32" t="inlineStr">
        <is>
          <t>Pharma Plus เล่มม่วง</t>
        </is>
      </c>
    </row>
    <row r="118" ht="409.6" customHeight="1" s="49">
      <c r="A118" s="32" t="n">
        <v>116</v>
      </c>
      <c r="B118" s="32" t="inlineStr">
        <is>
          <t>การออกกำลังกายประเภทใดที่เหมาะสมสำหรับผู้ป่วยรายนี้</t>
        </is>
      </c>
      <c r="C118" s="32" t="n"/>
      <c r="D118" s="32" t="inlineStr">
        <is>
          <t>เทนนิส</t>
        </is>
      </c>
      <c r="E118" s="32" t="inlineStr">
        <is>
          <t>รักบี้</t>
        </is>
      </c>
      <c r="F118" s="32" t="inlineStr">
        <is>
          <t>จ็อกกิ้ง</t>
        </is>
      </c>
      <c r="G118" s="32" t="inlineStr">
        <is>
          <t>บาสเกตบอล</t>
        </is>
      </c>
      <c r="H118" s="32" t="inlineStr">
        <is>
          <t>ยิมนาสติก</t>
        </is>
      </c>
      <c r="I118" s="32" t="n">
        <v>1</v>
      </c>
      <c r="J118" s="32" t="inlineStr">
        <is>
          <t>✅ คำตอบที่ถูกต้อง: ข้อ ค. การออกกำลังกายแบบแอโรบิกที่มีแรงกระแทกต่ำ (Low-impact aerobic exercise) เช่น ว่ายน้ำ เดิน หรือปั่นจักรยานอยู่กับที่
💡 Background: โรคข้อเข่าเสื่อม (Osteoarthritis) เกิดจากการเสื่อมสภาพของกระดูกอ่อนผิวข้อ การออกกำลังกายที่เหมาะสมจะช่วยเสริมสร้างความแข็งแรงของกล้ามเนื้อรอบข้อเข่า (Quadriceps strengthening) เพิ่มความยืดหยุ่น และลดอาการปวดโดยไม่เพิ่มแรงกดดันต่อผิวข้อ
🎯 ทำไมข้อนี้ถึงถูก: การออกกำลังกายที่มีแรงกระแทกต่ำ (Low-impact exercise) เช่น การว่ายน้ำ การเดินในน้ำ หรือการปั่นจักรยานอยู่กับที่ ช่วยลดแรงกระแทกที่กระทำต่อข้อเข่าได้โดยตรง จึงเป็นคำแนะนำระดับสากลอันดับแรก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
📖 Guideline อ้างอิง: แนวทางเวชปฏิบัติการวินิจฉัยและการรักษาโรคข้อเข่าเสื่อม พ.ศ. 2562 (ราชวิทยาลัยแพทย์ออร์โธปิดิกส์แห่งประเทศไทย)
📌 จุดจำก่อนสอบ: ผู้ป่วย Osteoarthritis แนะนำ Low-impact aerobics (ว่ายน้ำ, ปั่นจักรยาน) และ Quadriceps strengthening หลีกเลี่ยง High-impact และ Deep squatting</t>
        </is>
      </c>
      <c r="K118" s="32" t="n"/>
      <c r="L118" s="32" t="inlineStr">
        <is>
          <t>Gout</t>
        </is>
      </c>
      <c r="M118" s="32" t="inlineStr">
        <is>
          <t>Clinic</t>
        </is>
      </c>
      <c r="N118" s="32" t="inlineStr">
        <is>
          <t>ข้อ 46 Pharma Plus เล่มม่วง (เฉลยข้อ )</t>
        </is>
      </c>
      <c r="O118" s="32" t="inlineStr">
        <is>
          <t>Mock</t>
        </is>
      </c>
      <c r="P118" s="32" t="inlineStr">
        <is>
          <t>Pharma Plus เล่มม่วง</t>
        </is>
      </c>
    </row>
    <row r="119" ht="409.6" customHeight="1" s="49">
      <c r="A119" s="32" t="n">
        <v>117</v>
      </c>
      <c r="B119" s="32" t="inlineStr">
        <is>
          <t>อาหารประเภทใดที่เหมาะแก่ผู้ป่วยรายนี้</t>
        </is>
      </c>
      <c r="C119" s="32" t="n"/>
      <c r="D119" s="32" t="inlineStr">
        <is>
          <t>ปีกไก่เหล้าแดง</t>
        </is>
      </c>
      <c r="E119" s="32" t="inlineStr">
        <is>
          <t>ยอดมะพร้าวผัดกุ้ง</t>
        </is>
      </c>
      <c r="F119" s="32" t="inlineStr">
        <is>
          <t>ซุปหน่อไม้</t>
        </is>
      </c>
      <c r="G119" s="32" t="inlineStr">
        <is>
          <t>แกงจืดเต้าหู้หมูสับ</t>
        </is>
      </c>
      <c r="H119" s="32" t="inlineStr">
        <is>
          <t>เกาเหลาเครื่องในหมู</t>
        </is>
      </c>
      <c r="I119" s="32" t="n">
        <v>4</v>
      </c>
      <c r="J119" s="32"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32" t="n"/>
      <c r="L119" s="32" t="inlineStr">
        <is>
          <t>Gout</t>
        </is>
      </c>
      <c r="M119" s="32" t="inlineStr">
        <is>
          <t>Clinic</t>
        </is>
      </c>
      <c r="N119" s="32" t="inlineStr">
        <is>
          <t>ข้อ 47 Pharma Plus เล่มม่วง (เฉลยข้อ ง)</t>
        </is>
      </c>
      <c r="O119" s="32" t="inlineStr">
        <is>
          <t>Mock</t>
        </is>
      </c>
      <c r="P119" s="32" t="inlineStr">
        <is>
          <t>Pharma Plus เล่มม่วง</t>
        </is>
      </c>
    </row>
    <row r="120" ht="409.6" customHeight="1" s="49">
      <c r="A120" s="32" t="n">
        <v>118</v>
      </c>
      <c r="B120"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32" t="n"/>
      <c r="D120" s="32" t="inlineStr">
        <is>
          <t>Gouty arthritis</t>
        </is>
      </c>
      <c r="E120" s="32" t="inlineStr">
        <is>
          <t>Rheumatoid arthritis</t>
        </is>
      </c>
      <c r="F120" s="32" t="inlineStr">
        <is>
          <t>Osteoarthritis</t>
        </is>
      </c>
      <c r="G120" s="32" t="inlineStr">
        <is>
          <t>Osteoporosis</t>
        </is>
      </c>
      <c r="H120" s="32" t="inlineStr">
        <is>
          <t>Osteopenia</t>
        </is>
      </c>
      <c r="I120" s="32" t="n">
        <v>2</v>
      </c>
      <c r="J120" s="32"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32" t="n"/>
      <c r="L120" s="32" t="inlineStr">
        <is>
          <t>Rheumatoid Arthritis</t>
        </is>
      </c>
      <c r="M120" s="32" t="inlineStr">
        <is>
          <t>Clinic</t>
        </is>
      </c>
      <c r="N120" s="32" t="inlineStr">
        <is>
          <t>ข้อ 48 Pharma Plus เล่มม่วง (เฉลยข้อ ค)</t>
        </is>
      </c>
      <c r="O120" s="32" t="inlineStr">
        <is>
          <t>Mock</t>
        </is>
      </c>
      <c r="P120" s="32" t="inlineStr">
        <is>
          <t>Pharma Plus เล่มม่วง</t>
        </is>
      </c>
    </row>
    <row r="121" ht="409.6" customHeight="1" s="49">
      <c r="A121" s="32" t="n">
        <v>119</v>
      </c>
      <c r="B121"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32" t="n"/>
      <c r="D121" s="32" t="inlineStr">
        <is>
          <t>Paracetamol</t>
        </is>
      </c>
      <c r="E121" s="32" t="inlineStr">
        <is>
          <t>Colchicine</t>
        </is>
      </c>
      <c r="F121" s="32" t="inlineStr">
        <is>
          <t>Prednisolone</t>
        </is>
      </c>
      <c r="G121" s="32" t="inlineStr">
        <is>
          <t>Ibuprofen</t>
        </is>
      </c>
      <c r="H121" s="32" t="inlineStr">
        <is>
          <t>Methotrexate</t>
        </is>
      </c>
      <c r="I121" s="32" t="n">
        <v>5</v>
      </c>
      <c r="J121" s="32"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แนวทางเวชปฏิบัติสากล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32" t="n"/>
      <c r="L121" s="32" t="inlineStr">
        <is>
          <t>Rheumatoid Arthritis</t>
        </is>
      </c>
      <c r="M121" s="32" t="inlineStr">
        <is>
          <t>Clinic</t>
        </is>
      </c>
      <c r="N121" s="32" t="inlineStr">
        <is>
          <t>ข้อ 49 Pharma Plus เล่มม่วง (เฉลยข้อ ก)</t>
        </is>
      </c>
      <c r="O121" s="32" t="inlineStr">
        <is>
          <t>Mock</t>
        </is>
      </c>
      <c r="P121" s="32" t="inlineStr">
        <is>
          <t>Pharma Plus เล่มม่วง</t>
        </is>
      </c>
    </row>
    <row r="122" ht="409.6" customHeight="1" s="49">
      <c r="A122" s="32" t="n">
        <v>120</v>
      </c>
      <c r="B122" s="32"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32" t="n"/>
      <c r="D122" s="32" t="inlineStr">
        <is>
          <t>Sulfasalazine</t>
        </is>
      </c>
      <c r="E122" s="32" t="inlineStr">
        <is>
          <t>Auranofin</t>
        </is>
      </c>
      <c r="F122" s="32" t="inlineStr">
        <is>
          <t>Celecoxib</t>
        </is>
      </c>
      <c r="G122" s="32" t="inlineStr">
        <is>
          <t>Glucosamine</t>
        </is>
      </c>
      <c r="H122" s="32" t="inlineStr">
        <is>
          <t>Allopurinol</t>
        </is>
      </c>
      <c r="I122" s="32" t="n">
        <v>1</v>
      </c>
      <c r="J122" s="32"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32" t="n"/>
      <c r="L122" s="32" t="inlineStr">
        <is>
          <t>Rheumatoid Arthritis</t>
        </is>
      </c>
      <c r="M122" s="32" t="inlineStr">
        <is>
          <t>Clinic</t>
        </is>
      </c>
      <c r="N122" s="32" t="inlineStr">
        <is>
          <t>ข้อ 50 Pharma Plus เล่มม่วง (เฉลยข้อ ค)</t>
        </is>
      </c>
      <c r="O122" s="32" t="inlineStr">
        <is>
          <t>Mock</t>
        </is>
      </c>
      <c r="P122" s="32" t="inlineStr">
        <is>
          <t>Pharma Plus เล่มม่วง</t>
        </is>
      </c>
    </row>
    <row r="123" ht="409.6" customHeight="1" s="49">
      <c r="A123" s="32" t="n">
        <v>121</v>
      </c>
      <c r="B123" s="32" t="inlineStr">
        <is>
          <t>ยาในข้อใดใช้ชะลอการเสื่อมของกระดูกและข้อ</t>
        </is>
      </c>
      <c r="C123" s="32" t="n"/>
      <c r="D123" s="32" t="inlineStr">
        <is>
          <t>Estrogen</t>
        </is>
      </c>
      <c r="E123" s="32" t="inlineStr">
        <is>
          <t>Methotrexate</t>
        </is>
      </c>
      <c r="F123" s="32" t="inlineStr">
        <is>
          <t>Paracetamol</t>
        </is>
      </c>
      <c r="G123" s="32" t="inlineStr">
        <is>
          <t>Glucosamine</t>
        </is>
      </c>
      <c r="H123" s="32" t="inlineStr">
        <is>
          <t>Probenecid</t>
        </is>
      </c>
      <c r="I123" s="32" t="n">
        <v>4</v>
      </c>
      <c r="J123" s="32"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32" t="n"/>
      <c r="L123" s="32" t="inlineStr">
        <is>
          <t>Osteoarthritis</t>
        </is>
      </c>
      <c r="M123" s="32" t="inlineStr">
        <is>
          <t>Clinic</t>
        </is>
      </c>
      <c r="N123" s="32" t="inlineStr">
        <is>
          <t>ข้อ 51 Pharma Plus เล่มม่วง (เฉลยข้อ ง)</t>
        </is>
      </c>
      <c r="O123" s="32" t="inlineStr">
        <is>
          <t>Mock</t>
        </is>
      </c>
      <c r="P123" s="32" t="inlineStr">
        <is>
          <t>Pharma Plus เล่มม่วง</t>
        </is>
      </c>
    </row>
    <row r="124" ht="409.6" customHeight="1" s="49">
      <c r="A124" s="32" t="n">
        <v>122</v>
      </c>
      <c r="B124" s="32"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32" t="n"/>
      <c r="D124" s="32" t="inlineStr">
        <is>
          <t>Ibuprofen</t>
        </is>
      </c>
      <c r="E124" s="32" t="inlineStr">
        <is>
          <t>Diclofenac</t>
        </is>
      </c>
      <c r="F124" s="32" t="inlineStr">
        <is>
          <t>Nimesulide</t>
        </is>
      </c>
      <c r="G124" s="32" t="inlineStr">
        <is>
          <t>Paracetamol</t>
        </is>
      </c>
      <c r="H124" s="32" t="inlineStr">
        <is>
          <t>Aspirin</t>
        </is>
      </c>
      <c r="I124" s="32" t="n">
        <v>3</v>
      </c>
      <c r="J124" s="32"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32" t="n"/>
      <c r="L124" s="32" t="inlineStr">
        <is>
          <t>Osteoarthritis</t>
        </is>
      </c>
      <c r="M124" s="32" t="inlineStr">
        <is>
          <t>Clinic</t>
        </is>
      </c>
      <c r="N124" s="32" t="inlineStr">
        <is>
          <t>ข้อ 52 Pharma Plus เล่มม่วง (เฉลยข้อ ค)</t>
        </is>
      </c>
      <c r="O124" s="32" t="inlineStr">
        <is>
          <t>Mock</t>
        </is>
      </c>
      <c r="P124" s="32" t="inlineStr">
        <is>
          <t>Pharma Plus เล่มม่วง</t>
        </is>
      </c>
    </row>
    <row r="125" ht="409.6" customHeight="1" s="49">
      <c r="A125" s="32" t="n">
        <v>123</v>
      </c>
      <c r="B125" s="32"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32" t="n"/>
      <c r="D125" s="32" t="inlineStr">
        <is>
          <t>รับประทาน Paracetamol 3 เม็ด ทุก 4 ชั่วโมง</t>
        </is>
      </c>
      <c r="E125" s="32" t="inlineStr">
        <is>
          <t>เพิ่มยา muscle relaxant ให้แก่ผู้ป่วย</t>
        </is>
      </c>
      <c r="F125" s="32" t="inlineStr">
        <is>
          <t>รับประทาน Glucosamine ครั้งละ 2 เม็ด วันละ 3 ครั้ง</t>
        </is>
      </c>
      <c r="G125" s="32" t="inlineStr">
        <is>
          <t>รับประทาน Calcium carbonate (1 g) 2 เม็ด ก่อนอาหารเช้า</t>
        </is>
      </c>
      <c r="H125" s="32" t="inlineStr">
        <is>
          <t>ถูนวดเจลพริกบริเวณปวด เพื่อให้ยาดูดซึมได้เยอะ</t>
        </is>
      </c>
      <c r="I125" s="32" t="n">
        <v>3</v>
      </c>
      <c r="J125" s="32"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32" t="n"/>
      <c r="L125" s="32" t="inlineStr">
        <is>
          <t>Osteoarthritis / Herbal Medicine</t>
        </is>
      </c>
      <c r="M125" s="32" t="inlineStr">
        <is>
          <t>Clinic</t>
        </is>
      </c>
      <c r="N125" s="32" t="inlineStr">
        <is>
          <t>ข้อ 53 Pharma Plus เล่มม่วง (เฉลยข้อ ค)</t>
        </is>
      </c>
      <c r="O125" s="32" t="inlineStr">
        <is>
          <t>Mock</t>
        </is>
      </c>
      <c r="P125" s="32" t="inlineStr">
        <is>
          <t>Pharma Plus เล่มม่วง</t>
        </is>
      </c>
    </row>
    <row r="126" ht="409.6" customHeight="1" s="49">
      <c r="A126" s="32" t="n">
        <v>124</v>
      </c>
      <c r="B126" s="32" t="inlineStr">
        <is>
          <t>ข้อใดที่เภสัชกรไม่ต้องให้คำแนะนำเรื่องการปฏิบัติตัวเกี่ยวกับโรค osteoarthritis</t>
        </is>
      </c>
      <c r="C126" s="32" t="n"/>
      <c r="D126" s="32" t="inlineStr">
        <is>
          <t>หลีกเลี่ยงนั่งพับเพียบ</t>
        </is>
      </c>
      <c r="E126" s="32" t="inlineStr">
        <is>
          <t>ลดน้ำหนักตัว</t>
        </is>
      </c>
      <c r="F126" s="32" t="inlineStr">
        <is>
          <t>หลีกเลี่ยงการยกของหนัก</t>
        </is>
      </c>
      <c r="G126" s="32" t="inlineStr">
        <is>
          <t>ออกกำลังกายในน้ำ</t>
        </is>
      </c>
      <c r="H126" s="32" t="inlineStr">
        <is>
          <t>หลีกเลี่ยงการรับประทานยอดผัก</t>
        </is>
      </c>
      <c r="I126" s="32" t="n">
        <v>5</v>
      </c>
      <c r="J126" s="32"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32" t="n"/>
      <c r="L126" s="32" t="inlineStr">
        <is>
          <t>Osteoarthritis</t>
        </is>
      </c>
      <c r="M126" s="32" t="inlineStr">
        <is>
          <t>Clinic</t>
        </is>
      </c>
      <c r="N126" s="32" t="inlineStr">
        <is>
          <t>ข้อ 54 Pharma Plus เล่มม่วง (เฉลยข้อ จ)</t>
        </is>
      </c>
      <c r="O126" s="32" t="inlineStr">
        <is>
          <t>Mock</t>
        </is>
      </c>
      <c r="P126" s="32" t="inlineStr">
        <is>
          <t>Pharma Plus เล่มม่วง</t>
        </is>
      </c>
    </row>
    <row r="127" ht="409.6" customHeight="1" s="49">
      <c r="A127" s="32" t="n">
        <v>125</v>
      </c>
      <c r="B127" s="32"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32" t="n"/>
      <c r="D127" s="32" t="inlineStr">
        <is>
          <t>Etoricoxib</t>
        </is>
      </c>
      <c r="E127" s="32" t="inlineStr">
        <is>
          <t>Ibuprofen</t>
        </is>
      </c>
      <c r="F127" s="32" t="inlineStr">
        <is>
          <t>Diclofenac</t>
        </is>
      </c>
      <c r="G127" s="32" t="inlineStr">
        <is>
          <t>Aspirin</t>
        </is>
      </c>
      <c r="H127" s="32" t="inlineStr">
        <is>
          <t>Piroxicam</t>
        </is>
      </c>
      <c r="I127" s="32" t="n">
        <v>1</v>
      </c>
      <c r="J127" s="32"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32" t="n"/>
      <c r="L127" s="32" t="inlineStr">
        <is>
          <t>Osteoarthritis</t>
        </is>
      </c>
      <c r="M127" s="32" t="inlineStr">
        <is>
          <t>Clinic</t>
        </is>
      </c>
      <c r="N127" s="32" t="inlineStr">
        <is>
          <t>ข้อ 55 Pharma Plus เล่มม่วง (เฉลยข้อ ก)</t>
        </is>
      </c>
      <c r="O127" s="32" t="inlineStr">
        <is>
          <t>Mock</t>
        </is>
      </c>
      <c r="P127" s="32" t="inlineStr">
        <is>
          <t>Pharma Plus เล่มม่วง</t>
        </is>
      </c>
    </row>
    <row r="128" ht="409.6" customHeight="1" s="49">
      <c r="A128" s="32" t="n">
        <v>126</v>
      </c>
      <c r="B128" s="32" t="inlineStr">
        <is>
          <t>ข้อใดจัดเป็นยาหรือผลิตภัณฑ์เสริมอาหารในกลุ่มชะลอความเสื่อมสลายของกระดูกอ่อน</t>
        </is>
      </c>
      <c r="C128" s="32" t="n"/>
      <c r="D128" s="32" t="inlineStr">
        <is>
          <t>Glucosamine sulfate</t>
        </is>
      </c>
      <c r="E128" s="32" t="inlineStr">
        <is>
          <t>Hydroxychloroquine</t>
        </is>
      </c>
      <c r="F128" s="32" t="inlineStr">
        <is>
          <t>Auranofin</t>
        </is>
      </c>
      <c r="G128" s="32" t="inlineStr">
        <is>
          <t>Prednisolone</t>
        </is>
      </c>
      <c r="H128" s="32" t="inlineStr">
        <is>
          <t>Methotrexate</t>
        </is>
      </c>
      <c r="I128" s="32" t="n">
        <v>1</v>
      </c>
      <c r="J128" s="32"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32" t="n"/>
      <c r="L128" s="32" t="inlineStr">
        <is>
          <t>Osteoarthritis</t>
        </is>
      </c>
      <c r="M128" s="32" t="inlineStr">
        <is>
          <t>Clinic</t>
        </is>
      </c>
      <c r="N128" s="32" t="inlineStr">
        <is>
          <t>ข้อ 56 Pharma Plus เล่มม่วง (เฉลยข้อ ก)</t>
        </is>
      </c>
      <c r="O128" s="32" t="inlineStr">
        <is>
          <t>Mock</t>
        </is>
      </c>
      <c r="P128" s="32" t="inlineStr">
        <is>
          <t>Pharma Plus เล่มม่วง</t>
        </is>
      </c>
    </row>
    <row r="129" ht="409.6" customHeight="1" s="49">
      <c r="A129" s="32" t="n">
        <v>127</v>
      </c>
      <c r="B129" s="32"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32" t="n"/>
      <c r="D129" s="32" t="inlineStr">
        <is>
          <t>Raloxifene จัดเป็นยากลุ่ม pure estrogen antagonist ชนิด 2nd generation</t>
        </is>
      </c>
      <c r="E129" s="32" t="inlineStr">
        <is>
          <t>Raloxifene มีฤทธิ์ estrogenic ที่กระดูก และเมแทบอลิซึมของไขมัน</t>
        </is>
      </c>
      <c r="F129" s="32" t="inlineStr">
        <is>
          <t>ฤทธิ์ antiestrogenic ของ raloxifene พบที่เต้านมและเยื่อบุโพรงมดลูก</t>
        </is>
      </c>
      <c r="G129" s="32" t="inlineStr">
        <is>
          <t>Tamoxifen มีฤทธิ์กระตุ้นการเจริญเติบโตของเยื่อบุโพรงมดลูกแตกต่างกับ raloxifene ที่ไม่มีฤทธิ์นี้</t>
        </is>
      </c>
      <c r="H129" s="32" t="inlineStr">
        <is>
          <t>ไม่ควรใช้ raloxifene ในสตรีที่ยังไม่หมดประจำเดือน</t>
        </is>
      </c>
      <c r="I129" s="32" t="n">
        <v>1</v>
      </c>
      <c r="J129" s="32"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32" t="n"/>
      <c r="L129" s="32" t="inlineStr">
        <is>
          <t>Osteoporosis</t>
        </is>
      </c>
      <c r="M129" s="32" t="inlineStr">
        <is>
          <t>Clinic</t>
        </is>
      </c>
      <c r="N129" s="32" t="inlineStr">
        <is>
          <t>ข้อ 57 Pharma Plus เล่มม่วง (เฉลยข้อ ก)</t>
        </is>
      </c>
      <c r="O129" s="32" t="inlineStr">
        <is>
          <t>Mock</t>
        </is>
      </c>
      <c r="P129" s="32" t="inlineStr">
        <is>
          <t>Pharma Plus เล่มม่วง</t>
        </is>
      </c>
    </row>
    <row r="130" ht="409.6" customHeight="1" s="49">
      <c r="A130" s="32" t="n">
        <v>128</v>
      </c>
      <c r="B130" s="32" t="inlineStr">
        <is>
          <t>ข้อใดต่อไปนี้ไม่ได้อธิบายกลไกการออกฤทธิ์ของ raloxifene ต่อกระดูก</t>
        </is>
      </c>
      <c r="C130" s="32" t="n"/>
      <c r="D130" s="32" t="inlineStr">
        <is>
          <t>Raloxifene มีกลไการออกฤทธิ์ต่อกระดูกคล้าย estrogen</t>
        </is>
      </c>
      <c r="E130" s="32" t="inlineStr">
        <is>
          <t>เข้าใจว่า raloxifene ออกฤทธิ์โดยเพิ่มการแสดงออกของยีน TGF-3 ซึ่งมีผลต่อจำนวนของเซลล์สลายกระดูก</t>
        </is>
      </c>
      <c r="F130" s="32"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32" t="inlineStr">
        <is>
          <t>Raloxifene ออกฤทธิ์โดยการจับกับ estrogen receptor แล้วมีผลต่อการแสดงออกของยีน</t>
        </is>
      </c>
      <c r="H130" s="32" t="inlineStr">
        <is>
          <t>AP-1 pathway เป็น pathway หนึ่งที่ใช้อธิบายการออกฤทธิ์แบบ estrogen agonist ของ raloxifene</t>
        </is>
      </c>
      <c r="I130" s="32" t="n">
        <v>3</v>
      </c>
      <c r="J130" s="32"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32" t="n"/>
      <c r="L130" s="32" t="inlineStr">
        <is>
          <t>Osteoporosis</t>
        </is>
      </c>
      <c r="M130" s="32" t="inlineStr">
        <is>
          <t>Clinic</t>
        </is>
      </c>
      <c r="N130" s="32" t="inlineStr">
        <is>
          <t>ข้อ 58 Pharma Plus เล่มม่วง (เฉลยข้อ ข)</t>
        </is>
      </c>
      <c r="O130" s="32" t="inlineStr">
        <is>
          <t>Mock</t>
        </is>
      </c>
      <c r="P130" s="32" t="inlineStr">
        <is>
          <t>Pharma Plus เล่มม่วง</t>
        </is>
      </c>
    </row>
    <row r="131" ht="409.6" customHeight="1" s="49">
      <c r="A131" s="32" t="n">
        <v>129</v>
      </c>
      <c r="B131" s="32" t="inlineStr">
        <is>
          <t>ข้อใดต่อไปนี้ถูกต้อง</t>
        </is>
      </c>
      <c r="C131" s="32" t="n"/>
      <c r="D131" s="32" t="inlineStr">
        <is>
          <t>ข้อดีของ raloxifene เมื่อเปรียบเทียบกับการใช้ HRT คือ raloxifene ใช้ในคนไข้ที่มีประวัติเป็น/กำลังเป็นโรคหลอดเลือดอุดตันได้</t>
        </is>
      </c>
      <c r="E131" s="32" t="inlineStr">
        <is>
          <t>ฤทธิ์ข้างเคียงที่อาจพบได้จากการใช้ raloxifene คือ อาการร้อนวูบวาบ เป็นตะคริวที่ขา</t>
        </is>
      </c>
      <c r="F131" s="32"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32" t="inlineStr">
        <is>
          <t>ให้รับประทาน raloxifene ตอนท้องว่าง เพื่อไม่ให้การดูดซึมถูกรบกวนจากอาหาร</t>
        </is>
      </c>
      <c r="H131" s="32" t="inlineStr">
        <is>
          <t>Raloxifene มีผลเพิ่ม BMD และลดอุบัติการณ์ของการเกิด vertebral &amp; hip fractures ได้อย่างชัดเจนคล้ายกับ estrogen</t>
        </is>
      </c>
      <c r="I131" s="32" t="n">
        <v>2</v>
      </c>
      <c r="J131" s="32"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32" t="n"/>
      <c r="L131" s="32" t="inlineStr">
        <is>
          <t>Osteoporosis</t>
        </is>
      </c>
      <c r="M131" s="32" t="inlineStr">
        <is>
          <t>Clinic</t>
        </is>
      </c>
      <c r="N131" s="32" t="inlineStr">
        <is>
          <t>ข้อ 59 Pharma Plus เล่มม่วง (เฉลยข้อ ข)</t>
        </is>
      </c>
      <c r="O131" s="32" t="inlineStr">
        <is>
          <t>Mock</t>
        </is>
      </c>
      <c r="P131" s="32" t="inlineStr">
        <is>
          <t>Pharma Plus เล่มม่วง</t>
        </is>
      </c>
    </row>
    <row r="132" ht="409.6" customHeight="1" s="49">
      <c r="A132" s="32" t="n">
        <v>130</v>
      </c>
      <c r="B132" s="32"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32" t="n"/>
      <c r="D132" s="32"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32" t="inlineStr">
        <is>
          <t>รับประทานกับน้ำเปล่าเท่านั้น ห้ามรับประทานร่วมกับผลไม้ นม หรือ เครื่องดื่ม ใดๆนอกจากน้ำเปล่า</t>
        </is>
      </c>
      <c r="F132" s="32" t="inlineStr">
        <is>
          <t>ไม่เอนตัวหรือนอนขณะรับประทานยา หรือหลังรับประทานยาไม่เกิน 30 นาที</t>
        </is>
      </c>
      <c r="G132" s="32" t="inlineStr">
        <is>
          <t>ให้รับประทาน alendronate และยาเม็ดแคลเซียมพร้อม ๆ กัน</t>
        </is>
      </c>
      <c r="H132" s="32" t="inlineStr">
        <is>
          <t>ถ้ามีอาการกลืนอาหารลำบาก ปวดท้อง ให้กลับไปพบแพทย์</t>
        </is>
      </c>
      <c r="I132" s="32" t="n">
        <v>4</v>
      </c>
      <c r="J132" s="32"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32" t="n"/>
      <c r="L132" s="32" t="inlineStr">
        <is>
          <t>Osteoporosis</t>
        </is>
      </c>
      <c r="M132" s="32" t="inlineStr">
        <is>
          <t>Clinic</t>
        </is>
      </c>
      <c r="N132" s="32" t="inlineStr">
        <is>
          <t>ข้อ 60 Pharma Plus เล่มม่วง (เฉลยข้อ ง)</t>
        </is>
      </c>
      <c r="O132" s="32" t="inlineStr">
        <is>
          <t>Mock</t>
        </is>
      </c>
      <c r="P132" s="32" t="inlineStr">
        <is>
          <t>Pharma Plus เล่มม่วง</t>
        </is>
      </c>
    </row>
    <row r="133" ht="409.6" customHeight="1" s="49">
      <c r="A133" s="32" t="n">
        <v>131</v>
      </c>
      <c r="B133" s="32" t="inlineStr">
        <is>
          <t>ข้อใดต่อไปนี้ไม่ถูกต้อง</t>
        </is>
      </c>
      <c r="C133" s="32" t="n"/>
      <c r="D133" s="32" t="inlineStr">
        <is>
          <t>Alendronate จัดเป็นกลุ่มยาในกลุ่ม 2nd generation bisphosphonates ที่มีความแรงน้อยกว่า risedronate ซึ่งเป็น 3rd generation bisphosphonates</t>
        </is>
      </c>
      <c r="E133" s="32" t="inlineStr">
        <is>
          <t>ในรายที่มี severe osteoporosis เมื่อใช้ HRT แล้ว BMD เพิ่มขึ้นน้อยมาก อาจให้ร่วมกับ bisphosphonates ตัวใดตัวหนึ่ง จะช่วยเพิ่ม BMD เพิ่มมากขึ้น</t>
        </is>
      </c>
      <c r="F133" s="32" t="inlineStr">
        <is>
          <t>ยาในกลุ่ม bisphosphonates ที่มีข้อบ่งใช้ในการป้องกันและรักษา osteoporosis ปัจจุบันที่ใช้อยู่มี 2 ตัว คือ alendronate และ risedronate</t>
        </is>
      </c>
      <c r="G133" s="32"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32" t="inlineStr">
        <is>
          <t>bisphosphonates มีกลไกการออกฤทธิ์คล้ายกับ estrogen คือ เพิ่ม apoptosis ของ Osteoclast โดยการเพิ่ม transcription ของ TGF-β3</t>
        </is>
      </c>
      <c r="I133" s="32" t="n">
        <v>5</v>
      </c>
      <c r="J133" s="32"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32" t="n"/>
      <c r="L133" s="32" t="inlineStr">
        <is>
          <t>Osteoporosis</t>
        </is>
      </c>
      <c r="M133" s="32" t="inlineStr">
        <is>
          <t>Clinic</t>
        </is>
      </c>
      <c r="N133" s="32" t="inlineStr">
        <is>
          <t>ข้อ 61 Pharma Plus เล่มม่วง (เฉลยข้อ ก)</t>
        </is>
      </c>
      <c r="O133" s="32" t="inlineStr">
        <is>
          <t>Mock</t>
        </is>
      </c>
      <c r="P133" s="32" t="inlineStr">
        <is>
          <t>Pharma Plus เล่มม่วง</t>
        </is>
      </c>
    </row>
    <row r="134" ht="409.6" customHeight="1" s="49">
      <c r="A134" s="32" t="n">
        <v>132</v>
      </c>
      <c r="B134"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32" t="n"/>
      <c r="D134" s="32" t="inlineStr">
        <is>
          <t>Ibuprofen</t>
        </is>
      </c>
      <c r="E134" s="32" t="inlineStr">
        <is>
          <t>Diclofenac</t>
        </is>
      </c>
      <c r="F134" s="32" t="inlineStr">
        <is>
          <t>Celecoxib</t>
        </is>
      </c>
      <c r="G134" s="32" t="inlineStr">
        <is>
          <t>Tolperisone</t>
        </is>
      </c>
      <c r="H134" s="32" t="inlineStr">
        <is>
          <t>Naproxen</t>
        </is>
      </c>
      <c r="I134" s="32" t="n">
        <v>4</v>
      </c>
      <c r="J134" s="32"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32" t="n"/>
      <c r="L134" s="32" t="inlineStr">
        <is>
          <t>Myofascial Pain Syndrome</t>
        </is>
      </c>
      <c r="M134" s="32" t="inlineStr">
        <is>
          <t>Clinic</t>
        </is>
      </c>
      <c r="N134" s="32" t="inlineStr">
        <is>
          <t>ข้อ 1 Mock Musculo RxCU84</t>
        </is>
      </c>
      <c r="O134" s="32" t="inlineStr">
        <is>
          <t>Mock</t>
        </is>
      </c>
      <c r="P134" s="32" t="inlineStr">
        <is>
          <t>Mock RxCU84</t>
        </is>
      </c>
    </row>
    <row r="135" ht="409.6" customHeight="1" s="49">
      <c r="A135" s="32" t="n">
        <v>133</v>
      </c>
      <c r="B135"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32" t="n"/>
      <c r="D135" s="32" t="inlineStr">
        <is>
          <t>Aspirin</t>
        </is>
      </c>
      <c r="E135" s="32" t="inlineStr">
        <is>
          <t>Candesartan</t>
        </is>
      </c>
      <c r="F135" s="32" t="inlineStr">
        <is>
          <t>HCTZ</t>
        </is>
      </c>
      <c r="G135" s="32" t="inlineStr">
        <is>
          <t>Atorvastatin</t>
        </is>
      </c>
      <c r="H135" s="32" t="inlineStr">
        <is>
          <t>Ticagrelor</t>
        </is>
      </c>
      <c r="I135" s="32" t="n">
        <v>1</v>
      </c>
      <c r="J135" s="32"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32" t="n"/>
      <c r="L135" s="32" t="inlineStr">
        <is>
          <t>Myofascial Pain Syndrome</t>
        </is>
      </c>
      <c r="M135" s="32" t="inlineStr">
        <is>
          <t>Clinic</t>
        </is>
      </c>
      <c r="N135" s="32" t="inlineStr">
        <is>
          <t>ข้อ 2 Mock Musculo RxCU84</t>
        </is>
      </c>
      <c r="O135" s="32" t="inlineStr">
        <is>
          <t>Mock</t>
        </is>
      </c>
      <c r="P135" s="32" t="inlineStr">
        <is>
          <t>Mock RxCU84</t>
        </is>
      </c>
    </row>
    <row r="136" ht="409.6" customHeight="1" s="49">
      <c r="A136" s="32" t="n">
        <v>134</v>
      </c>
      <c r="B136"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32" t="n"/>
      <c r="D136" s="32" t="inlineStr">
        <is>
          <t>Aspirin</t>
        </is>
      </c>
      <c r="E136" s="32" t="inlineStr">
        <is>
          <t>Ticagrelor</t>
        </is>
      </c>
      <c r="F136" s="32" t="inlineStr">
        <is>
          <t>Candesartan</t>
        </is>
      </c>
      <c r="G136" s="32" t="inlineStr">
        <is>
          <t>HCTZ</t>
        </is>
      </c>
      <c r="H136" s="32" t="inlineStr">
        <is>
          <t>Atorvastatin</t>
        </is>
      </c>
      <c r="I136" s="32" t="n">
        <v>4</v>
      </c>
      <c r="J136" s="32"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32" t="n"/>
      <c r="L136" s="32" t="inlineStr">
        <is>
          <t>Myofascial Pain Syndrome</t>
        </is>
      </c>
      <c r="M136" s="32" t="inlineStr">
        <is>
          <t>Clinic</t>
        </is>
      </c>
      <c r="N136" s="32" t="inlineStr">
        <is>
          <t>ข้อ 3 Mock Musculo RxCU84</t>
        </is>
      </c>
      <c r="O136" s="32" t="inlineStr">
        <is>
          <t>Mock</t>
        </is>
      </c>
      <c r="P136" s="32" t="inlineStr">
        <is>
          <t>Mock RxCU84</t>
        </is>
      </c>
    </row>
    <row r="137" ht="409.6" customHeight="1" s="49">
      <c r="A137" s="32" t="n">
        <v>135</v>
      </c>
      <c r="B137"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32" t="n"/>
      <c r="D137" s="32" t="inlineStr">
        <is>
          <t>การฝังเข็ม</t>
        </is>
      </c>
      <c r="E137" s="32" t="inlineStr">
        <is>
          <t>การประคบเย็น</t>
        </is>
      </c>
      <c r="F137" s="32" t="inlineStr">
        <is>
          <t>การยกของหนัก</t>
        </is>
      </c>
      <c r="G137" s="32" t="inlineStr">
        <is>
          <t>การลดน้ำหนัก</t>
        </is>
      </c>
      <c r="H137" s="32" t="inlineStr">
        <is>
          <t>การใช้ไม้เท้า</t>
        </is>
      </c>
      <c r="I137" s="32" t="n">
        <v>1</v>
      </c>
      <c r="J137" s="32"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32" t="n"/>
      <c r="L137" s="32" t="inlineStr">
        <is>
          <t>Myofascial Pain Syndrome</t>
        </is>
      </c>
      <c r="M137" s="32" t="inlineStr">
        <is>
          <t>Clinic</t>
        </is>
      </c>
      <c r="N137" s="32" t="inlineStr">
        <is>
          <t>ข้อ 4 Mock Musculo RxCU84</t>
        </is>
      </c>
      <c r="O137" s="32" t="inlineStr">
        <is>
          <t>Mock</t>
        </is>
      </c>
      <c r="P137" s="32" t="inlineStr">
        <is>
          <t>Mock RxCU84</t>
        </is>
      </c>
    </row>
    <row r="138" ht="409.6" customHeight="1" s="49">
      <c r="A138" s="32" t="n">
        <v>136</v>
      </c>
      <c r="B138"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32" t="n"/>
      <c r="D138" s="32" t="inlineStr">
        <is>
          <t>Celecoxib</t>
        </is>
      </c>
      <c r="E138" s="32" t="inlineStr">
        <is>
          <t>Diclofenac</t>
        </is>
      </c>
      <c r="F138" s="32" t="inlineStr">
        <is>
          <t>Naproxen</t>
        </is>
      </c>
      <c r="G138" s="32" t="inlineStr">
        <is>
          <t>Meloxicam</t>
        </is>
      </c>
      <c r="H138" s="32" t="inlineStr">
        <is>
          <t>Etoricoxib</t>
        </is>
      </c>
      <c r="I138" s="32" t="n">
        <v>3</v>
      </c>
      <c r="J138" s="32"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32" t="n"/>
      <c r="L138" s="32" t="inlineStr">
        <is>
          <t>Myofascial Pain Syndrome</t>
        </is>
      </c>
      <c r="M138" s="32" t="inlineStr">
        <is>
          <t>Clinic</t>
        </is>
      </c>
      <c r="N138" s="32" t="inlineStr">
        <is>
          <t>ข้อ 5 Mock Musculo RxCU84</t>
        </is>
      </c>
      <c r="O138" s="32" t="inlineStr">
        <is>
          <t>Mock</t>
        </is>
      </c>
      <c r="P138" s="32" t="inlineStr">
        <is>
          <t>Mock RxCU84</t>
        </is>
      </c>
    </row>
    <row r="139" ht="409.6" customHeight="1" s="49">
      <c r="A139" s="32" t="n">
        <v>137</v>
      </c>
      <c r="B139"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32" t="n"/>
      <c r="D139" s="32" t="inlineStr">
        <is>
          <t>Naproxen</t>
        </is>
      </c>
      <c r="E139" s="32" t="inlineStr">
        <is>
          <t>Celecoxib</t>
        </is>
      </c>
      <c r="F139" s="32" t="inlineStr">
        <is>
          <t>Diclofenac</t>
        </is>
      </c>
      <c r="G139" s="32" t="inlineStr">
        <is>
          <t>Paracetamol</t>
        </is>
      </c>
      <c r="H139" s="32" t="inlineStr">
        <is>
          <t>Etoricoxib</t>
        </is>
      </c>
      <c r="I139" s="32" t="n">
        <v>4</v>
      </c>
      <c r="J139" s="32"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32" t="n"/>
      <c r="L139" s="32" t="inlineStr">
        <is>
          <t>Myofascial Pain Syndrome</t>
        </is>
      </c>
      <c r="M139" s="32" t="inlineStr">
        <is>
          <t>Clinic</t>
        </is>
      </c>
      <c r="N139" s="32" t="inlineStr">
        <is>
          <t>ข้อ 6 Mock Musculo RxCU84</t>
        </is>
      </c>
      <c r="O139" s="32" t="inlineStr">
        <is>
          <t>Mock</t>
        </is>
      </c>
      <c r="P139" s="32" t="inlineStr">
        <is>
          <t>Mock RxCU84</t>
        </is>
      </c>
    </row>
    <row r="140" ht="409.6" customHeight="1" s="49">
      <c r="A140" s="32" t="n">
        <v>138</v>
      </c>
      <c r="B140"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32" t="n"/>
      <c r="D140" s="32" t="inlineStr">
        <is>
          <t>Ibuprofen เสริมฤทธิ์ต้านเกล็ดเลือดของ aspirin</t>
        </is>
      </c>
      <c r="E140" s="32" t="inlineStr">
        <is>
          <t>Ibuprofen บดบังฤทธิ์ต้านเกล็ดเลือดของ aspirin</t>
        </is>
      </c>
      <c r="F140" s="32" t="inlineStr">
        <is>
          <t>ไม่มีอันตรกิริยาต่อกัน</t>
        </is>
      </c>
      <c r="G140" s="32" t="inlineStr">
        <is>
          <t>ควรให้ ibuprofen ก่อน aspirin 30 นาที</t>
        </is>
      </c>
      <c r="H140" s="32" t="inlineStr">
        <is>
          <t>ทำให้ต้องลดขนาด ticagrelor</t>
        </is>
      </c>
      <c r="I140" s="32" t="n">
        <v>2</v>
      </c>
      <c r="J140" s="32"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32" t="n"/>
      <c r="L140" s="32" t="inlineStr">
        <is>
          <t>Myofascial Pain Syndrome</t>
        </is>
      </c>
      <c r="M140" s="32" t="inlineStr">
        <is>
          <t>Clinic</t>
        </is>
      </c>
      <c r="N140" s="32" t="inlineStr">
        <is>
          <t>ข้อ 7 Mock Musculo RxCU84</t>
        </is>
      </c>
      <c r="O140" s="32" t="inlineStr">
        <is>
          <t>Mock</t>
        </is>
      </c>
      <c r="P140" s="32" t="inlineStr">
        <is>
          <t>Mock RxCU84</t>
        </is>
      </c>
    </row>
    <row r="141" ht="409.6" customHeight="1" s="49">
      <c r="A141" s="32" t="n">
        <v>139</v>
      </c>
      <c r="B141"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32" t="n"/>
      <c r="D141" s="32" t="inlineStr">
        <is>
          <t>เพิ่มขนาด hydrochlorothiazide</t>
        </is>
      </c>
      <c r="E141" s="32" t="inlineStr">
        <is>
          <t>เพิ่ม low-dose aspirin เพื่อขับกรดยูริก</t>
        </is>
      </c>
      <c r="F141" s="32" t="inlineStr">
        <is>
          <t>เปลี่ยน hydrochlorothiazide เป็น losartan</t>
        </is>
      </c>
      <c r="G141" s="32" t="inlineStr">
        <is>
          <t>หยุด candesartan</t>
        </is>
      </c>
      <c r="H141" s="32" t="inlineStr">
        <is>
          <t>หยุด atorvastatin</t>
        </is>
      </c>
      <c r="I141" s="32" t="n">
        <v>3</v>
      </c>
      <c r="J141" s="32"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32" t="n"/>
      <c r="L141" s="32" t="inlineStr">
        <is>
          <t>Myofascial Pain Syndrome</t>
        </is>
      </c>
      <c r="M141" s="32" t="inlineStr">
        <is>
          <t>Clinic</t>
        </is>
      </c>
      <c r="N141" s="32" t="inlineStr">
        <is>
          <t>ข้อ 8 Mock Musculo RxCU84</t>
        </is>
      </c>
      <c r="O141" s="32" t="inlineStr">
        <is>
          <t>Mock</t>
        </is>
      </c>
      <c r="P141" s="32" t="inlineStr">
        <is>
          <t>Mock RxCU84</t>
        </is>
      </c>
    </row>
    <row r="142" ht="409.6" customHeight="1" s="49">
      <c r="A142" s="32" t="n">
        <v>140</v>
      </c>
      <c r="B142"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32" t="n"/>
      <c r="D142" s="32" t="inlineStr">
        <is>
          <t>เป็น full μ-opioid agonist ล้วน</t>
        </is>
      </c>
      <c r="E142" s="32" t="inlineStr">
        <is>
          <t>ไม่ทำให้ท้องผูก</t>
        </is>
      </c>
      <c r="F142" s="32" t="inlineStr">
        <is>
          <t>ปลอดภัยในผู้ป่วยลมชัก</t>
        </is>
      </c>
      <c r="G142" s="32" t="inlineStr">
        <is>
          <t>เป็น weak μ-agonist และยับยั้ง reuptake ของ NE/serotonin</t>
        </is>
      </c>
      <c r="H142" s="32" t="inlineStr">
        <is>
          <t>ต้องเพิ่มขนาดในผู้ป่วยไตเสื่อม</t>
        </is>
      </c>
      <c r="I142" s="32" t="n">
        <v>4</v>
      </c>
      <c r="J142" s="32"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32" t="n"/>
      <c r="L142" s="32" t="inlineStr">
        <is>
          <t>Myofascial Pain Syndrome</t>
        </is>
      </c>
      <c r="M142" s="32" t="inlineStr">
        <is>
          <t>Clinic</t>
        </is>
      </c>
      <c r="N142" s="32" t="inlineStr">
        <is>
          <t>ข้อ 9 Mock Musculo RxCU84</t>
        </is>
      </c>
      <c r="O142" s="32" t="inlineStr">
        <is>
          <t>Mock</t>
        </is>
      </c>
      <c r="P142" s="32" t="inlineStr">
        <is>
          <t>Mock RxCU84</t>
        </is>
      </c>
    </row>
    <row r="143" ht="409.6" customHeight="1" s="49">
      <c r="A143" s="32" t="n">
        <v>141</v>
      </c>
      <c r="B143" s="32"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32" t="n"/>
      <c r="D143" s="32" t="inlineStr">
        <is>
          <t>เพิ่มความเสี่ยงลิ่มเลือดอุดตันหลอดเลือดหัวใจ</t>
        </is>
      </c>
      <c r="E143" s="32" t="inlineStr">
        <is>
          <t>ทำให้กรดยูริกในเลือดต่ำลง</t>
        </is>
      </c>
      <c r="F143" s="32" t="inlineStr">
        <is>
          <t>เสริมฤทธิ์ต้านเกล็ดเลือดจนเลือดออกแน่นอน</t>
        </is>
      </c>
      <c r="G143" s="32" t="inlineStr">
        <is>
          <t>ลดประสิทธิภาพของ statin</t>
        </is>
      </c>
      <c r="H143" s="32" t="inlineStr">
        <is>
          <t>ทำให้ ticagrelor เป็นพิษต่อตับ</t>
        </is>
      </c>
      <c r="I143" s="32" t="n">
        <v>1</v>
      </c>
      <c r="J143" s="32"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32" t="n"/>
      <c r="L143" s="32" t="inlineStr">
        <is>
          <t>Myofascial Pain Syndrome</t>
        </is>
      </c>
      <c r="M143" s="32" t="inlineStr">
        <is>
          <t>Clinic</t>
        </is>
      </c>
      <c r="N143" s="32" t="inlineStr">
        <is>
          <t>ข้อ 10 Mock Musculo RxCU84</t>
        </is>
      </c>
      <c r="O143" s="32" t="inlineStr">
        <is>
          <t>Mock</t>
        </is>
      </c>
      <c r="P143" s="32" t="inlineStr">
        <is>
          <t>Mock RxCU84</t>
        </is>
      </c>
    </row>
    <row r="144" ht="409.6" customHeight="1" s="49">
      <c r="A144" s="32" t="n">
        <v>142</v>
      </c>
      <c r="B14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32" t="n"/>
      <c r="D144" s="32" t="inlineStr">
        <is>
          <t>Prednisolone 5 mg OD</t>
        </is>
      </c>
      <c r="E144" s="32" t="inlineStr">
        <is>
          <t>Naproxen 250 mg TID</t>
        </is>
      </c>
      <c r="F144" s="32" t="inlineStr">
        <is>
          <t>Tramadol 50 mg hs</t>
        </is>
      </c>
      <c r="G144" s="32" t="inlineStr">
        <is>
          <t>Etorocoxib 120 mg OD</t>
        </is>
      </c>
      <c r="H144" s="32" t="inlineStr">
        <is>
          <t>Tolperisone 50 mg TID</t>
        </is>
      </c>
      <c r="I144" s="32" t="n">
        <v>1</v>
      </c>
      <c r="J144" s="32"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32" t="n"/>
      <c r="L144" s="32" t="inlineStr">
        <is>
          <t>Rheumatoid Arthritis</t>
        </is>
      </c>
      <c r="M144" s="32" t="inlineStr">
        <is>
          <t>Clinic</t>
        </is>
      </c>
      <c r="N144" s="32" t="inlineStr">
        <is>
          <t>ข้อ 11 Mock Musculo RxCU84</t>
        </is>
      </c>
      <c r="O144" s="32" t="inlineStr">
        <is>
          <t>Mock</t>
        </is>
      </c>
      <c r="P144" s="32" t="inlineStr">
        <is>
          <t>Mock RxCU84</t>
        </is>
      </c>
    </row>
    <row r="145" ht="409.6" customHeight="1" s="49">
      <c r="A145" s="32" t="n">
        <v>143</v>
      </c>
      <c r="B14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32" t="n"/>
      <c r="D145" s="32" t="inlineStr">
        <is>
          <t>Methotrexate</t>
        </is>
      </c>
      <c r="E145" s="32" t="inlineStr">
        <is>
          <t>Leflunomide</t>
        </is>
      </c>
      <c r="F145" s="32" t="inlineStr">
        <is>
          <t>Hydroxychloroquine</t>
        </is>
      </c>
      <c r="G145" s="32" t="inlineStr">
        <is>
          <t>Cyclophosphamide</t>
        </is>
      </c>
      <c r="H145" s="32" t="inlineStr">
        <is>
          <t>Mycophenolate</t>
        </is>
      </c>
      <c r="I145" s="32" t="n">
        <v>3</v>
      </c>
      <c r="J145" s="32"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32" t="n"/>
      <c r="L145" s="32" t="inlineStr">
        <is>
          <t>Rheumatoid Arthritis</t>
        </is>
      </c>
      <c r="M145" s="32" t="inlineStr">
        <is>
          <t>Clinic</t>
        </is>
      </c>
      <c r="N145" s="32" t="inlineStr">
        <is>
          <t>ข้อ 12 Mock Musculo RxCU84</t>
        </is>
      </c>
      <c r="O145" s="32" t="inlineStr">
        <is>
          <t>Mock</t>
        </is>
      </c>
      <c r="P145" s="32" t="inlineStr">
        <is>
          <t>Mock RxCU84</t>
        </is>
      </c>
    </row>
    <row r="146" ht="409.6" customHeight="1" s="49">
      <c r="A146" s="32" t="n">
        <v>144</v>
      </c>
      <c r="B14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32" t="n"/>
      <c r="D146" s="32" t="inlineStr">
        <is>
          <t>Hydroxychloroquine</t>
        </is>
      </c>
      <c r="E146" s="32" t="inlineStr">
        <is>
          <t>Sulfasalazine</t>
        </is>
      </c>
      <c r="F146" s="32" t="inlineStr">
        <is>
          <t>Methotrexate</t>
        </is>
      </c>
      <c r="G146" s="32" t="inlineStr">
        <is>
          <t>Cyclosporine</t>
        </is>
      </c>
      <c r="H146" s="32" t="inlineStr">
        <is>
          <t>Azathioprine</t>
        </is>
      </c>
      <c r="I146" s="32" t="n">
        <v>3</v>
      </c>
      <c r="J146" s="32"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32" t="n"/>
      <c r="L146" s="32" t="inlineStr">
        <is>
          <t>Rheumatoid Arthritis</t>
        </is>
      </c>
      <c r="M146" s="32" t="inlineStr">
        <is>
          <t>Clinic</t>
        </is>
      </c>
      <c r="N146" s="32" t="inlineStr">
        <is>
          <t>ข้อ 13 Mock Musculo RxCU84</t>
        </is>
      </c>
      <c r="O146" s="32" t="inlineStr">
        <is>
          <t>Mock</t>
        </is>
      </c>
      <c r="P146" s="32" t="inlineStr">
        <is>
          <t>Mock RxCU84</t>
        </is>
      </c>
    </row>
    <row r="147" ht="409.6" customHeight="1" s="49">
      <c r="A147" s="32" t="n">
        <v>145</v>
      </c>
      <c r="B147"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32" t="n"/>
      <c r="D147" s="32" t="inlineStr">
        <is>
          <t>Activated charcoal</t>
        </is>
      </c>
      <c r="E147" s="32" t="inlineStr">
        <is>
          <t>Cholestyramine</t>
        </is>
      </c>
      <c r="F147" s="32" t="inlineStr">
        <is>
          <t>N-acetylcysteine</t>
        </is>
      </c>
      <c r="G147" s="32" t="inlineStr">
        <is>
          <t>Leucovorin</t>
        </is>
      </c>
      <c r="H147" s="32" t="inlineStr">
        <is>
          <t>Folic acid</t>
        </is>
      </c>
      <c r="I147" s="32" t="n">
        <v>2</v>
      </c>
      <c r="J147" s="32"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32" t="n"/>
      <c r="L147" s="32" t="inlineStr">
        <is>
          <t>Rheumatoid Arthritis</t>
        </is>
      </c>
      <c r="M147" s="32" t="inlineStr">
        <is>
          <t>Clinic</t>
        </is>
      </c>
      <c r="N147" s="32" t="inlineStr">
        <is>
          <t>ข้อ 14 Mock Musculo RxCU84</t>
        </is>
      </c>
      <c r="O147" s="32" t="inlineStr">
        <is>
          <t>Mock</t>
        </is>
      </c>
      <c r="P147" s="32" t="inlineStr">
        <is>
          <t>Mock RxCU84</t>
        </is>
      </c>
    </row>
    <row r="148" ht="409.6" customHeight="1" s="49">
      <c r="A148" s="32" t="n">
        <v>146</v>
      </c>
      <c r="B148"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32" t="n"/>
      <c r="D148" s="32" t="inlineStr">
        <is>
          <t>&lt; 15 นาที</t>
        </is>
      </c>
      <c r="E148" s="32" t="inlineStr">
        <is>
          <t>&lt; 30 นาที</t>
        </is>
      </c>
      <c r="F148" s="32" t="inlineStr">
        <is>
          <t>&gt; 1 ชั่วโมง</t>
        </is>
      </c>
      <c r="G148" s="32" t="inlineStr">
        <is>
          <t>เป็นเฉพาะตอนเย็น</t>
        </is>
      </c>
      <c r="H148" s="32" t="inlineStr">
        <is>
          <t>ดีขึ้นเมื่ออยู่นิ่งๆ</t>
        </is>
      </c>
      <c r="I148" s="32" t="n">
        <v>3</v>
      </c>
      <c r="J148" s="32"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32" t="n"/>
      <c r="L148" s="32" t="inlineStr">
        <is>
          <t>Rheumatoid Arthritis</t>
        </is>
      </c>
      <c r="M148" s="32" t="inlineStr">
        <is>
          <t>Clinic</t>
        </is>
      </c>
      <c r="N148" s="32" t="inlineStr">
        <is>
          <t>ข้อ 15 Mock Musculo RxCU84</t>
        </is>
      </c>
      <c r="O148" s="32" t="inlineStr">
        <is>
          <t>Mock</t>
        </is>
      </c>
      <c r="P148" s="32" t="inlineStr">
        <is>
          <t>Mock RxCU84</t>
        </is>
      </c>
    </row>
    <row r="149" ht="409.6" customHeight="1" s="49">
      <c r="A149" s="32" t="n">
        <v>147</v>
      </c>
      <c r="B149"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32" t="n"/>
      <c r="D149" s="32" t="inlineStr">
        <is>
          <t>Liver function</t>
        </is>
      </c>
      <c r="E149" s="32" t="inlineStr">
        <is>
          <t>Kidney function</t>
        </is>
      </c>
      <c r="F149" s="32" t="inlineStr">
        <is>
          <t>Eye examination (Retinopathy)</t>
        </is>
      </c>
      <c r="G149" s="32" t="inlineStr">
        <is>
          <t>Hearing test</t>
        </is>
      </c>
      <c r="H149" s="32" t="inlineStr">
        <is>
          <t>Pulmonary function</t>
        </is>
      </c>
      <c r="I149" s="32" t="n">
        <v>3</v>
      </c>
      <c r="J149" s="32"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32" t="n"/>
      <c r="L149" s="32" t="inlineStr">
        <is>
          <t>Rheumatoid Arthritis</t>
        </is>
      </c>
      <c r="M149" s="32" t="inlineStr">
        <is>
          <t>Clinic</t>
        </is>
      </c>
      <c r="N149" s="32" t="inlineStr">
        <is>
          <t>ข้อ 16 Mock Musculo RxCU84</t>
        </is>
      </c>
      <c r="O149" s="32" t="inlineStr">
        <is>
          <t>Mock</t>
        </is>
      </c>
      <c r="P149" s="32" t="inlineStr">
        <is>
          <t>Mock RxCU84</t>
        </is>
      </c>
    </row>
    <row r="150" ht="409.6" customHeight="1" s="49">
      <c r="A150" s="32" t="n">
        <v>148</v>
      </c>
      <c r="B150"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32" t="n"/>
      <c r="D150" s="32" t="inlineStr">
        <is>
          <t>RA เป็นอสมมาตร (Asymmetric)</t>
        </is>
      </c>
      <c r="E150" s="32" t="inlineStr">
        <is>
          <t>RA มักโดนข้อ DIP</t>
        </is>
      </c>
      <c r="F150" s="32" t="inlineStr">
        <is>
          <t>RA เป็นแบบสมมาตร (Symmetric)</t>
        </is>
      </c>
      <c r="G150" s="32" t="inlineStr">
        <is>
          <t>OA มีอาการทั่วร่างกาย (Systemic)</t>
        </is>
      </c>
      <c r="H150" s="32" t="inlineStr">
        <is>
          <t>OA ตรวจพบ Rheumatoid factor</t>
        </is>
      </c>
      <c r="I150" s="32" t="n">
        <v>3</v>
      </c>
      <c r="J150" s="32"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32" t="n"/>
      <c r="L150" s="32" t="inlineStr">
        <is>
          <t>Rheumatoid Arthritis</t>
        </is>
      </c>
      <c r="M150" s="32" t="inlineStr">
        <is>
          <t>Clinic</t>
        </is>
      </c>
      <c r="N150" s="32" t="inlineStr">
        <is>
          <t>ข้อ 17 Mock Musculo RxCU84</t>
        </is>
      </c>
      <c r="O150" s="32" t="inlineStr">
        <is>
          <t>Mock</t>
        </is>
      </c>
      <c r="P150" s="32" t="inlineStr">
        <is>
          <t>Mock RxCU84</t>
        </is>
      </c>
    </row>
    <row r="151" ht="409.6" customHeight="1" s="49">
      <c r="A151" s="32" t="n">
        <v>149</v>
      </c>
      <c r="B151"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32" t="n"/>
      <c r="D151" s="32" t="inlineStr">
        <is>
          <t>เน้นย้ำให้รับประทาน Ferrous Fumarate เพื่อป้องกันผลข้างเคียงเรื่องของโลหิตจาง</t>
        </is>
      </c>
      <c r="E151" s="32" t="inlineStr">
        <is>
          <t>เน้นย้ำให้รับประทานยา Mecobalamin 5 mg ควบคู่กันทุกวัน เพื่อลดผลข้างเคียงทางระบบทางเดินอาหารและแผลในปาก</t>
        </is>
      </c>
      <c r="F151" s="32" t="inlineStr">
        <is>
          <t>หากมีสารคัดหลั่งหรือปัสสาวะสีส้มให้หยุดยาทันทีแล้วพบแพทย์</t>
        </is>
      </c>
      <c r="G151" s="32" t="inlineStr">
        <is>
          <t>หากมีสารคัดหลั่งหรือปัสสาวะสีส้มให้รับประทานต่อไป เนื่องจากเป็นผลข้างเคียงจากยาตามปกติที่ไม่มีอันตรายอะไร</t>
        </is>
      </c>
      <c r="H151" s="32" t="inlineStr">
        <is>
          <t>หากอาการข้อนิ้วบวมและ Morning Stiffness หายแล้วสามารถหยุดยาเองได้เลยทันทีเพื่อป้องกันผลข้างเคียงในระยะยาว</t>
        </is>
      </c>
      <c r="I151" s="32" t="n">
        <v>4</v>
      </c>
      <c r="J151" s="32"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32" t="n"/>
      <c r="L151" s="32" t="inlineStr">
        <is>
          <t>Rheumatoid Arthritis</t>
        </is>
      </c>
      <c r="M151" s="32" t="inlineStr">
        <is>
          <t>Clinic</t>
        </is>
      </c>
      <c r="N151" s="32" t="inlineStr">
        <is>
          <t>ข้อ 18 Mock Musculo RxCU84</t>
        </is>
      </c>
      <c r="O151" s="32" t="inlineStr">
        <is>
          <t>Mock</t>
        </is>
      </c>
      <c r="P151" s="32" t="inlineStr">
        <is>
          <t>Mock RxCU84</t>
        </is>
      </c>
    </row>
    <row r="152" ht="409.6" customHeight="1" s="49">
      <c r="A152" s="32" t="n">
        <v>150</v>
      </c>
      <c r="B152"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32" t="n"/>
      <c r="D152" s="32" t="inlineStr">
        <is>
          <t>Naproxen</t>
        </is>
      </c>
      <c r="E152" s="32" t="inlineStr">
        <is>
          <t>Paracetamol</t>
        </is>
      </c>
      <c r="F152" s="32" t="inlineStr">
        <is>
          <t>Celecoxib</t>
        </is>
      </c>
      <c r="G152" s="32" t="inlineStr">
        <is>
          <t>Aspirin ขนาดสูง</t>
        </is>
      </c>
      <c r="H152" s="32" t="inlineStr">
        <is>
          <t>Indomethacin</t>
        </is>
      </c>
      <c r="I152" s="32" t="n">
        <v>2</v>
      </c>
      <c r="J152" s="32"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32" t="n"/>
      <c r="L152" s="32" t="inlineStr">
        <is>
          <t>Rheumatoid Arthritis</t>
        </is>
      </c>
      <c r="M152" s="32" t="inlineStr">
        <is>
          <t>Clinic</t>
        </is>
      </c>
      <c r="N152" s="32" t="inlineStr">
        <is>
          <t>ข้อ 19 Mock Musculo RxCU84</t>
        </is>
      </c>
      <c r="O152" s="32" t="inlineStr">
        <is>
          <t>Mock</t>
        </is>
      </c>
      <c r="P152" s="32" t="inlineStr">
        <is>
          <t>Mock RxCU84</t>
        </is>
      </c>
    </row>
    <row r="153" ht="409.6" customHeight="1" s="49">
      <c r="A153" s="32" t="n">
        <v>151</v>
      </c>
      <c r="B153"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32" t="n"/>
      <c r="D153" s="32" t="inlineStr">
        <is>
          <t>ปากแหว่งเพดานโหว่</t>
        </is>
      </c>
      <c r="E153" s="32" t="inlineStr">
        <is>
          <t>น้ำตาลในเลือดต่ำในทารก</t>
        </is>
      </c>
      <c r="F153" s="32" t="inlineStr">
        <is>
          <t>ductus arteriosus ปิดก่อนกำหนด และน้ำคร่ำน้อย</t>
        </is>
      </c>
      <c r="G153" s="32" t="inlineStr">
        <is>
          <t>หัวใจพิการแต่กำเนิด</t>
        </is>
      </c>
      <c r="H153" s="32" t="inlineStr">
        <is>
          <t>ภาวะตัวเหลืองในทารก</t>
        </is>
      </c>
      <c r="I153" s="32" t="n">
        <v>3</v>
      </c>
      <c r="J153" s="32"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32" t="n"/>
      <c r="L153" s="32" t="inlineStr">
        <is>
          <t>Rheumatoid Arthritis</t>
        </is>
      </c>
      <c r="M153" s="32" t="inlineStr">
        <is>
          <t>Clinic</t>
        </is>
      </c>
      <c r="N153" s="32" t="inlineStr">
        <is>
          <t>ข้อ 20 Mock Musculo RxCU84</t>
        </is>
      </c>
      <c r="O153" s="32" t="inlineStr">
        <is>
          <t>Mock</t>
        </is>
      </c>
      <c r="P153" s="32" t="inlineStr">
        <is>
          <t>Mock RxCU84</t>
        </is>
      </c>
    </row>
    <row r="154" ht="409.6" customHeight="1" s="49">
      <c r="A154" s="32" t="n">
        <v>152</v>
      </c>
      <c r="B154"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32" t="n"/>
      <c r="D154" s="32" t="inlineStr">
        <is>
          <t>Methotrexate</t>
        </is>
      </c>
      <c r="E154" s="32" t="inlineStr">
        <is>
          <t>Leflunomide</t>
        </is>
      </c>
      <c r="F154" s="32" t="inlineStr">
        <is>
          <t>Cyclophosphamide</t>
        </is>
      </c>
      <c r="G154" s="32" t="inlineStr">
        <is>
          <t>Hydroxychloroquine</t>
        </is>
      </c>
      <c r="H154" s="32" t="inlineStr">
        <is>
          <t>Tofacitinib</t>
        </is>
      </c>
      <c r="I154" s="32" t="n">
        <v>4</v>
      </c>
      <c r="J154" s="32"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32" t="n"/>
      <c r="L154" s="32" t="inlineStr">
        <is>
          <t>Rheumatoid Arthritis</t>
        </is>
      </c>
      <c r="M154" s="32" t="inlineStr">
        <is>
          <t>Clinic</t>
        </is>
      </c>
      <c r="N154" s="32" t="inlineStr">
        <is>
          <t>ข้อ 21 Mock Musculo RxCU84</t>
        </is>
      </c>
      <c r="O154" s="32" t="inlineStr">
        <is>
          <t>Mock</t>
        </is>
      </c>
      <c r="P154" s="32" t="inlineStr">
        <is>
          <t>Mock RxCU84</t>
        </is>
      </c>
    </row>
    <row r="155" ht="409.6" customHeight="1" s="49">
      <c r="A155" s="32" t="n">
        <v>153</v>
      </c>
      <c r="B155"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32" t="n"/>
      <c r="D155" s="32" t="inlineStr">
        <is>
          <t>เป็นสารก่อวิรูป ห้ามใช้ในครรภ์</t>
        </is>
      </c>
      <c r="E155" s="32" t="inlineStr">
        <is>
          <t>ปลอดภัยในไตรมาส 2–3</t>
        </is>
      </c>
      <c r="F155" s="32" t="inlineStr">
        <is>
          <t>ใช้ต่อได้หากให้ folic acid สูง</t>
        </is>
      </c>
      <c r="G155" s="32" t="inlineStr">
        <is>
          <t>เป็นยาหลักในหญิงตั้งครรภ์</t>
        </is>
      </c>
      <c r="H155" s="32" t="inlineStr">
        <is>
          <t>ไม่ผ่านรก</t>
        </is>
      </c>
      <c r="I155" s="32" t="n">
        <v>1</v>
      </c>
      <c r="J155" s="32"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32" t="n"/>
      <c r="L155" s="32" t="inlineStr">
        <is>
          <t>Rheumatoid Arthritis</t>
        </is>
      </c>
      <c r="M155" s="32" t="inlineStr">
        <is>
          <t>Clinic</t>
        </is>
      </c>
      <c r="N155" s="32" t="inlineStr">
        <is>
          <t>ข้อ 22 Mock Musculo RxCU84</t>
        </is>
      </c>
      <c r="O155" s="32" t="inlineStr">
        <is>
          <t>Mock</t>
        </is>
      </c>
      <c r="P155" s="32" t="inlineStr">
        <is>
          <t>Mock RxCU84</t>
        </is>
      </c>
    </row>
    <row r="156" ht="409.6" customHeight="1" s="49">
      <c r="A156" s="32" t="n">
        <v>154</v>
      </c>
      <c r="B156" s="32"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32" t="n"/>
      <c r="D156" s="32" t="inlineStr">
        <is>
          <t>ปวดเมื่อใช้งาน ดีขึ้นเมื่อพัก</t>
        </is>
      </c>
      <c r="E156" s="32" t="inlineStr">
        <is>
          <t>ข้อฝืดตอนเช้าน้อยกว่า 30 นาที</t>
        </is>
      </c>
      <c r="F156" s="32" t="inlineStr">
        <is>
          <t>คลำได้เสียงกรอบแกรบในข้อ</t>
        </is>
      </c>
      <c r="G156" s="32" t="inlineStr">
        <is>
          <t>มักเกิดที่ข้อปลายนิ้ว (DIP)</t>
        </is>
      </c>
      <c r="H156" s="32" t="inlineStr">
        <is>
          <t>ข้อฝืดตอนเช้ามากกว่า 1 ชั่วโมง ร่วมกับข้ออักเสบสมมาตร</t>
        </is>
      </c>
      <c r="I156" s="32" t="n">
        <v>5</v>
      </c>
      <c r="J156" s="32"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และยาต้านการอักเสบที่มีความปลอดภัยสูงสุดตามแนวทางเวชปฏิบัติสากล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32" t="n"/>
      <c r="L156" s="32" t="inlineStr">
        <is>
          <t>Rheumatoid Arthritis</t>
        </is>
      </c>
      <c r="M156" s="32" t="inlineStr">
        <is>
          <t>Clinic</t>
        </is>
      </c>
      <c r="N156" s="32" t="inlineStr">
        <is>
          <t>ข้อ 23 Mock Musculo RxCU84</t>
        </is>
      </c>
      <c r="O156" s="32" t="inlineStr">
        <is>
          <t>Mock</t>
        </is>
      </c>
      <c r="P156" s="32" t="inlineStr">
        <is>
          <t>Mock RxCU84</t>
        </is>
      </c>
    </row>
    <row r="157" ht="409.6" customHeight="1" s="49">
      <c r="A157" s="32" t="n">
        <v>155</v>
      </c>
      <c r="B15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32" t="n"/>
      <c r="D157" s="32" t="inlineStr">
        <is>
          <t>Allopurinol</t>
        </is>
      </c>
      <c r="E157" s="32" t="inlineStr">
        <is>
          <t>Febuxostat</t>
        </is>
      </c>
      <c r="F157" s="32" t="inlineStr">
        <is>
          <t>Colchicine</t>
        </is>
      </c>
      <c r="G157" s="32" t="inlineStr">
        <is>
          <t>Probenecid</t>
        </is>
      </c>
      <c r="H157" s="32" t="inlineStr">
        <is>
          <t>Sulfinpyrazone</t>
        </is>
      </c>
      <c r="I157" s="32" t="n">
        <v>3</v>
      </c>
      <c r="J157" s="32"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32" t="n"/>
      <c r="L157" s="32" t="inlineStr">
        <is>
          <t>Gout &amp; Hyperuricemia</t>
        </is>
      </c>
      <c r="M157" s="32" t="inlineStr">
        <is>
          <t>Clinic</t>
        </is>
      </c>
      <c r="N157" s="32" t="inlineStr">
        <is>
          <t>ข้อ 24 Mock Musculo RxCU84</t>
        </is>
      </c>
      <c r="O157" s="32" t="inlineStr">
        <is>
          <t>Mock</t>
        </is>
      </c>
      <c r="P157" s="32" t="inlineStr">
        <is>
          <t>Mock RxCU84</t>
        </is>
      </c>
    </row>
    <row r="158" ht="409.6" customHeight="1" s="49">
      <c r="A158" s="32" t="n">
        <v>156</v>
      </c>
      <c r="B15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32" t="n"/>
      <c r="D158" s="32" t="inlineStr">
        <is>
          <t>1.2 mg OD</t>
        </is>
      </c>
      <c r="E158" s="32" t="inlineStr">
        <is>
          <t>0.6 mg tid</t>
        </is>
      </c>
      <c r="F158" s="32" t="inlineStr">
        <is>
          <t>1.2 mg ทันที ตามด้วย 0.6 mg ใน 1 ชม.</t>
        </is>
      </c>
      <c r="G158" s="32" t="inlineStr">
        <is>
          <t>0.6 mg ทุก 2 ชม. จนกว่าจะท้องเสีย</t>
        </is>
      </c>
      <c r="H158" s="32" t="inlineStr">
        <is>
          <t>1.2 mg ทันที ตามด้วย 1.2 mg ใน 1 ชม. เฉลย</t>
        </is>
      </c>
      <c r="I158" s="32" t="n">
        <v>3</v>
      </c>
      <c r="J158" s="32"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32" t="n"/>
      <c r="L158" s="32" t="inlineStr">
        <is>
          <t>Gout &amp; Hyperuricemia</t>
        </is>
      </c>
      <c r="M158" s="32" t="inlineStr">
        <is>
          <t>Clinic</t>
        </is>
      </c>
      <c r="N158" s="32" t="inlineStr">
        <is>
          <t>ข้อ 25 Mock Musculo RxCU84</t>
        </is>
      </c>
      <c r="O158" s="32" t="inlineStr">
        <is>
          <t>Mock</t>
        </is>
      </c>
      <c r="P158" s="32" t="inlineStr">
        <is>
          <t>Mock RxCU84</t>
        </is>
      </c>
    </row>
    <row r="159" ht="409.6" customHeight="1" s="49">
      <c r="A159" s="32" t="n">
        <v>157</v>
      </c>
      <c r="B15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32" t="n"/>
      <c r="D159" s="32" t="inlineStr">
        <is>
          <t>Bisoprolol</t>
        </is>
      </c>
      <c r="E159" s="32" t="inlineStr">
        <is>
          <t>Losartan</t>
        </is>
      </c>
      <c r="F159" s="32" t="inlineStr">
        <is>
          <t>Amlodipine</t>
        </is>
      </c>
      <c r="G159" s="32" t="inlineStr">
        <is>
          <t>Enalapril</t>
        </is>
      </c>
      <c r="H159" s="32" t="inlineStr">
        <is>
          <t>Diltiazem</t>
        </is>
      </c>
      <c r="I159" s="32" t="n">
        <v>2</v>
      </c>
      <c r="J159" s="32"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32" t="n"/>
      <c r="L159" s="32" t="inlineStr">
        <is>
          <t>Gout &amp; Hyperuricemia</t>
        </is>
      </c>
      <c r="M159" s="32" t="inlineStr">
        <is>
          <t>Clinic</t>
        </is>
      </c>
      <c r="N159" s="32" t="inlineStr">
        <is>
          <t>ข้อ 26 Mock Musculo RxCU84</t>
        </is>
      </c>
      <c r="O159" s="32" t="inlineStr">
        <is>
          <t>Mock</t>
        </is>
      </c>
      <c r="P159" s="32" t="inlineStr">
        <is>
          <t>Mock RxCU84</t>
        </is>
      </c>
    </row>
    <row r="160" ht="409.6" customHeight="1" s="49">
      <c r="A160" s="32" t="n">
        <v>158</v>
      </c>
      <c r="B16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32" t="n"/>
      <c r="D160" s="32" t="inlineStr">
        <is>
          <t>ข้าวสวย</t>
        </is>
      </c>
      <c r="E160" s="32" t="inlineStr">
        <is>
          <t>ไข่ไก่</t>
        </is>
      </c>
      <c r="F160" s="32" t="inlineStr">
        <is>
          <t>เครื่องในสัตว์และเบียร์</t>
        </is>
      </c>
      <c r="G160" s="32" t="inlineStr">
        <is>
          <t>นมวัว</t>
        </is>
      </c>
      <c r="H160" s="32" t="inlineStr">
        <is>
          <t>ผลไม้</t>
        </is>
      </c>
      <c r="I160" s="32" t="n">
        <v>3</v>
      </c>
      <c r="J160" s="32"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32" t="n"/>
      <c r="L160" s="32" t="inlineStr">
        <is>
          <t>Gout &amp; Hyperuricemia</t>
        </is>
      </c>
      <c r="M160" s="32" t="inlineStr">
        <is>
          <t>Clinic</t>
        </is>
      </c>
      <c r="N160" s="32" t="inlineStr">
        <is>
          <t>ข้อ 27 Mock Musculo RxCU84</t>
        </is>
      </c>
      <c r="O160" s="32" t="inlineStr">
        <is>
          <t>Mock</t>
        </is>
      </c>
      <c r="P160" s="32" t="inlineStr">
        <is>
          <t>Mock RxCU84</t>
        </is>
      </c>
    </row>
    <row r="161" ht="409.6" customHeight="1" s="49">
      <c r="A161" s="32" t="n">
        <v>159</v>
      </c>
      <c r="B16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32" t="n"/>
      <c r="D161" s="32" t="inlineStr">
        <is>
          <t>&lt; 4 mg/dL</t>
        </is>
      </c>
      <c r="E161" s="32" t="inlineStr">
        <is>
          <t>&lt; 5 mg/dL</t>
        </is>
      </c>
      <c r="F161" s="32" t="inlineStr">
        <is>
          <t>&lt; 6 mg/dL</t>
        </is>
      </c>
      <c r="G161" s="32" t="inlineStr">
        <is>
          <t>&lt; 7 mg/dL</t>
        </is>
      </c>
      <c r="H161" s="32" t="inlineStr">
        <is>
          <t>&lt; 8 mg/dL</t>
        </is>
      </c>
      <c r="I161" s="32" t="n">
        <v>3</v>
      </c>
      <c r="J161" s="32"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32" t="n"/>
      <c r="L161" s="32" t="inlineStr">
        <is>
          <t>Gout &amp; Hyperuricemia</t>
        </is>
      </c>
      <c r="M161" s="32" t="inlineStr">
        <is>
          <t>Clinic</t>
        </is>
      </c>
      <c r="N161" s="32" t="inlineStr">
        <is>
          <t>ข้อ 28 Mock Musculo RxCU84</t>
        </is>
      </c>
      <c r="O161" s="32" t="inlineStr">
        <is>
          <t>Mock</t>
        </is>
      </c>
      <c r="P161" s="32" t="inlineStr">
        <is>
          <t>Mock RxCU84</t>
        </is>
      </c>
    </row>
    <row r="162" ht="409.6" customHeight="1" s="49">
      <c r="A162" s="32" t="n">
        <v>160</v>
      </c>
      <c r="B16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32" t="n"/>
      <c r="D162" s="32" t="inlineStr">
        <is>
          <t>HLA-B15:02</t>
        </is>
      </c>
      <c r="E162" s="32" t="inlineStr">
        <is>
          <t>HLA-B58:01</t>
        </is>
      </c>
      <c r="F162" s="32" t="inlineStr">
        <is>
          <t>HLA-B57:01</t>
        </is>
      </c>
      <c r="G162" s="32" t="inlineStr">
        <is>
          <t>CYP2C9</t>
        </is>
      </c>
      <c r="H162" s="32" t="inlineStr">
        <is>
          <t>DPYD</t>
        </is>
      </c>
      <c r="I162" s="32" t="n">
        <v>2</v>
      </c>
      <c r="J162"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32" t="n"/>
      <c r="L162" s="32" t="inlineStr">
        <is>
          <t>Gout &amp; Hyperuricemia</t>
        </is>
      </c>
      <c r="M162" s="32" t="inlineStr">
        <is>
          <t>Clinic</t>
        </is>
      </c>
      <c r="N162" s="32" t="inlineStr">
        <is>
          <t>ข้อ 29 Mock Musculo RxCU84</t>
        </is>
      </c>
      <c r="O162" s="32" t="inlineStr">
        <is>
          <t>Mock</t>
        </is>
      </c>
      <c r="P162" s="32" t="inlineStr">
        <is>
          <t>Mock RxCU84</t>
        </is>
      </c>
    </row>
    <row r="163" ht="409.6" customHeight="1" s="49">
      <c r="A163" s="32" t="n">
        <v>161</v>
      </c>
      <c r="B163"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32" t="n"/>
      <c r="D163" s="32" t="inlineStr">
        <is>
          <t>Metformin</t>
        </is>
      </c>
      <c r="E163" s="32" t="inlineStr">
        <is>
          <t>Bisoprolol</t>
        </is>
      </c>
      <c r="F163" s="32" t="inlineStr">
        <is>
          <t>Azathioprine</t>
        </is>
      </c>
      <c r="G163" s="32" t="inlineStr">
        <is>
          <t>Atorvastatin</t>
        </is>
      </c>
      <c r="H163" s="32" t="inlineStr">
        <is>
          <t>Losartan</t>
        </is>
      </c>
      <c r="I163" s="32" t="n">
        <v>3</v>
      </c>
      <c r="J163" s="32"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32" t="n"/>
      <c r="L163" s="32" t="inlineStr">
        <is>
          <t>Gout &amp; Hyperuricemia</t>
        </is>
      </c>
      <c r="M163" s="32" t="inlineStr">
        <is>
          <t>Clinic</t>
        </is>
      </c>
      <c r="N163" s="32" t="inlineStr">
        <is>
          <t>ข้อ 30 Mock Musculo RxCU84</t>
        </is>
      </c>
      <c r="O163" s="32" t="inlineStr">
        <is>
          <t>Mock</t>
        </is>
      </c>
      <c r="P163" s="32" t="inlineStr">
        <is>
          <t>Mock RxCU84</t>
        </is>
      </c>
    </row>
    <row r="164" ht="409.6" customHeight="1" s="49">
      <c r="A164" s="32" t="n">
        <v>162</v>
      </c>
      <c r="B164"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32" t="n"/>
      <c r="D164" s="32" t="inlineStr">
        <is>
          <t>Colchicine 0.6 mg/day นาน 3-6 เดือน</t>
        </is>
      </c>
      <c r="E164" s="32" t="inlineStr">
        <is>
          <t>Prednisolone นาน 1 ปี</t>
        </is>
      </c>
      <c r="F164" s="32" t="inlineStr">
        <is>
          <t>Aspirin 81 mg</t>
        </is>
      </c>
      <c r="G164" s="32" t="inlineStr">
        <is>
          <t>Probenecid</t>
        </is>
      </c>
      <c r="H164" s="32" t="inlineStr">
        <is>
          <t>Paracetamol</t>
        </is>
      </c>
      <c r="I164" s="32" t="n">
        <v>1</v>
      </c>
      <c r="J164" s="32"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32" t="n"/>
      <c r="L164" s="32" t="inlineStr">
        <is>
          <t>Gout &amp; Hyperuricemia</t>
        </is>
      </c>
      <c r="M164" s="32" t="inlineStr">
        <is>
          <t>Clinic</t>
        </is>
      </c>
      <c r="N164" s="32" t="inlineStr">
        <is>
          <t>ข้อ 31 Mock Musculo RxCU84</t>
        </is>
      </c>
      <c r="O164" s="32" t="inlineStr">
        <is>
          <t>Mock</t>
        </is>
      </c>
      <c r="P164" s="32" t="inlineStr">
        <is>
          <t>Mock RxCU84</t>
        </is>
      </c>
    </row>
    <row r="165" ht="409.6" customHeight="1" s="49">
      <c r="A165" s="32" t="n">
        <v>163</v>
      </c>
      <c r="B165"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32" t="n"/>
      <c r="D165" s="32" t="inlineStr">
        <is>
          <t>ยับยั้ง COX-2</t>
        </is>
      </c>
      <c r="E165" s="32" t="inlineStr">
        <is>
          <t>ยับยั้ง Xanthine oxidase</t>
        </is>
      </c>
      <c r="F165" s="32" t="inlineStr">
        <is>
          <t>ขัดขวาง Microtubule polymerization ลดการเคลื่อนที่ของ Neutrophil</t>
        </is>
      </c>
      <c r="G165" s="32" t="inlineStr">
        <is>
          <t>เพิ่มการขับ Uric acid</t>
        </is>
      </c>
      <c r="H165" s="32" t="inlineStr">
        <is>
          <t>ยับยั้ง URAT1</t>
        </is>
      </c>
      <c r="I165" s="32" t="n">
        <v>3</v>
      </c>
      <c r="J165" s="32"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32" t="n"/>
      <c r="L165" s="32" t="inlineStr">
        <is>
          <t>Gout &amp; Hyperuricemia</t>
        </is>
      </c>
      <c r="M165" s="32" t="inlineStr">
        <is>
          <t>Clinic</t>
        </is>
      </c>
      <c r="N165" s="32" t="inlineStr">
        <is>
          <t>ข้อ 32 Mock Musculo RxCU84</t>
        </is>
      </c>
      <c r="O165" s="32" t="inlineStr">
        <is>
          <t>Mock</t>
        </is>
      </c>
      <c r="P165" s="32" t="inlineStr">
        <is>
          <t>Mock RxCU84</t>
        </is>
      </c>
    </row>
    <row r="166" ht="409.6" customHeight="1" s="49">
      <c r="A166" s="32" t="n">
        <v>164</v>
      </c>
      <c r="B166"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32" t="n"/>
      <c r="D166" s="32" t="inlineStr">
        <is>
          <t>Simvastatin</t>
        </is>
      </c>
      <c r="E166" s="32" t="inlineStr">
        <is>
          <t>Atorvastatin</t>
        </is>
      </c>
      <c r="F166" s="32" t="inlineStr">
        <is>
          <t>Fenofibrate</t>
        </is>
      </c>
      <c r="G166" s="32" t="inlineStr">
        <is>
          <t>Gemfibrozil</t>
        </is>
      </c>
      <c r="H166" s="32" t="inlineStr">
        <is>
          <t>Ezetimibe</t>
        </is>
      </c>
      <c r="I166" s="32" t="n">
        <v>3</v>
      </c>
      <c r="J166" s="32"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32" t="n"/>
      <c r="L166" s="32" t="inlineStr">
        <is>
          <t>Gout &amp; Hyperuricemia</t>
        </is>
      </c>
      <c r="M166" s="32" t="inlineStr">
        <is>
          <t>Clinic</t>
        </is>
      </c>
      <c r="N166" s="32" t="inlineStr">
        <is>
          <t>ข้อ 33 Mock Musculo RxCU84</t>
        </is>
      </c>
      <c r="O166" s="32" t="inlineStr">
        <is>
          <t>Mock</t>
        </is>
      </c>
      <c r="P166" s="32" t="inlineStr">
        <is>
          <t>Mock RxCU84</t>
        </is>
      </c>
    </row>
    <row r="167" ht="409.6" customHeight="1" s="49">
      <c r="A167" s="32" t="n">
        <v>165</v>
      </c>
      <c r="B167"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32" t="n"/>
      <c r="D167" s="32" t="inlineStr">
        <is>
          <t>ควบคุมอาหารและออกกำลังกายเพื่อลดน้ำหนักตัว โดยตั้งเป้าหมายให้ดัชนีมวลกาย (BMI) ลดลงต่ำกว่า 30 kg/m2</t>
        </is>
      </c>
      <c r="E167" s="32" t="inlineStr">
        <is>
          <t>ลดหรือหลีกเลี่ยงการดื่มเครื่องดื่มแอลกอฮอล์ทุกชนิด</t>
        </is>
      </c>
      <c r="F167" s="32" t="inlineStr">
        <is>
          <t>หลีกเลี่ยงการรับประทานอาหารที่มีสารพิวรีนสูง เช่น สัตว์ปีก เครื่องในสัตว์ และยอดผัก</t>
        </is>
      </c>
      <c r="G167" s="32" t="inlineStr">
        <is>
          <t>ดื่มน้ำสะอาดในปริมาณที่เหมาะสมอย่างน้อย 2–3 ลิตรต่อวัน เพื่อช่วยขับกรดยูริกออกทางไต</t>
        </is>
      </c>
      <c r="H167" s="32" t="inlineStr">
        <is>
          <t>ถูกต้องทุกข้อที่กล่าวมา</t>
        </is>
      </c>
      <c r="I167" s="32" t="n">
        <v>5</v>
      </c>
      <c r="J167" s="32"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32" t="n"/>
      <c r="L167" s="32" t="inlineStr">
        <is>
          <t>Gout &amp; Hyperuricemia</t>
        </is>
      </c>
      <c r="M167" s="32" t="inlineStr">
        <is>
          <t>Clinic</t>
        </is>
      </c>
      <c r="N167" s="32" t="inlineStr">
        <is>
          <t>ข้อ 34 Mock Musculo RxCU84</t>
        </is>
      </c>
      <c r="O167" s="32" t="inlineStr">
        <is>
          <t>Mock</t>
        </is>
      </c>
      <c r="P167" s="32" t="inlineStr">
        <is>
          <t>Mock RxCU84</t>
        </is>
      </c>
    </row>
    <row r="168" ht="409.6" customHeight="1" s="49">
      <c r="A168" s="32" t="n">
        <v>166</v>
      </c>
      <c r="B168"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32" t="n"/>
      <c r="D168" s="32" t="inlineStr">
        <is>
          <t>เริ่ม allopurinol ทันที</t>
        </is>
      </c>
      <c r="E168" s="32" t="inlineStr">
        <is>
          <t>ให้ probenecid เร่งขับกรดยูริก</t>
        </is>
      </c>
      <c r="F168" s="32" t="inlineStr">
        <is>
          <t>ให้ colchicine/NSAIDs/steroid ยังไม่เริ่มยาลดกรดยูริก</t>
        </is>
      </c>
      <c r="G168" s="32" t="inlineStr">
        <is>
          <t>ให้ paracetamol เดี่ยว ๆ</t>
        </is>
      </c>
      <c r="H168" s="32" t="inlineStr">
        <is>
          <t>งดยาทุกชนิดรอหายเอง</t>
        </is>
      </c>
      <c r="I168" s="32" t="n">
        <v>3</v>
      </c>
      <c r="J168" s="32"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32" t="n"/>
      <c r="L168" s="32" t="inlineStr">
        <is>
          <t>Gout &amp; Hyperuricemia</t>
        </is>
      </c>
      <c r="M168" s="32" t="inlineStr">
        <is>
          <t>Clinic</t>
        </is>
      </c>
      <c r="N168" s="32" t="inlineStr">
        <is>
          <t>ข้อ 35 Mock Musculo RxCU84</t>
        </is>
      </c>
      <c r="O168" s="32" t="inlineStr">
        <is>
          <t>Mock</t>
        </is>
      </c>
      <c r="P168" s="32" t="inlineStr">
        <is>
          <t>Mock RxCU84</t>
        </is>
      </c>
    </row>
    <row r="169" ht="409.6" customHeight="1" s="49">
      <c r="A169" s="32" t="n">
        <v>167</v>
      </c>
      <c r="B169"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32" t="n"/>
      <c r="D169" s="32" t="inlineStr">
        <is>
          <t>0.6 mg วันละครั้งเท่านั้น</t>
        </is>
      </c>
      <c r="E169" s="32" t="inlineStr">
        <is>
          <t>1.0 mg แล้ว 0.5 mg ทุกชั่วโมงจนท้องเสีย</t>
        </is>
      </c>
      <c r="F169" s="32" t="inlineStr">
        <is>
          <t>2.4 mg ครั้งเดียว</t>
        </is>
      </c>
      <c r="G169" s="32" t="inlineStr">
        <is>
          <t>1.2 mg ทันที แล้ว 0.6 mg อีก 1 ชม. ต่อด้วย 0.5–0.6 mg ทุก 8–12 ชม.</t>
        </is>
      </c>
      <c r="H169" s="32" t="inlineStr">
        <is>
          <t>1.2 mg ทุก 2 ชม. รวม 6 ครั้ง</t>
        </is>
      </c>
      <c r="I169" s="32" t="n">
        <v>4</v>
      </c>
      <c r="J169" s="32"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32" t="n"/>
      <c r="L169" s="32" t="inlineStr">
        <is>
          <t>Gout &amp; Hyperuricemia</t>
        </is>
      </c>
      <c r="M169" s="32" t="inlineStr">
        <is>
          <t>Clinic</t>
        </is>
      </c>
      <c r="N169" s="32" t="inlineStr">
        <is>
          <t>ข้อ 36 Mock Musculo RxCU84</t>
        </is>
      </c>
      <c r="O169" s="32" t="inlineStr">
        <is>
          <t>Mock</t>
        </is>
      </c>
      <c r="P169" s="32" t="inlineStr">
        <is>
          <t>Mock RxCU84</t>
        </is>
      </c>
    </row>
    <row r="170" ht="409.6" customHeight="1" s="49">
      <c r="A170" s="32" t="n">
        <v>168</v>
      </c>
      <c r="B170"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32" t="n"/>
      <c r="D170" s="32" t="inlineStr">
        <is>
          <t>คง losartan ไว้เพราะช่วยขับกรดยูริก</t>
        </is>
      </c>
      <c r="E170" s="32" t="inlineStr">
        <is>
          <t>เปลี่ยน losartan เป็น hydrochlorothiazide</t>
        </is>
      </c>
      <c r="F170" s="32" t="inlineStr">
        <is>
          <t>เพิ่ม bisoprolol เพื่อลดกรดยูริก</t>
        </is>
      </c>
      <c r="G170" s="32" t="inlineStr">
        <is>
          <t>เพิ่ม low-dose aspirin</t>
        </is>
      </c>
      <c r="H170" s="32" t="inlineStr">
        <is>
          <t>หยุด losartan เพราะเพิ่มกรดยูริก</t>
        </is>
      </c>
      <c r="I170" s="32" t="n">
        <v>1</v>
      </c>
      <c r="J170" s="32"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32" t="n"/>
      <c r="L170" s="32" t="inlineStr">
        <is>
          <t>Gout &amp; Hyperuricemia</t>
        </is>
      </c>
      <c r="M170" s="32" t="inlineStr">
        <is>
          <t>Clinic</t>
        </is>
      </c>
      <c r="N170" s="32" t="inlineStr">
        <is>
          <t>ข้อ 37 Mock Musculo RxCU84</t>
        </is>
      </c>
      <c r="O170" s="32" t="inlineStr">
        <is>
          <t>Mock</t>
        </is>
      </c>
      <c r="P170" s="32" t="inlineStr">
        <is>
          <t>Mock RxCU84</t>
        </is>
      </c>
    </row>
    <row r="171" ht="409.6" customHeight="1" s="49">
      <c r="A171" s="32" t="n">
        <v>169</v>
      </c>
      <c r="B171"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32" t="n"/>
      <c r="D171" s="32" t="inlineStr">
        <is>
          <t>HLA-B15:02</t>
        </is>
      </c>
      <c r="E171" s="32" t="inlineStr">
        <is>
          <t>HLA-B58:01</t>
        </is>
      </c>
      <c r="F171" s="32" t="inlineStr">
        <is>
          <t>HLA-B57:01</t>
        </is>
      </c>
      <c r="G171" s="32" t="inlineStr">
        <is>
          <t>CYP2C9</t>
        </is>
      </c>
      <c r="H171" s="32" t="inlineStr">
        <is>
          <t>G6PD</t>
        </is>
      </c>
      <c r="I171" s="32" t="n">
        <v>2</v>
      </c>
      <c r="J171" s="32"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32" t="n"/>
      <c r="L171" s="32" t="inlineStr">
        <is>
          <t>Gout &amp; Hyperuricemia</t>
        </is>
      </c>
      <c r="M171" s="32" t="inlineStr">
        <is>
          <t>Clinic</t>
        </is>
      </c>
      <c r="N171" s="32" t="inlineStr">
        <is>
          <t>ข้อ 38 Mock Musculo RxCU84</t>
        </is>
      </c>
      <c r="O171" s="32" t="inlineStr">
        <is>
          <t>Mock</t>
        </is>
      </c>
      <c r="P171" s="32" t="inlineStr">
        <is>
          <t>Mock RxCU84</t>
        </is>
      </c>
    </row>
    <row r="172" ht="409.6" customHeight="1" s="49">
      <c r="A172" s="32" t="n">
        <v>170</v>
      </c>
      <c r="B172" s="32"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32" t="n"/>
      <c r="D172" s="32" t="inlineStr">
        <is>
          <t>น้อยกว่า 4 mg/dL</t>
        </is>
      </c>
      <c r="E172" s="32" t="inlineStr">
        <is>
          <t>น้อยกว่า 5 mg/dL</t>
        </is>
      </c>
      <c r="F172" s="32" t="inlineStr">
        <is>
          <t>น้อยกว่า 6 mg/dL</t>
        </is>
      </c>
      <c r="G172" s="32" t="inlineStr">
        <is>
          <t>น้อยกว่า 7 mg/dL</t>
        </is>
      </c>
      <c r="H172" s="32" t="inlineStr">
        <is>
          <t>น้อยกว่า 8 mg/dL</t>
        </is>
      </c>
      <c r="I172" s="32" t="n">
        <v>3</v>
      </c>
      <c r="J172" s="32"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32" t="n"/>
      <c r="L172" s="32" t="inlineStr">
        <is>
          <t>Gout &amp; Hyperuricemia</t>
        </is>
      </c>
      <c r="M172" s="32" t="inlineStr">
        <is>
          <t>Clinic</t>
        </is>
      </c>
      <c r="N172" s="32" t="inlineStr">
        <is>
          <t>ข้อ 39 Mock Musculo RxCU84</t>
        </is>
      </c>
      <c r="O172" s="32" t="inlineStr">
        <is>
          <t>Mock</t>
        </is>
      </c>
      <c r="P172" s="32" t="inlineStr">
        <is>
          <t>Mock RxCU84</t>
        </is>
      </c>
    </row>
    <row r="173" ht="409.6" customHeight="1" s="49">
      <c r="A173" s="32" t="n">
        <v>171</v>
      </c>
      <c r="B17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32" t="n"/>
      <c r="D173" s="32" t="inlineStr">
        <is>
          <t>Oral Paracetamol</t>
        </is>
      </c>
      <c r="E173" s="32" t="inlineStr">
        <is>
          <t>Topical NSAIDs</t>
        </is>
      </c>
      <c r="F173" s="32" t="inlineStr">
        <is>
          <t>Oral Glucosamine</t>
        </is>
      </c>
      <c r="G173" s="32" t="inlineStr">
        <is>
          <t>IA Steroid</t>
        </is>
      </c>
      <c r="H173" s="32" t="inlineStr">
        <is>
          <t>Tramadol</t>
        </is>
      </c>
      <c r="I173" s="32" t="n">
        <v>2</v>
      </c>
      <c r="J173" s="32"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32" t="n"/>
      <c r="L173" s="32" t="inlineStr">
        <is>
          <t>Osteoarthritis</t>
        </is>
      </c>
      <c r="M173" s="32" t="inlineStr">
        <is>
          <t>Clinic</t>
        </is>
      </c>
      <c r="N173" s="32" t="inlineStr">
        <is>
          <t>ข้อ 40 Mock Musculo RxCU84</t>
        </is>
      </c>
      <c r="O173" s="32" t="inlineStr">
        <is>
          <t>Mock</t>
        </is>
      </c>
      <c r="P173" s="32" t="inlineStr">
        <is>
          <t>Mock RxCU84</t>
        </is>
      </c>
    </row>
    <row r="174" ht="409.6" customHeight="1" s="49">
      <c r="A174" s="32" t="n">
        <v>172</v>
      </c>
      <c r="B17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32" t="n"/>
      <c r="D174" s="32" t="inlineStr">
        <is>
          <t>OA เป็น Autoimmune</t>
        </is>
      </c>
      <c r="E174" s="32" t="inlineStr">
        <is>
          <t>OA เกิดจากการสึกหรอของกระดูกอ่อน (Cartilage degradation)</t>
        </is>
      </c>
      <c r="F174" s="32" t="inlineStr">
        <is>
          <t>OA มี Systemic symptom</t>
        </is>
      </c>
      <c r="G174" s="32" t="inlineStr">
        <is>
          <t>OA ค่า ESR พุ่งสูง</t>
        </is>
      </c>
      <c r="H174" s="32" t="inlineStr">
        <is>
          <t>OA มักโดนข้อข้อมือ</t>
        </is>
      </c>
      <c r="I174" s="32" t="n">
        <v>2</v>
      </c>
      <c r="J174" s="32"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32" t="n"/>
      <c r="L174" s="32" t="inlineStr">
        <is>
          <t>Osteoarthritis</t>
        </is>
      </c>
      <c r="M174" s="32" t="inlineStr">
        <is>
          <t>Clinic</t>
        </is>
      </c>
      <c r="N174" s="32" t="inlineStr">
        <is>
          <t>ข้อ 41 Mock Musculo RxCU84</t>
        </is>
      </c>
      <c r="O174" s="32" t="inlineStr">
        <is>
          <t>Mock</t>
        </is>
      </c>
      <c r="P174" s="32" t="inlineStr">
        <is>
          <t>Mock RxCU84</t>
        </is>
      </c>
    </row>
    <row r="175" ht="409.6" customHeight="1" s="49">
      <c r="A175" s="32" t="n">
        <v>173</v>
      </c>
      <c r="B17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32" t="n"/>
      <c r="D175" s="32" t="inlineStr">
        <is>
          <t>ว่ายน้ำและลดน้ำหนัก</t>
        </is>
      </c>
      <c r="E175" s="32" t="inlineStr">
        <is>
          <t>วิ่งมาราธอน</t>
        </is>
      </c>
      <c r="F175" s="32" t="inlineStr">
        <is>
          <t>การฝังเข็ม</t>
        </is>
      </c>
      <c r="G175" s="32" t="inlineStr">
        <is>
          <t>การใส่สนับเข่าตลอดเวลา</t>
        </is>
      </c>
      <c r="H175" s="32" t="inlineStr">
        <is>
          <t>การทานคอลลาเจน</t>
        </is>
      </c>
      <c r="I175" s="32" t="n">
        <v>1</v>
      </c>
      <c r="J175" s="32"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32" t="n"/>
      <c r="L175" s="32" t="inlineStr">
        <is>
          <t>Osteoarthritis</t>
        </is>
      </c>
      <c r="M175" s="32" t="inlineStr">
        <is>
          <t>Clinic</t>
        </is>
      </c>
      <c r="N175" s="32" t="inlineStr">
        <is>
          <t>ข้อ 42 Mock Musculo RxCU84</t>
        </is>
      </c>
      <c r="O175" s="32" t="inlineStr">
        <is>
          <t>Mock</t>
        </is>
      </c>
      <c r="P175" s="32" t="inlineStr">
        <is>
          <t>Mock RxCU84</t>
        </is>
      </c>
    </row>
    <row r="176" ht="409.6" customHeight="1" s="49">
      <c r="A176" s="32" t="n">
        <v>174</v>
      </c>
      <c r="B17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32" t="n"/>
      <c r="D176" s="32" t="inlineStr">
        <is>
          <t>ข้อบวมแดง</t>
        </is>
      </c>
      <c r="E176" s="32" t="inlineStr">
        <is>
          <t>ข้อผิดรูปเบี้ยว</t>
        </is>
      </c>
      <c r="F176" s="32" t="inlineStr">
        <is>
          <t>เสียงดังกรอบแกรบขณะขยับข้อ</t>
        </is>
      </c>
      <c r="G176" s="32" t="inlineStr">
        <is>
          <t>การขยับข้อไม่ได้เลย</t>
        </is>
      </c>
      <c r="H176" s="32" t="inlineStr">
        <is>
          <t>กล้ามเนื้อลีบ</t>
        </is>
      </c>
      <c r="I176" s="32" t="n">
        <v>3</v>
      </c>
      <c r="J176" s="32"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32" t="n"/>
      <c r="L176" s="32" t="inlineStr">
        <is>
          <t>Osteoarthritis</t>
        </is>
      </c>
      <c r="M176" s="32" t="inlineStr">
        <is>
          <t>Clinic</t>
        </is>
      </c>
      <c r="N176" s="32" t="inlineStr">
        <is>
          <t>ข้อ 43 Mock Musculo RxCU84</t>
        </is>
      </c>
      <c r="O176" s="32" t="inlineStr">
        <is>
          <t>Mock</t>
        </is>
      </c>
      <c r="P176" s="32" t="inlineStr">
        <is>
          <t>Mock RxCU84</t>
        </is>
      </c>
    </row>
    <row r="177" ht="409.6" customHeight="1" s="49">
      <c r="A177" s="32" t="n">
        <v>175</v>
      </c>
      <c r="B17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32" t="n"/>
      <c r="D177" s="32" t="inlineStr">
        <is>
          <t>Piroxicam</t>
        </is>
      </c>
      <c r="E177" s="32" t="inlineStr">
        <is>
          <t>Ibuprofen dose สูง</t>
        </is>
      </c>
      <c r="F177" s="32" t="inlineStr">
        <is>
          <t>COX-2 inhibitor + PPI</t>
        </is>
      </c>
      <c r="G177" s="32" t="inlineStr">
        <is>
          <t>Indomethacin</t>
        </is>
      </c>
      <c r="H177" s="32" t="inlineStr">
        <is>
          <t>Naproxen เดี่ยวๆ</t>
        </is>
      </c>
      <c r="I177" s="32" t="n">
        <v>3</v>
      </c>
      <c r="J177" s="32"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32" t="n"/>
      <c r="L177" s="32" t="inlineStr">
        <is>
          <t>Osteoarthritis</t>
        </is>
      </c>
      <c r="M177" s="32" t="inlineStr">
        <is>
          <t>Clinic</t>
        </is>
      </c>
      <c r="N177" s="32" t="inlineStr">
        <is>
          <t>ข้อ 44 Mock Musculo RxCU84</t>
        </is>
      </c>
      <c r="O177" s="32" t="inlineStr">
        <is>
          <t>Mock</t>
        </is>
      </c>
      <c r="P177" s="32" t="inlineStr">
        <is>
          <t>Mock RxCU84</t>
        </is>
      </c>
    </row>
    <row r="178" ht="409.6" customHeight="1" s="49">
      <c r="A178" s="32" t="n">
        <v>176</v>
      </c>
      <c r="B178"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32" t="n"/>
      <c r="D178" s="32" t="inlineStr">
        <is>
          <t>ยับยั้ง COX</t>
        </is>
      </c>
      <c r="E178" s="32" t="inlineStr">
        <is>
          <t>Depletion ของ Substance P จากปลายประสาท</t>
        </is>
      </c>
      <c r="F178" s="32" t="inlineStr">
        <is>
          <t>ยับยั้ง Mu-receptor</t>
        </is>
      </c>
      <c r="G178" s="32" t="inlineStr">
        <is>
          <t>ขยายหลอดเลือดลดอักเสบ</t>
        </is>
      </c>
      <c r="H178" s="32" t="inlineStr">
        <is>
          <t>ให้ความเย็นชา</t>
        </is>
      </c>
      <c r="I178" s="32" t="n">
        <v>2</v>
      </c>
      <c r="J178" s="32"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32" t="n"/>
      <c r="L178" s="32" t="inlineStr">
        <is>
          <t>Osteoarthritis / Herbal Medicine</t>
        </is>
      </c>
      <c r="M178" s="32" t="inlineStr">
        <is>
          <t>Clinic</t>
        </is>
      </c>
      <c r="N178" s="32" t="inlineStr">
        <is>
          <t>ข้อ 45 Mock Musculo RxCU84</t>
        </is>
      </c>
      <c r="O178" s="32" t="inlineStr">
        <is>
          <t>Mock</t>
        </is>
      </c>
      <c r="P178" s="32" t="inlineStr">
        <is>
          <t>Mock RxCU84</t>
        </is>
      </c>
    </row>
    <row r="179" ht="409.6" customHeight="1" s="49">
      <c r="A179" s="32" t="n">
        <v>177</v>
      </c>
      <c r="B179"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32" t="n"/>
      <c r="D179" s="32" t="inlineStr">
        <is>
          <t>Hyaluronic acid และ Proteoglycan</t>
        </is>
      </c>
      <c r="E179" s="32" t="inlineStr">
        <is>
          <t>Calcium</t>
        </is>
      </c>
      <c r="F179" s="32" t="inlineStr">
        <is>
          <t>Vitamin D</t>
        </is>
      </c>
      <c r="G179" s="32" t="inlineStr">
        <is>
          <t>Uric acid</t>
        </is>
      </c>
      <c r="H179" s="32" t="inlineStr">
        <is>
          <t>Fibrin</t>
        </is>
      </c>
      <c r="I179" s="32" t="n">
        <v>1</v>
      </c>
      <c r="J179" s="32"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32" t="n"/>
      <c r="L179" s="32" t="inlineStr">
        <is>
          <t>Osteoarthritis</t>
        </is>
      </c>
      <c r="M179" s="32" t="inlineStr">
        <is>
          <t>Clinic</t>
        </is>
      </c>
      <c r="N179" s="32" t="inlineStr">
        <is>
          <t>ข้อ 46 Mock Musculo RxCU84</t>
        </is>
      </c>
      <c r="O179" s="32" t="inlineStr">
        <is>
          <t>Mock</t>
        </is>
      </c>
      <c r="P179" s="32" t="inlineStr">
        <is>
          <t>Mock RxCU84</t>
        </is>
      </c>
    </row>
    <row r="180" ht="409.6" customHeight="1" s="49">
      <c r="A180" s="32" t="n">
        <v>178</v>
      </c>
      <c r="B180"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32" t="n"/>
      <c r="D180" s="32" t="inlineStr">
        <is>
          <t>ห้ามฉีดเกินปีละ 1 ครั้ง</t>
        </is>
      </c>
      <c r="E180" s="32" t="inlineStr">
        <is>
          <t>ให้ผลลดปวดเพียงระยะสั้น (Short-term) ไม่ชะลอโรค</t>
        </is>
      </c>
      <c r="F180" s="32" t="inlineStr">
        <is>
          <t>ทำให้กระดูกงอก</t>
        </is>
      </c>
      <c r="G180" s="32" t="inlineStr">
        <is>
          <t>ลดปวดถาวร</t>
        </is>
      </c>
      <c r="H180" s="32" t="inlineStr">
        <is>
          <t>ใช้เป็น First-line เสมอ</t>
        </is>
      </c>
      <c r="I180" s="32" t="n">
        <v>2</v>
      </c>
      <c r="J180" s="32"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32" t="n"/>
      <c r="L180" s="32" t="inlineStr">
        <is>
          <t>Osteoarthritis</t>
        </is>
      </c>
      <c r="M180" s="32" t="inlineStr">
        <is>
          <t>Clinic</t>
        </is>
      </c>
      <c r="N180" s="32" t="inlineStr">
        <is>
          <t>ข้อ 47 Mock Musculo RxCU84</t>
        </is>
      </c>
      <c r="O180" s="32" t="inlineStr">
        <is>
          <t>Mock</t>
        </is>
      </c>
      <c r="P180" s="32" t="inlineStr">
        <is>
          <t>Mock RxCU84</t>
        </is>
      </c>
    </row>
    <row r="181" ht="409.6" customHeight="1" s="49">
      <c r="A181" s="32" t="n">
        <v>179</v>
      </c>
      <c r="B181"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32" t="n"/>
      <c r="D181" s="32" t="inlineStr">
        <is>
          <t>Duloxetine หรือ Tramadol</t>
        </is>
      </c>
      <c r="E181" s="32" t="inlineStr">
        <is>
          <t>Colchicine</t>
        </is>
      </c>
      <c r="F181" s="32" t="inlineStr">
        <is>
          <t>Allopurinol</t>
        </is>
      </c>
      <c r="G181" s="32" t="inlineStr">
        <is>
          <t>Methotrexate</t>
        </is>
      </c>
      <c r="H181" s="32" t="inlineStr">
        <is>
          <t>Prednisolone</t>
        </is>
      </c>
      <c r="I181" s="32" t="n">
        <v>1</v>
      </c>
      <c r="J181" s="32"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32" t="n"/>
      <c r="L181" s="32" t="inlineStr">
        <is>
          <t>Osteoarthritis</t>
        </is>
      </c>
      <c r="M181" s="32" t="inlineStr">
        <is>
          <t>Clinic</t>
        </is>
      </c>
      <c r="N181" s="32" t="inlineStr">
        <is>
          <t>ข้อ 48 Mock Musculo RxCU84</t>
        </is>
      </c>
      <c r="O181" s="32" t="inlineStr">
        <is>
          <t>Mock</t>
        </is>
      </c>
      <c r="P181" s="32" t="inlineStr">
        <is>
          <t>Mock RxCU84</t>
        </is>
      </c>
    </row>
    <row r="182" ht="409.6" customHeight="1" s="49">
      <c r="A182" s="32" t="n">
        <v>180</v>
      </c>
      <c r="B182"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32" t="n"/>
      <c r="D182" s="32" t="inlineStr">
        <is>
          <t>แนะนำอย่างยิ่งให้ใช้ทุกราย</t>
        </is>
      </c>
      <c r="E182" s="32" t="inlineStr">
        <is>
          <t>ไม่แนะนำให้ใช้ (Strongly against) หรือแนะนำอย่างมีเงื่อนไขว่าอาจใช้ใน OA Knee</t>
        </is>
      </c>
      <c r="F182" s="32" t="inlineStr">
        <is>
          <t>แทนที่ NSAID ได้เลย</t>
        </is>
      </c>
      <c r="G182" s="32" t="inlineStr">
        <is>
          <t>ใช้รักษา RA ได้</t>
        </is>
      </c>
      <c r="H182" s="32" t="inlineStr">
        <is>
          <t>ใช้ป้องกันกระดูกหัก</t>
        </is>
      </c>
      <c r="I182" s="32" t="n">
        <v>2</v>
      </c>
      <c r="J182" s="32"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32" t="n"/>
      <c r="L182" s="32" t="inlineStr">
        <is>
          <t>Osteoarthritis</t>
        </is>
      </c>
      <c r="M182" s="32" t="inlineStr">
        <is>
          <t>Clinic</t>
        </is>
      </c>
      <c r="N182" s="32" t="inlineStr">
        <is>
          <t>ข้อ 49 Mock Musculo RxCU84</t>
        </is>
      </c>
      <c r="O182" s="32" t="inlineStr">
        <is>
          <t>Mock</t>
        </is>
      </c>
      <c r="P182" s="32" t="inlineStr">
        <is>
          <t>Mock RxCU84</t>
        </is>
      </c>
    </row>
    <row r="183" ht="409.6" customHeight="1" s="49">
      <c r="A183" s="32" t="n">
        <v>181</v>
      </c>
      <c r="B183"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32" t="n"/>
      <c r="D183" s="32" t="inlineStr">
        <is>
          <t>Paracetamol</t>
        </is>
      </c>
      <c r="E183" s="32" t="inlineStr">
        <is>
          <t>Tramadol</t>
        </is>
      </c>
      <c r="F183" s="32" t="inlineStr">
        <is>
          <t>Topical NSAIDs</t>
        </is>
      </c>
      <c r="G183" s="32" t="inlineStr">
        <is>
          <t>Intra-articular hyaluronic acid</t>
        </is>
      </c>
      <c r="H183" s="32" t="inlineStr">
        <is>
          <t>Glucosamine</t>
        </is>
      </c>
      <c r="I183" s="32" t="n">
        <v>3</v>
      </c>
      <c r="J183" s="32"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32" t="n"/>
      <c r="L183" s="32" t="inlineStr">
        <is>
          <t>Osteoarthritis</t>
        </is>
      </c>
      <c r="M183" s="32" t="inlineStr">
        <is>
          <t>Clinic</t>
        </is>
      </c>
      <c r="N183" s="32" t="inlineStr">
        <is>
          <t>ข้อ 50 Mock Musculo RxCU84</t>
        </is>
      </c>
      <c r="O183" s="32" t="inlineStr">
        <is>
          <t>Mock</t>
        </is>
      </c>
      <c r="P183" s="32" t="inlineStr">
        <is>
          <t>Mock RxCU84</t>
        </is>
      </c>
    </row>
    <row r="184" ht="409.6" customHeight="1" s="49">
      <c r="A184" s="32" t="n">
        <v>182</v>
      </c>
      <c r="B184"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32" t="n"/>
      <c r="D184" s="32" t="inlineStr">
        <is>
          <t>Naloxone</t>
        </is>
      </c>
      <c r="E184" s="32" t="inlineStr">
        <is>
          <t>Flumazenil</t>
        </is>
      </c>
      <c r="F184" s="32" t="inlineStr">
        <is>
          <t>Vitamin K</t>
        </is>
      </c>
      <c r="G184" s="32" t="inlineStr">
        <is>
          <t>N-acetylcysteine</t>
        </is>
      </c>
      <c r="H184" s="32" t="inlineStr">
        <is>
          <t>Leucovorin</t>
        </is>
      </c>
      <c r="I184" s="32" t="n">
        <v>4</v>
      </c>
      <c r="J184" s="32"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32" t="n"/>
      <c r="L184" s="32" t="inlineStr">
        <is>
          <t>Osteoarthritis</t>
        </is>
      </c>
      <c r="M184" s="32" t="inlineStr">
        <is>
          <t>Clinic</t>
        </is>
      </c>
      <c r="N184" s="32" t="inlineStr">
        <is>
          <t>ข้อ 51 Mock Musculo RxCU84</t>
        </is>
      </c>
      <c r="O184" s="32" t="inlineStr">
        <is>
          <t>Mock</t>
        </is>
      </c>
      <c r="P184" s="32" t="inlineStr">
        <is>
          <t>Mock RxCU84</t>
        </is>
      </c>
    </row>
    <row r="185" ht="409.6" customHeight="1" s="49">
      <c r="A185" s="32" t="n">
        <v>183</v>
      </c>
      <c r="B185"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32" t="n"/>
      <c r="D185" s="32" t="inlineStr">
        <is>
          <t>Duloxetine</t>
        </is>
      </c>
      <c r="E185" s="32" t="inlineStr">
        <is>
          <t>Colchicine</t>
        </is>
      </c>
      <c r="F185" s="32" t="inlineStr">
        <is>
          <t>Allopurinol</t>
        </is>
      </c>
      <c r="G185" s="32" t="inlineStr">
        <is>
          <t>Prednisolone ระยะยาว</t>
        </is>
      </c>
      <c r="H185" s="32" t="inlineStr">
        <is>
          <t>Aspirin ขนาดสูง</t>
        </is>
      </c>
      <c r="I185" s="32" t="n">
        <v>1</v>
      </c>
      <c r="J185" s="32"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32" t="n"/>
      <c r="L185" s="32" t="inlineStr">
        <is>
          <t>Osteoarthritis</t>
        </is>
      </c>
      <c r="M185" s="32" t="inlineStr">
        <is>
          <t>Clinic</t>
        </is>
      </c>
      <c r="N185" s="32" t="inlineStr">
        <is>
          <t>ข้อ 52 Mock Musculo RxCU84</t>
        </is>
      </c>
      <c r="O185" s="32" t="inlineStr">
        <is>
          <t>Mock</t>
        </is>
      </c>
      <c r="P185" s="32" t="inlineStr">
        <is>
          <t>Mock RxCU84</t>
        </is>
      </c>
    </row>
    <row r="186" ht="409.6" customHeight="1" s="49">
      <c r="A186" s="32" t="n">
        <v>184</v>
      </c>
      <c r="B186"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32" t="n"/>
      <c r="D186" s="32" t="inlineStr">
        <is>
          <t>ยับยั้งเอนไซม์ cyclooxygenase</t>
        </is>
      </c>
      <c r="E186" s="32" t="inlineStr">
        <is>
          <t>กระตุ้น TRPV1 ทำให้ substance P พร่องลง</t>
        </is>
      </c>
      <c r="F186" s="32" t="inlineStr">
        <is>
          <t>ต้านตัวรับ μ-opioid</t>
        </is>
      </c>
      <c r="G186" s="32" t="inlineStr">
        <is>
          <t>ยับยั้ง xanthine oxidase</t>
        </is>
      </c>
      <c r="H186" s="32" t="inlineStr">
        <is>
          <t>ยับยั้งการเก็บกลับ serotonin</t>
        </is>
      </c>
      <c r="I186" s="32" t="n">
        <v>2</v>
      </c>
      <c r="J186" s="32"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32" t="n"/>
      <c r="L186" s="32" t="inlineStr">
        <is>
          <t>Osteoarthritis / Herbal Medicine</t>
        </is>
      </c>
      <c r="M186" s="32" t="inlineStr">
        <is>
          <t>Clinic</t>
        </is>
      </c>
      <c r="N186" s="32" t="inlineStr">
        <is>
          <t>ข้อ 53 Mock Musculo RxCU84</t>
        </is>
      </c>
      <c r="O186" s="32" t="inlineStr">
        <is>
          <t>Mock</t>
        </is>
      </c>
      <c r="P186" s="32" t="inlineStr">
        <is>
          <t>Mock RxCU84</t>
        </is>
      </c>
    </row>
    <row r="187" ht="409.6" customHeight="1" s="49">
      <c r="A187" s="32" t="n">
        <v>185</v>
      </c>
      <c r="B187" s="32"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32" t="n"/>
      <c r="D187" s="32" t="inlineStr">
        <is>
          <t>แนะนำอย่างยิ่งให้ใช้ทุกราย</t>
        </is>
      </c>
      <c r="E187" s="32" t="inlineStr">
        <is>
          <t>ใช้แทน NSAIDs ได้</t>
        </is>
      </c>
      <c r="F187" s="32" t="inlineStr">
        <is>
          <t>ใช้รักษา RA</t>
        </is>
      </c>
      <c r="G187" s="32" t="inlineStr">
        <is>
          <t>ใช้ป้องกันกระดูกหัก</t>
        </is>
      </c>
      <c r="H187" s="32" t="inlineStr">
        <is>
          <t>ไม่แนะนำให้ใช้</t>
        </is>
      </c>
      <c r="I187" s="32" t="n">
        <v>5</v>
      </c>
      <c r="J187" s="32"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32" t="n"/>
      <c r="L187" s="32" t="inlineStr">
        <is>
          <t>Osteoarthritis</t>
        </is>
      </c>
      <c r="M187" s="32" t="inlineStr">
        <is>
          <t>Clinic</t>
        </is>
      </c>
      <c r="N187" s="32" t="inlineStr">
        <is>
          <t>ข้อ 54 Mock Musculo RxCU84</t>
        </is>
      </c>
      <c r="O187" s="32" t="inlineStr">
        <is>
          <t>Mock</t>
        </is>
      </c>
      <c r="P187" s="32" t="inlineStr">
        <is>
          <t>Mock RxCU84</t>
        </is>
      </c>
    </row>
    <row r="188" ht="409.6" customHeight="1" s="49">
      <c r="A188" s="32" t="n">
        <v>186</v>
      </c>
      <c r="B18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32" t="n"/>
      <c r="D188" s="32" t="inlineStr">
        <is>
          <t>Alendronate</t>
        </is>
      </c>
      <c r="E188" s="32" t="inlineStr">
        <is>
          <t>Raloxifene</t>
        </is>
      </c>
      <c r="F188" s="32" t="inlineStr">
        <is>
          <t>Estrogen</t>
        </is>
      </c>
      <c r="G188" s="32" t="inlineStr">
        <is>
          <t>Calcitonin</t>
        </is>
      </c>
      <c r="H188" s="32" t="inlineStr">
        <is>
          <t>Calcium</t>
        </is>
      </c>
      <c r="I188" s="32" t="n">
        <v>1</v>
      </c>
      <c r="J188" s="32"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32" t="n"/>
      <c r="L188" s="32" t="inlineStr">
        <is>
          <t>Osteoporosis</t>
        </is>
      </c>
      <c r="M188" s="32" t="inlineStr">
        <is>
          <t>Clinic</t>
        </is>
      </c>
      <c r="N188" s="32" t="inlineStr">
        <is>
          <t>ข้อ 55 Mock Musculo RxCU84</t>
        </is>
      </c>
      <c r="O188" s="32" t="inlineStr">
        <is>
          <t>Mock</t>
        </is>
      </c>
      <c r="P188" s="32" t="inlineStr">
        <is>
          <t>Mock RxCU84</t>
        </is>
      </c>
    </row>
    <row r="189" ht="409.6" customHeight="1" s="49">
      <c r="A189" s="32" t="n">
        <v>187</v>
      </c>
      <c r="B18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32" t="n"/>
      <c r="D189" s="32" t="inlineStr">
        <is>
          <t>กินหลังอาหารทันที</t>
        </is>
      </c>
      <c r="E189" s="32" t="inlineStr">
        <is>
          <t>กินก่อนนอน</t>
        </is>
      </c>
      <c r="F189" s="32" t="inlineStr">
        <is>
          <t>กินตอนเช้าขณะท้องว่าง ดื่มน้ำเปล่าเต็มแก้ว และตั้งตรง 30 นาที</t>
        </is>
      </c>
      <c r="G189" s="32" t="inlineStr">
        <is>
          <t>เคี้ยวให้ละเอียดก่อนกลืน</t>
        </is>
      </c>
      <c r="H189" s="32" t="inlineStr">
        <is>
          <t>กินพร้อมนม</t>
        </is>
      </c>
      <c r="I189" s="32" t="n">
        <v>3</v>
      </c>
      <c r="J189" s="32"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32" t="n"/>
      <c r="L189" s="32" t="inlineStr">
        <is>
          <t>Osteoporosis</t>
        </is>
      </c>
      <c r="M189" s="32" t="inlineStr">
        <is>
          <t>Clinic</t>
        </is>
      </c>
      <c r="N189" s="32" t="inlineStr">
        <is>
          <t>ข้อ 56 Mock Musculo RxCU84</t>
        </is>
      </c>
      <c r="O189" s="32" t="inlineStr">
        <is>
          <t>Mock</t>
        </is>
      </c>
      <c r="P189" s="32" t="inlineStr">
        <is>
          <t>Mock RxCU84</t>
        </is>
      </c>
    </row>
    <row r="190" ht="409.6" customHeight="1" s="49">
      <c r="A190" s="32" t="n">
        <v>188</v>
      </c>
      <c r="B19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32" t="n"/>
      <c r="D190" s="32" t="inlineStr">
        <is>
          <t>Ca 500 mg, Vit D 400 IU</t>
        </is>
      </c>
      <c r="E190" s="32" t="inlineStr">
        <is>
          <t>Ca 1200 mg, Vit D 800-1000 IU</t>
        </is>
      </c>
      <c r="F190" s="32" t="inlineStr">
        <is>
          <t>Ca 2000 mg, Vit D 2000 IU</t>
        </is>
      </c>
      <c r="G190" s="32" t="inlineStr">
        <is>
          <t>Ca 800 mg, Vit D 400 IU</t>
        </is>
      </c>
      <c r="H190" s="32" t="inlineStr">
        <is>
          <t>Ca 1500 mg, Vit D 400 IU</t>
        </is>
      </c>
      <c r="I190" s="32" t="n">
        <v>2</v>
      </c>
      <c r="J190" s="32"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32" t="n"/>
      <c r="L190" s="32" t="inlineStr">
        <is>
          <t>Osteoporosis</t>
        </is>
      </c>
      <c r="M190" s="32" t="inlineStr">
        <is>
          <t>Clinic</t>
        </is>
      </c>
      <c r="N190" s="32" t="inlineStr">
        <is>
          <t>ข้อ 57 Mock Musculo RxCU84</t>
        </is>
      </c>
      <c r="O190" s="32" t="inlineStr">
        <is>
          <t>Mock</t>
        </is>
      </c>
      <c r="P190" s="32" t="inlineStr">
        <is>
          <t>Mock RxCU84</t>
        </is>
      </c>
    </row>
    <row r="191" ht="409.6" customHeight="1" s="49">
      <c r="A191" s="32" t="n">
        <v>189</v>
      </c>
      <c r="B19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32" t="n"/>
      <c r="D191" s="32" t="inlineStr">
        <is>
          <t>กระตุ้น Osteoblast</t>
        </is>
      </c>
      <c r="E191" s="32" t="inlineStr">
        <is>
          <t>ยับยั้ง RANKL</t>
        </is>
      </c>
      <c r="F191" s="32" t="inlineStr">
        <is>
          <t>ยับยั้งการทำงานของ Osteoclast ชักนำให้เกิด Apoptosis</t>
        </is>
      </c>
      <c r="G191" s="32" t="inlineStr">
        <is>
          <t>เป็นฮอร์โมนทดแทน</t>
        </is>
      </c>
      <c r="H191" s="32" t="inlineStr">
        <is>
          <t>จับกับแคลเซียมในลำไส้ เฉลย</t>
        </is>
      </c>
      <c r="I191" s="32" t="n">
        <v>3</v>
      </c>
      <c r="J191" s="32"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32" t="n"/>
      <c r="L191" s="32" t="inlineStr">
        <is>
          <t>Osteoporosis</t>
        </is>
      </c>
      <c r="M191" s="32" t="inlineStr">
        <is>
          <t>Clinic</t>
        </is>
      </c>
      <c r="N191" s="32" t="inlineStr">
        <is>
          <t>ข้อ 58 Mock Musculo RxCU84</t>
        </is>
      </c>
      <c r="O191" s="32" t="inlineStr">
        <is>
          <t>Mock</t>
        </is>
      </c>
      <c r="P191" s="32" t="inlineStr">
        <is>
          <t>Mock RxCU84</t>
        </is>
      </c>
    </row>
    <row r="192" ht="409.6" customHeight="1" s="49">
      <c r="A192" s="32" t="n">
        <v>190</v>
      </c>
      <c r="B19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32" t="n"/>
      <c r="D192" s="32" t="inlineStr">
        <is>
          <t>ยับยั้ง Osteoclast โดยตรง</t>
        </is>
      </c>
      <c r="E192" s="32" t="inlineStr">
        <is>
          <t>เป็น Monoclonal antibody ต่อ RANKL</t>
        </is>
      </c>
      <c r="F192" s="32" t="inlineStr">
        <is>
          <t>กระตุ้น PTH receptor</t>
        </is>
      </c>
      <c r="G192" s="32" t="inlineStr">
        <is>
          <t>SERM</t>
        </is>
      </c>
      <c r="H192" s="32" t="inlineStr">
        <is>
          <t>แคลเซียมสังเคราะห์</t>
        </is>
      </c>
      <c r="I192" s="32" t="n">
        <v>2</v>
      </c>
      <c r="J192" s="32"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32" t="n"/>
      <c r="L192" s="32" t="inlineStr">
        <is>
          <t>Osteoporosis</t>
        </is>
      </c>
      <c r="M192" s="32" t="inlineStr">
        <is>
          <t>Clinic</t>
        </is>
      </c>
      <c r="N192" s="32" t="inlineStr">
        <is>
          <t>ข้อ 59 Mock Musculo RxCU84</t>
        </is>
      </c>
      <c r="O192" s="32" t="inlineStr">
        <is>
          <t>Mock</t>
        </is>
      </c>
      <c r="P192" s="32" t="inlineStr">
        <is>
          <t>Mock RxCU84</t>
        </is>
      </c>
    </row>
    <row r="193" ht="409.6" customHeight="1" s="49">
      <c r="A193" s="32" t="n">
        <v>191</v>
      </c>
      <c r="B193"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32" t="n"/>
      <c r="D193" s="32" t="inlineStr">
        <is>
          <t>ผู้ป่วยมีภาวะความดันสูง</t>
        </is>
      </c>
      <c r="E193" s="32" t="inlineStr">
        <is>
          <t>ผู้ป่วยมีประวัติมะเร็ง (NSCLC) อาจเสี่ยงต่อ Osteosarcoma หรือ Bone mets</t>
        </is>
      </c>
      <c r="F193" s="32" t="inlineStr">
        <is>
          <t>ผู้ป่วยเป็นเบาหวาน</t>
        </is>
      </c>
      <c r="G193" s="32" t="inlineStr">
        <is>
          <t>ผู้ป่วยไม่มีกระดูกหัก</t>
        </is>
      </c>
      <c r="H193" s="32" t="inlineStr">
        <is>
          <t>ยาราคาแพง</t>
        </is>
      </c>
      <c r="I193" s="32" t="n">
        <v>2</v>
      </c>
      <c r="J193" s="32"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32" t="n"/>
      <c r="L193" s="32" t="inlineStr">
        <is>
          <t>Osteoporosis</t>
        </is>
      </c>
      <c r="M193" s="32" t="inlineStr">
        <is>
          <t>Clinic</t>
        </is>
      </c>
      <c r="N193" s="32" t="inlineStr">
        <is>
          <t>ข้อ 60 Mock Musculo RxCU84</t>
        </is>
      </c>
      <c r="O193" s="32" t="inlineStr">
        <is>
          <t>Mock</t>
        </is>
      </c>
      <c r="P193" s="32" t="inlineStr">
        <is>
          <t>Mock RxCU84</t>
        </is>
      </c>
    </row>
    <row r="194" ht="409.6" customHeight="1" s="49">
      <c r="A194" s="32" t="n">
        <v>192</v>
      </c>
      <c r="B194"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32" t="n"/>
      <c r="D194" s="32" t="inlineStr">
        <is>
          <t>ป้องกันได้เฉพาะ Vertebral fracture และมีประวัติมะเร็ง/อาจเสี่ยง VTE</t>
        </is>
      </c>
      <c r="E194" s="32" t="inlineStr">
        <is>
          <t>ทำให้มวลกระดูกลดลง</t>
        </is>
      </c>
      <c r="F194" s="32" t="inlineStr">
        <is>
          <t>ระคายเคืองกระเพาะอาหาร</t>
        </is>
      </c>
      <c r="G194" s="32" t="inlineStr">
        <is>
          <t>ต้องฉีดเข้าเส้น</t>
        </is>
      </c>
      <c r="H194" s="32" t="inlineStr">
        <is>
          <t>ห้ามใช้ในคนแก่</t>
        </is>
      </c>
      <c r="I194" s="32" t="n">
        <v>1</v>
      </c>
      <c r="J194" s="32"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32" t="n"/>
      <c r="L194" s="32" t="inlineStr">
        <is>
          <t>Osteoporosis</t>
        </is>
      </c>
      <c r="M194" s="32" t="inlineStr">
        <is>
          <t>Clinic</t>
        </is>
      </c>
      <c r="N194" s="32" t="inlineStr">
        <is>
          <t>ข้อ 61 Mock Musculo RxCU84</t>
        </is>
      </c>
      <c r="O194" s="32" t="inlineStr">
        <is>
          <t>Mock</t>
        </is>
      </c>
      <c r="P194" s="32" t="inlineStr">
        <is>
          <t>Mock RxCU84</t>
        </is>
      </c>
    </row>
    <row r="195" ht="409.6" customHeight="1" s="49">
      <c r="A195" s="32" t="n">
        <v>193</v>
      </c>
      <c r="B195"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32" t="n"/>
      <c r="D195" s="32" t="inlineStr">
        <is>
          <t>1 ปี</t>
        </is>
      </c>
      <c r="E195" s="32" t="inlineStr">
        <is>
          <t>3-5 ปี</t>
        </is>
      </c>
      <c r="F195" s="32" t="inlineStr">
        <is>
          <t>10 ปี</t>
        </is>
      </c>
      <c r="G195" s="32" t="inlineStr">
        <is>
          <t>ตลอดชีวิต</t>
        </is>
      </c>
      <c r="H195" s="32" t="inlineStr">
        <is>
          <t>6 เดือน</t>
        </is>
      </c>
      <c r="I195" s="32" t="n">
        <v>2</v>
      </c>
      <c r="J195" s="32"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32" t="n"/>
      <c r="L195" s="32" t="inlineStr">
        <is>
          <t>Osteoporosis</t>
        </is>
      </c>
      <c r="M195" s="32" t="inlineStr">
        <is>
          <t>Clinic</t>
        </is>
      </c>
      <c r="N195" s="32" t="inlineStr">
        <is>
          <t>ข้อ 62 Mock Musculo RxCU84</t>
        </is>
      </c>
      <c r="O195" s="32" t="inlineStr">
        <is>
          <t>Mock</t>
        </is>
      </c>
      <c r="P195" s="32" t="inlineStr">
        <is>
          <t>Mock RxCU84</t>
        </is>
      </c>
    </row>
    <row r="196" ht="409.6" customHeight="1" s="49">
      <c r="A196" s="32" t="n">
        <v>194</v>
      </c>
      <c r="B196"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32" t="n"/>
      <c r="D196" s="32" t="inlineStr">
        <is>
          <t>T-score ≤ -1.0</t>
        </is>
      </c>
      <c r="E196" s="32" t="inlineStr">
        <is>
          <t>T-score ≤ -2.0</t>
        </is>
      </c>
      <c r="F196" s="32" t="inlineStr">
        <is>
          <t>T-score ≤ -2.5</t>
        </is>
      </c>
      <c r="G196" s="32" t="inlineStr">
        <is>
          <t>T-score &gt; -1.0</t>
        </is>
      </c>
      <c r="H196" s="32" t="inlineStr">
        <is>
          <t>T-score = 0</t>
        </is>
      </c>
      <c r="I196" s="32" t="n">
        <v>3</v>
      </c>
      <c r="J196" s="32"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32" t="n"/>
      <c r="L196" s="32" t="inlineStr">
        <is>
          <t>Osteoporosis</t>
        </is>
      </c>
      <c r="M196" s="32" t="inlineStr">
        <is>
          <t>Clinic</t>
        </is>
      </c>
      <c r="N196" s="32" t="inlineStr">
        <is>
          <t>ข้อ 63 Mock Musculo RxCU84</t>
        </is>
      </c>
      <c r="O196" s="32" t="inlineStr">
        <is>
          <t>Mock</t>
        </is>
      </c>
      <c r="P196" s="32" t="inlineStr">
        <is>
          <t>Mock RxCU84</t>
        </is>
      </c>
    </row>
    <row r="197" ht="409.6" customHeight="1" s="49">
      <c r="A197" s="32" t="n">
        <v>195</v>
      </c>
      <c r="B197"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32" t="n"/>
      <c r="D197" s="32" t="inlineStr">
        <is>
          <t>SJS/TEN</t>
        </is>
      </c>
      <c r="E197" s="32" t="inlineStr">
        <is>
          <t>Osteonecrosis of the jaw (ONJ) และ Atypical femur fracture (AFF)</t>
        </is>
      </c>
      <c r="F197" s="32" t="inlineStr">
        <is>
          <t>รังไข่ฝ่อ</t>
        </is>
      </c>
      <c r="G197" s="32" t="inlineStr">
        <is>
          <t>เลือดออกในสมอง</t>
        </is>
      </c>
      <c r="H197" s="32" t="inlineStr">
        <is>
          <t>ไตวายเฉียบพลัน</t>
        </is>
      </c>
      <c r="I197" s="32" t="n">
        <v>2</v>
      </c>
      <c r="J197" s="32"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32" t="n"/>
      <c r="L197" s="32" t="inlineStr">
        <is>
          <t>Osteoporosis</t>
        </is>
      </c>
      <c r="M197" s="32" t="inlineStr">
        <is>
          <t>Clinic</t>
        </is>
      </c>
      <c r="N197" s="32" t="inlineStr">
        <is>
          <t>ข้อ 64 Mock Musculo RxCU84</t>
        </is>
      </c>
      <c r="O197" s="32" t="inlineStr">
        <is>
          <t>Mock</t>
        </is>
      </c>
      <c r="P197" s="32" t="inlineStr">
        <is>
          <t>Mock RxCU84</t>
        </is>
      </c>
    </row>
    <row r="198" ht="409.6" customHeight="1" s="49">
      <c r="A198" s="32" t="n">
        <v>196</v>
      </c>
      <c r="B198"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32" t="n"/>
      <c r="D198" s="32" t="inlineStr">
        <is>
          <t>Raloxifene</t>
        </is>
      </c>
      <c r="E198" s="32" t="inlineStr">
        <is>
          <t>Alendronate</t>
        </is>
      </c>
      <c r="F198" s="32" t="inlineStr">
        <is>
          <t>Calcium เดี่ยว ๆ</t>
        </is>
      </c>
      <c r="G198" s="32" t="inlineStr">
        <is>
          <t>Estrogen</t>
        </is>
      </c>
      <c r="H198" s="32" t="inlineStr">
        <is>
          <t>Teriparatide</t>
        </is>
      </c>
      <c r="I198" s="32" t="n">
        <v>2</v>
      </c>
      <c r="J198" s="32"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32" t="n"/>
      <c r="L198" s="32" t="inlineStr">
        <is>
          <t>Osteoporosis</t>
        </is>
      </c>
      <c r="M198" s="32" t="inlineStr">
        <is>
          <t>Clinic</t>
        </is>
      </c>
      <c r="N198" s="32" t="inlineStr">
        <is>
          <t>ข้อ 65 Mock Musculo RxCU84</t>
        </is>
      </c>
      <c r="O198" s="32" t="inlineStr">
        <is>
          <t>Mock</t>
        </is>
      </c>
      <c r="P198" s="32" t="inlineStr">
        <is>
          <t>Mock RxCU84</t>
        </is>
      </c>
    </row>
    <row r="199" ht="409.6" customHeight="1" s="49">
      <c r="A199" s="32" t="n">
        <v>197</v>
      </c>
      <c r="B199"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32" t="n"/>
      <c r="D199" s="32" t="inlineStr">
        <is>
          <t>มีประวัติมะเร็ง เสี่ยง osteosarcoma</t>
        </is>
      </c>
      <c r="E199" s="32" t="inlineStr">
        <is>
          <t>ผู้ป่วยเป็นเบาหวาน</t>
        </is>
      </c>
      <c r="F199" s="32" t="inlineStr">
        <is>
          <t>ยาราคาถูก</t>
        </is>
      </c>
      <c r="G199" s="32" t="inlineStr">
        <is>
          <t>การทำงานของไตปกติ</t>
        </is>
      </c>
      <c r="H199" s="32" t="inlineStr">
        <is>
          <t>ไม่มีกระดูกหัก</t>
        </is>
      </c>
      <c r="I199" s="32" t="n">
        <v>1</v>
      </c>
      <c r="J199" s="32"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32" t="n"/>
      <c r="L199" s="32" t="inlineStr">
        <is>
          <t>Osteoporosis</t>
        </is>
      </c>
      <c r="M199" s="32" t="inlineStr">
        <is>
          <t>Clinic</t>
        </is>
      </c>
      <c r="N199" s="32" t="inlineStr">
        <is>
          <t>ข้อ 66 Mock Musculo RxCU84</t>
        </is>
      </c>
      <c r="O199" s="32" t="inlineStr">
        <is>
          <t>Mock</t>
        </is>
      </c>
      <c r="P199" s="32" t="inlineStr">
        <is>
          <t>Mock RxCU84</t>
        </is>
      </c>
    </row>
    <row r="200" ht="409.6" customHeight="1" s="49">
      <c r="A200" s="32" t="n">
        <v>198</v>
      </c>
      <c r="B200"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32" t="n"/>
      <c r="D200" s="32" t="inlineStr">
        <is>
          <t>NSAIDs ขนาดสูงต่อเนื่องเป็นหลัก</t>
        </is>
      </c>
      <c r="E200" s="32" t="inlineStr">
        <is>
          <t>Colchicine</t>
        </is>
      </c>
      <c r="F200" s="32" t="inlineStr">
        <is>
          <t>Opioid ตามบันได WHO ร่วมกับ paracetamol เลี่ยง NSAIDs</t>
        </is>
      </c>
      <c r="G200" s="32" t="inlineStr">
        <is>
          <t>Allopurinol</t>
        </is>
      </c>
      <c r="H200" s="32" t="inlineStr">
        <is>
          <t>งดยาแก้ปวดทุกชนิด</t>
        </is>
      </c>
      <c r="I200" s="32" t="n">
        <v>3</v>
      </c>
      <c r="J200" s="32"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32" t="n"/>
      <c r="L200" s="32" t="inlineStr">
        <is>
          <t>Osteoporosis</t>
        </is>
      </c>
      <c r="M200" s="32" t="inlineStr">
        <is>
          <t>Clinic</t>
        </is>
      </c>
      <c r="N200" s="32" t="inlineStr">
        <is>
          <t>ข้อ 67 Mock Musculo RxCU84</t>
        </is>
      </c>
      <c r="O200" s="32" t="inlineStr">
        <is>
          <t>Mock</t>
        </is>
      </c>
      <c r="P200" s="32" t="inlineStr">
        <is>
          <t>Mock RxCU84</t>
        </is>
      </c>
    </row>
    <row r="201" ht="409.6" customHeight="1" s="49">
      <c r="A201" s="32" t="n">
        <v>199</v>
      </c>
      <c r="B201"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32" t="n"/>
      <c r="D201" s="32" t="inlineStr">
        <is>
          <t>เพิ่มระดับแคลเซียมในเลือด</t>
        </is>
      </c>
      <c r="E201" s="32" t="inlineStr">
        <is>
          <t>กระตุ้นการทำงานของ osteoclast</t>
        </is>
      </c>
      <c r="F201" s="32" t="inlineStr">
        <is>
          <t>เป็นยาหลักระยะยาวแทน bisphosphonate</t>
        </is>
      </c>
      <c r="G201" s="32" t="inlineStr">
        <is>
          <t>ไม่มีฤทธิ์ลดปวด</t>
        </is>
      </c>
      <c r="H201" s="32" t="inlineStr">
        <is>
          <t>ช่วยลดปวดระยะสั้นจากกระดูกสันหลังยุบ</t>
        </is>
      </c>
      <c r="I201" s="32" t="n">
        <v>5</v>
      </c>
      <c r="J201" s="32"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32" t="n"/>
      <c r="L201" s="32" t="inlineStr">
        <is>
          <t>Osteoporosis</t>
        </is>
      </c>
      <c r="M201" s="32" t="inlineStr">
        <is>
          <t>Clinic</t>
        </is>
      </c>
      <c r="N201" s="32" t="inlineStr">
        <is>
          <t>ข้อ 68 Mock Musculo RxCU84</t>
        </is>
      </c>
      <c r="O201" s="32" t="inlineStr">
        <is>
          <t>Mock</t>
        </is>
      </c>
      <c r="P201" s="32" t="inlineStr">
        <is>
          <t>Mock RxCU84</t>
        </is>
      </c>
    </row>
    <row r="202" ht="409.6" customHeight="1" s="49">
      <c r="A202" s="32" t="n">
        <v>200</v>
      </c>
      <c r="B202" s="32"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32" t="n"/>
      <c r="D202" s="32" t="inlineStr">
        <is>
          <t>SJS/TEN</t>
        </is>
      </c>
      <c r="E202" s="32" t="inlineStr">
        <is>
          <t>ไตวายเฉียบพลัน</t>
        </is>
      </c>
      <c r="F202" s="32" t="inlineStr">
        <is>
          <t>หัวใจเต้นผิดจังหวะ</t>
        </is>
      </c>
      <c r="G202" s="32" t="inlineStr">
        <is>
          <t>Osteonecrosis of the jaw และ atypical femur fracture</t>
        </is>
      </c>
      <c r="H202" s="32" t="inlineStr">
        <is>
          <t>ต้อกระจก</t>
        </is>
      </c>
      <c r="I202" s="32" t="n">
        <v>4</v>
      </c>
      <c r="J202" s="32"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32" t="n"/>
      <c r="L202" s="32" t="inlineStr">
        <is>
          <t>Osteoporosis</t>
        </is>
      </c>
      <c r="M202" s="32" t="inlineStr">
        <is>
          <t>Clinic</t>
        </is>
      </c>
      <c r="N202" s="32" t="inlineStr">
        <is>
          <t>ข้อ 69 Mock Musculo RxCU84</t>
        </is>
      </c>
      <c r="O202" s="32" t="inlineStr">
        <is>
          <t>Mock</t>
        </is>
      </c>
      <c r="P202" s="32" t="inlineStr">
        <is>
          <t>Mock RxCU84</t>
        </is>
      </c>
    </row>
    <row r="203" ht="409.6" customHeight="1" s="49">
      <c r="A203" s="32" t="n">
        <v>201</v>
      </c>
      <c r="B20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32" t="n"/>
      <c r="D203" s="32" t="inlineStr">
        <is>
          <t>การคำนวณยา Infliximab ต่อน้ำหนักตัวผิดพลาด</t>
        </is>
      </c>
      <c r="E203" s="32" t="inlineStr">
        <is>
          <t>สั่ง MTX กินทุกวันแทนที่จะเป็นสัปดาห์ละครั้ง</t>
        </is>
      </c>
      <c r="F203" s="32" t="inlineStr">
        <is>
          <t>ให้ Folic acid ที่มีขนาดน้อยเกินไป</t>
        </is>
      </c>
      <c r="G203" s="32" t="inlineStr">
        <is>
          <t>การที่ Prednisolone ให้รับประทานหลังอาหารทำให้ยาดูดซึมไม่ดี</t>
        </is>
      </c>
      <c r="H203" s="32" t="inlineStr">
        <is>
          <t>การบริหาร NSS 0.9% มีอัตราเร็วจนเกินไป ก่อให้เกิดอาการบวมน้ำ</t>
        </is>
      </c>
      <c r="I203" s="32" t="n">
        <v>2</v>
      </c>
      <c r="J203" s="32"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32" t="n"/>
      <c r="L203" s="32" t="inlineStr">
        <is>
          <t>Rheumatoid Arthritis</t>
        </is>
      </c>
      <c r="M203" s="32" t="inlineStr">
        <is>
          <t>Clinic</t>
        </is>
      </c>
      <c r="N203" s="32" t="inlineStr">
        <is>
          <t>ข้อ 70 Mock Musculo RxCU84</t>
        </is>
      </c>
      <c r="O203" s="32" t="inlineStr">
        <is>
          <t>Mock</t>
        </is>
      </c>
      <c r="P203" s="32" t="inlineStr">
        <is>
          <t>Mock RxCU84</t>
        </is>
      </c>
    </row>
    <row r="204" ht="409.6" customHeight="1" s="49">
      <c r="A204" s="32" t="n">
        <v>202</v>
      </c>
      <c r="B20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32" t="n"/>
      <c r="D204" s="32" t="inlineStr">
        <is>
          <t>CBC ที่ต่ำเกินไป</t>
        </is>
      </c>
      <c r="E204" s="32" t="inlineStr">
        <is>
          <t>WBC ที่สูงเกินไป</t>
        </is>
      </c>
      <c r="F204" s="32" t="inlineStr">
        <is>
          <t>ค่า LDL-C ที่สูงขึ้น</t>
        </is>
      </c>
      <c r="G204" s="32" t="inlineStr">
        <is>
          <t>อาการเวียนศรีษะและหมดสติ</t>
        </is>
      </c>
      <c r="H204" s="32" t="inlineStr">
        <is>
          <t>ไม่มีข้อใดถูกต้อง</t>
        </is>
      </c>
      <c r="I204" s="32" t="n">
        <v>1</v>
      </c>
      <c r="J204" s="32"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32" t="n"/>
      <c r="L204" s="32" t="inlineStr">
        <is>
          <t>Rheumatoid Arthritis</t>
        </is>
      </c>
      <c r="M204" s="32" t="inlineStr">
        <is>
          <t>Clinic</t>
        </is>
      </c>
      <c r="N204" s="32" t="inlineStr">
        <is>
          <t>ข้อ 71 Mock Musculo RxCU84</t>
        </is>
      </c>
      <c r="O204" s="32" t="inlineStr">
        <is>
          <t>Mock</t>
        </is>
      </c>
      <c r="P204" s="32" t="inlineStr">
        <is>
          <t>Mock RxCU84</t>
        </is>
      </c>
    </row>
    <row r="205" ht="409.6" customHeight="1" s="49">
      <c r="A205" s="32" t="n">
        <v>203</v>
      </c>
      <c r="B20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32" t="n"/>
      <c r="D205" s="32" t="inlineStr">
        <is>
          <t>Retinopathy</t>
        </is>
      </c>
      <c r="E205" s="32" t="inlineStr">
        <is>
          <t>ไขกระดูกฝ่อ (Bone marrow suppression)</t>
        </is>
      </c>
      <c r="F205" s="32" t="inlineStr">
        <is>
          <t>SJS/TEN</t>
        </is>
      </c>
      <c r="G205" s="32" t="inlineStr">
        <is>
          <t>QT Prolongation</t>
        </is>
      </c>
      <c r="H205" s="32" t="inlineStr">
        <is>
          <t>ผมร่วงอย่างรุนแรง</t>
        </is>
      </c>
      <c r="I205" s="32" t="n">
        <v>2</v>
      </c>
      <c r="J205" s="32"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32" t="n"/>
      <c r="L205" s="32" t="inlineStr">
        <is>
          <t>Rheumatoid Arthritis</t>
        </is>
      </c>
      <c r="M205" s="32" t="inlineStr">
        <is>
          <t>Clinic</t>
        </is>
      </c>
      <c r="N205" s="32" t="inlineStr">
        <is>
          <t>ข้อ 72 Mock Musculo RxCU84</t>
        </is>
      </c>
      <c r="O205" s="32" t="inlineStr">
        <is>
          <t>Mock</t>
        </is>
      </c>
      <c r="P205" s="32" t="inlineStr">
        <is>
          <t>Mock RxCU84</t>
        </is>
      </c>
    </row>
    <row r="206" ht="409.6" customHeight="1" s="49">
      <c r="A206" s="32" t="n">
        <v>204</v>
      </c>
      <c r="B20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32" t="n"/>
      <c r="D206" s="32" t="inlineStr">
        <is>
          <t>N-acetylcysteine</t>
        </is>
      </c>
      <c r="E206" s="32" t="inlineStr">
        <is>
          <t>Flumazenil</t>
        </is>
      </c>
      <c r="F206" s="32" t="inlineStr">
        <is>
          <t>Leucovorin (Folinic acid)</t>
        </is>
      </c>
      <c r="G206" s="32" t="inlineStr">
        <is>
          <t>Vitamin K</t>
        </is>
      </c>
      <c r="H206" s="32" t="inlineStr">
        <is>
          <t>Protamine sulfate</t>
        </is>
      </c>
      <c r="I206" s="32" t="n">
        <v>3</v>
      </c>
      <c r="J206"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32" t="n"/>
      <c r="L206" s="32" t="inlineStr">
        <is>
          <t>Rheumatoid Arthritis</t>
        </is>
      </c>
      <c r="M206" s="32" t="inlineStr">
        <is>
          <t>Clinic</t>
        </is>
      </c>
      <c r="N206" s="32" t="inlineStr">
        <is>
          <t>ข้อ 73 Mock Musculo RxCU84</t>
        </is>
      </c>
      <c r="O206" s="32" t="inlineStr">
        <is>
          <t>Mock</t>
        </is>
      </c>
      <c r="P206" s="32" t="inlineStr">
        <is>
          <t>Mock RxCU84</t>
        </is>
      </c>
    </row>
    <row r="207" ht="409.6" customHeight="1" s="49">
      <c r="A207" s="32" t="n">
        <v>205</v>
      </c>
      <c r="B20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32" t="n"/>
      <c r="D207" s="32" t="inlineStr">
        <is>
          <t>เพิ่มฤทธิ์ยา MTX</t>
        </is>
      </c>
      <c r="E207" s="32" t="inlineStr">
        <is>
          <t>ลดการเกิดไขกระดูกฝ่อ</t>
        </is>
      </c>
      <c r="F207" s="32" t="inlineStr">
        <is>
          <t>ลดผลข้างเคียงทางระบบทางเดินอาหารและแผลในปาก (GI/Mucositis)</t>
        </is>
      </c>
      <c r="G207" s="32" t="inlineStr">
        <is>
          <t>บำรุงครรภ์</t>
        </is>
      </c>
      <c r="H207" s="32" t="inlineStr">
        <is>
          <t>ป้องกันตับวาย</t>
        </is>
      </c>
      <c r="I207" s="32" t="n">
        <v>3</v>
      </c>
      <c r="J207" s="32"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32" t="n"/>
      <c r="L207" s="32" t="inlineStr">
        <is>
          <t>Rheumatoid Arthritis</t>
        </is>
      </c>
      <c r="M207" s="32" t="inlineStr">
        <is>
          <t>Clinic</t>
        </is>
      </c>
      <c r="N207" s="32" t="inlineStr">
        <is>
          <t>ข้อ 74 Mock Musculo RxCU84</t>
        </is>
      </c>
      <c r="O207" s="32" t="inlineStr">
        <is>
          <t>Mock</t>
        </is>
      </c>
      <c r="P207" s="32" t="inlineStr">
        <is>
          <t>Mock RxCU84</t>
        </is>
      </c>
    </row>
    <row r="208" ht="409.6" customHeight="1" s="49">
      <c r="A208" s="32" t="n">
        <v>206</v>
      </c>
      <c r="B20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32" t="n"/>
      <c r="D208" s="32" t="inlineStr">
        <is>
          <t>ยับยั้ง COX-2</t>
        </is>
      </c>
      <c r="E208" s="32" t="inlineStr">
        <is>
          <t>ยับยั้ง Xanthine oxidase</t>
        </is>
      </c>
      <c r="F208" s="32" t="inlineStr">
        <is>
          <t>ยับยั้ง Dihydrofolate reductase (DHFR)</t>
        </is>
      </c>
      <c r="G208" s="32" t="inlineStr">
        <is>
          <t>ยับยั้ง TNF-alpha</t>
        </is>
      </c>
      <c r="H208" s="32" t="inlineStr">
        <is>
          <t>ยับยั้ง CD20</t>
        </is>
      </c>
      <c r="I208" s="32" t="n">
        <v>3</v>
      </c>
      <c r="J208" s="32"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32" t="n"/>
      <c r="L208" s="32" t="inlineStr">
        <is>
          <t>Rheumatoid Arthritis</t>
        </is>
      </c>
      <c r="M208" s="32" t="inlineStr">
        <is>
          <t>Clinic</t>
        </is>
      </c>
      <c r="N208" s="32" t="inlineStr">
        <is>
          <t>ข้อ 75 Mock Musculo RxCU84</t>
        </is>
      </c>
      <c r="O208" s="32" t="inlineStr">
        <is>
          <t>Mock</t>
        </is>
      </c>
      <c r="P208" s="32" t="inlineStr">
        <is>
          <t>Mock RxCU84</t>
        </is>
      </c>
    </row>
    <row r="209" ht="409.6" customHeight="1" s="49">
      <c r="A209" s="32" t="n">
        <v>207</v>
      </c>
      <c r="B20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32" t="n"/>
      <c r="D209" s="32" t="inlineStr">
        <is>
          <t>HIV</t>
        </is>
      </c>
      <c r="E209" s="32" t="inlineStr">
        <is>
          <t>Syphilis</t>
        </is>
      </c>
      <c r="F209" s="32" t="inlineStr">
        <is>
          <t>Tuberculosis (TB) และ Hepatitis B/C</t>
        </is>
      </c>
      <c r="G209" s="32" t="inlineStr">
        <is>
          <t>Malaria</t>
        </is>
      </c>
      <c r="H209" s="32" t="inlineStr">
        <is>
          <t>COVID-19</t>
        </is>
      </c>
      <c r="I209" s="32" t="n">
        <v>3</v>
      </c>
      <c r="J209" s="32"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เป็นข้อบังคับสากลของยากลุ่มนี้เพื่อป้องกันการกำเริบ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32" t="n"/>
      <c r="L209" s="32" t="inlineStr">
        <is>
          <t>Rheumatoid Arthritis</t>
        </is>
      </c>
      <c r="M209" s="32" t="inlineStr">
        <is>
          <t>Clinic</t>
        </is>
      </c>
      <c r="N209" s="32" t="inlineStr">
        <is>
          <t>ข้อ 76 Mock Musculo RxCU84</t>
        </is>
      </c>
      <c r="O209" s="32" t="inlineStr">
        <is>
          <t>Mock</t>
        </is>
      </c>
      <c r="P209" s="32" t="inlineStr">
        <is>
          <t>Mock RxCU84</t>
        </is>
      </c>
    </row>
    <row r="210" ht="409.6" customHeight="1" s="49">
      <c r="A210" s="32" t="n">
        <v>208</v>
      </c>
      <c r="B210"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32" t="n"/>
      <c r="D210" s="32" t="inlineStr">
        <is>
          <t>Chimeric Monoclonal Antibody ต่อยับยั้ง TNF-alpha</t>
        </is>
      </c>
      <c r="E210" s="32" t="inlineStr">
        <is>
          <t>Fully human MAb ต่อ TNF-alpha</t>
        </is>
      </c>
      <c r="F210" s="32" t="inlineStr">
        <is>
          <t>IL-6 inhibitor</t>
        </is>
      </c>
      <c r="G210" s="32" t="inlineStr">
        <is>
          <t>CD20 inhibitor</t>
        </is>
      </c>
      <c r="H210" s="32" t="inlineStr">
        <is>
          <t>JAK inhibitor</t>
        </is>
      </c>
      <c r="I210" s="32" t="n">
        <v>1</v>
      </c>
      <c r="J210" s="32"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32" t="n"/>
      <c r="L210" s="32" t="inlineStr">
        <is>
          <t>Rheumatoid Arthritis</t>
        </is>
      </c>
      <c r="M210" s="32" t="inlineStr">
        <is>
          <t>Clinic</t>
        </is>
      </c>
      <c r="N210" s="32" t="inlineStr">
        <is>
          <t>ข้อ 77 Mock Musculo RxCU84</t>
        </is>
      </c>
      <c r="O210" s="32" t="inlineStr">
        <is>
          <t>Mock</t>
        </is>
      </c>
      <c r="P210" s="32" t="inlineStr">
        <is>
          <t>Mock RxCU84</t>
        </is>
      </c>
    </row>
    <row r="211" ht="409.6" customHeight="1" s="49">
      <c r="A211" s="32" t="n">
        <v>209</v>
      </c>
      <c r="B211"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32" t="n"/>
      <c r="D211" s="32" t="inlineStr">
        <is>
          <t>Hypertension crisis</t>
        </is>
      </c>
      <c r="E211" s="32" t="inlineStr">
        <is>
          <t>Infusion-related reaction (ไข้ หนาวสั่น ความดันตก)</t>
        </is>
      </c>
      <c r="F211" s="32" t="inlineStr">
        <is>
          <t>น้ำท่วมปอด</t>
        </is>
      </c>
      <c r="G211" s="32" t="inlineStr">
        <is>
          <t>ไตวายเฉียบพลัน</t>
        </is>
      </c>
      <c r="H211" s="32" t="inlineStr">
        <is>
          <t>หัวใจเต้นผิดจังหวะ</t>
        </is>
      </c>
      <c r="I211" s="32" t="n">
        <v>2</v>
      </c>
      <c r="J211" s="32"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32" t="n"/>
      <c r="L211" s="32" t="inlineStr">
        <is>
          <t>Rheumatoid Arthritis</t>
        </is>
      </c>
      <c r="M211" s="32" t="inlineStr">
        <is>
          <t>Clinic</t>
        </is>
      </c>
      <c r="N211" s="32" t="inlineStr">
        <is>
          <t>ข้อ 78 Mock Musculo RxCU84</t>
        </is>
      </c>
      <c r="O211" s="32" t="inlineStr">
        <is>
          <t>Mock</t>
        </is>
      </c>
      <c r="P211" s="32" t="inlineStr">
        <is>
          <t>Mock RxCU84</t>
        </is>
      </c>
    </row>
    <row r="212" ht="409.6" customHeight="1" s="49">
      <c r="A212" s="32" t="n">
        <v>210</v>
      </c>
      <c r="B212"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32" t="n"/>
      <c r="D212" s="32" t="inlineStr">
        <is>
          <t>วัคซีนเชื้อตาย (Killed vaccine)</t>
        </is>
      </c>
      <c r="E212" s="32" t="inlineStr">
        <is>
          <t>วัคซีน mRNA</t>
        </is>
      </c>
      <c r="F212" s="32" t="inlineStr">
        <is>
          <t>วัคซีนเชื้อเป็นอ่อนฤทธิ์ (Live-attenuated vaccines เช่น MMR, Varicella)</t>
        </is>
      </c>
      <c r="G212" s="32" t="inlineStr">
        <is>
          <t>วัคซีนไวรัสตับอักเสบบี</t>
        </is>
      </c>
      <c r="H212" s="32" t="inlineStr">
        <is>
          <t>Toxoid</t>
        </is>
      </c>
      <c r="I212" s="32" t="n">
        <v>3</v>
      </c>
      <c r="J212" s="32"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32" t="n"/>
      <c r="L212" s="32" t="inlineStr">
        <is>
          <t>Rheumatoid Arthritis</t>
        </is>
      </c>
      <c r="M212" s="32" t="inlineStr">
        <is>
          <t>Clinic</t>
        </is>
      </c>
      <c r="N212" s="32" t="inlineStr">
        <is>
          <t>ข้อ 79 Mock Musculo RxCU84</t>
        </is>
      </c>
      <c r="O212" s="32" t="inlineStr">
        <is>
          <t>Mock</t>
        </is>
      </c>
      <c r="P212" s="32" t="inlineStr">
        <is>
          <t>Mock RxCU84</t>
        </is>
      </c>
    </row>
    <row r="213" ht="409.6" customHeight="1" s="49">
      <c r="A213" s="32" t="n">
        <v>211</v>
      </c>
      <c r="B213"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32" t="n"/>
      <c r="D213" s="32" t="inlineStr">
        <is>
          <t>Osteoarthritis</t>
        </is>
      </c>
      <c r="E213" s="32" t="inlineStr">
        <is>
          <t>Osteoporosis, Hyperglycemia, และ Cushing's syndrome</t>
        </is>
      </c>
      <c r="F213" s="32" t="inlineStr">
        <is>
          <t>Rheumatoid arthritis รุนแรงขึ้น</t>
        </is>
      </c>
      <c r="G213" s="32" t="inlineStr">
        <is>
          <t>Asthma</t>
        </is>
      </c>
      <c r="H213" s="32" t="n"/>
      <c r="I213" s="32" t="n">
        <v>2</v>
      </c>
      <c r="J213" s="32"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32" t="n"/>
      <c r="L213" s="32" t="inlineStr">
        <is>
          <t>Rheumatoid Arthritis</t>
        </is>
      </c>
      <c r="M213" s="32" t="inlineStr">
        <is>
          <t>Clinic</t>
        </is>
      </c>
      <c r="N213" s="32" t="inlineStr">
        <is>
          <t>ข้อ 80 Mock Musculo RxCU84</t>
        </is>
      </c>
      <c r="O213" s="32" t="inlineStr">
        <is>
          <t>Mock</t>
        </is>
      </c>
      <c r="P213" s="32" t="inlineStr">
        <is>
          <t>Mock RxCU84</t>
        </is>
      </c>
    </row>
    <row r="214" ht="409.6" customHeight="1" s="49">
      <c r="A214" s="32" t="n">
        <v>212</v>
      </c>
      <c r="B214"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32" t="n"/>
      <c r="D214" s="32" t="inlineStr">
        <is>
          <t>Prednisolone ไปเกิดอัตรกิริยากับ Inflixumab ทำให้ยา Inflixumab ออกฤทธิ์ได้ไม่เต็มที่</t>
        </is>
      </c>
      <c r="E214" s="32" t="inlineStr">
        <is>
          <t>Prednisolone เป็นยาลดอักเสบซึ่งออกฤทธิ์เร็ว เพื่อบรรเทาอาการปวดระหว่างรอ MTX ออกฤทธิ์</t>
        </is>
      </c>
      <c r="F214" s="32"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32" t="inlineStr">
        <is>
          <t>Prednisolone อาจทำให้ผู้ป่วยมีอาการ Orthostatic hypotension</t>
        </is>
      </c>
      <c r="H214" s="32" t="inlineStr">
        <is>
          <t>ไม่มีข้อใดถูกต้อง</t>
        </is>
      </c>
      <c r="I214" s="32" t="n">
        <v>2</v>
      </c>
      <c r="J214" s="32"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32" t="n"/>
      <c r="L214" s="32" t="inlineStr">
        <is>
          <t>Rheumatoid Arthritis</t>
        </is>
      </c>
      <c r="M214" s="32" t="inlineStr">
        <is>
          <t>Clinic</t>
        </is>
      </c>
      <c r="N214" s="32" t="inlineStr">
        <is>
          <t>ข้อ 81 Mock Musculo RxCU84</t>
        </is>
      </c>
      <c r="O214" s="32" t="inlineStr">
        <is>
          <t>Mock</t>
        </is>
      </c>
      <c r="P214" s="32" t="inlineStr">
        <is>
          <t>Mock RxCU84</t>
        </is>
      </c>
    </row>
    <row r="215" ht="409.6" customHeight="1" s="49">
      <c r="A215" s="32" t="n">
        <v>213</v>
      </c>
      <c r="B215"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32" t="n"/>
      <c r="D215" s="32" t="inlineStr">
        <is>
          <t>สั่ง methotrexate ให้กินทุกวันแทนสัปดาห์ละครั้ง</t>
        </is>
      </c>
      <c r="E215" s="32" t="inlineStr">
        <is>
          <t>Folic acid ขนาดสูงเกินไป</t>
        </is>
      </c>
      <c r="F215" s="32" t="inlineStr">
        <is>
          <t>Rosuvastatin ไม่จำเป็น</t>
        </is>
      </c>
      <c r="G215" s="32" t="inlineStr">
        <is>
          <t>Candesartan ซ้ำซ้อน</t>
        </is>
      </c>
      <c r="H215" s="32" t="inlineStr">
        <is>
          <t>คำนวณขนาด infliximab ผิด</t>
        </is>
      </c>
      <c r="I215" s="32" t="n">
        <v>1</v>
      </c>
      <c r="J215" s="32"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32" t="n"/>
      <c r="L215" s="32" t="inlineStr">
        <is>
          <t>Rheumatoid Arthritis</t>
        </is>
      </c>
      <c r="M215" s="32" t="inlineStr">
        <is>
          <t>Clinic</t>
        </is>
      </c>
      <c r="N215" s="32" t="inlineStr">
        <is>
          <t>ข้อ 82 Mock Musculo RxCU84</t>
        </is>
      </c>
      <c r="O215" s="32" t="inlineStr">
        <is>
          <t>Mock</t>
        </is>
      </c>
      <c r="P215" s="32" t="inlineStr">
        <is>
          <t>Mock RxCU84</t>
        </is>
      </c>
    </row>
    <row r="216" ht="409.6" customHeight="1" s="49">
      <c r="A216" s="32" t="n">
        <v>214</v>
      </c>
      <c r="B216"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32" t="n"/>
      <c r="D216" s="32" t="inlineStr">
        <is>
          <t>จอประสาทตาเสื่อม — ตรวจตา</t>
        </is>
      </c>
      <c r="E216" s="32" t="inlineStr">
        <is>
          <t>กดไขกระดูกและเยื่อบุอักเสบ — ติดตาม CBC และ LFT</t>
        </is>
      </c>
      <c r="F216" s="32" t="inlineStr">
        <is>
          <t>QT prolongation — ตรวจ ECG</t>
        </is>
      </c>
      <c r="G216" s="32" t="inlineStr">
        <is>
          <t>นิ่วในไต — ตรวจปัสสาวะ</t>
        </is>
      </c>
      <c r="H216" s="32" t="inlineStr">
        <is>
          <t>ต่อมไทรอยด์เป็นพิษ — ตรวจ TSH</t>
        </is>
      </c>
      <c r="I216" s="32" t="n">
        <v>2</v>
      </c>
      <c r="J216" s="32"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32" t="n"/>
      <c r="L216" s="32" t="inlineStr">
        <is>
          <t>Rheumatoid Arthritis</t>
        </is>
      </c>
      <c r="M216" s="32" t="inlineStr">
        <is>
          <t>Clinic</t>
        </is>
      </c>
      <c r="N216" s="32" t="inlineStr">
        <is>
          <t>ข้อ 83 Mock Musculo RxCU84</t>
        </is>
      </c>
      <c r="O216" s="32" t="inlineStr">
        <is>
          <t>Mock</t>
        </is>
      </c>
      <c r="P216" s="32" t="inlineStr">
        <is>
          <t>Mock RxCU84</t>
        </is>
      </c>
    </row>
    <row r="217" ht="409.6" customHeight="1" s="49">
      <c r="A217" s="32" t="n">
        <v>215</v>
      </c>
      <c r="B217"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32" t="n"/>
      <c r="D217" s="32" t="inlineStr">
        <is>
          <t>Naloxone</t>
        </is>
      </c>
      <c r="E217" s="32" t="inlineStr">
        <is>
          <t>Flumazenil</t>
        </is>
      </c>
      <c r="F217" s="32" t="inlineStr">
        <is>
          <t>Leucovorin (folinic acid)</t>
        </is>
      </c>
      <c r="G217" s="32" t="inlineStr">
        <is>
          <t>Vitamin K</t>
        </is>
      </c>
      <c r="H217" s="32" t="inlineStr">
        <is>
          <t>Folic acid ขนาดสูง</t>
        </is>
      </c>
      <c r="I217" s="32" t="n">
        <v>3</v>
      </c>
      <c r="J217" s="32"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32" t="n"/>
      <c r="L217" s="32" t="inlineStr">
        <is>
          <t>Rheumatoid Arthritis</t>
        </is>
      </c>
      <c r="M217" s="32" t="inlineStr">
        <is>
          <t>Clinic</t>
        </is>
      </c>
      <c r="N217" s="32" t="inlineStr">
        <is>
          <t>ข้อ 84 Mock Musculo RxCU84</t>
        </is>
      </c>
      <c r="O217" s="32" t="inlineStr">
        <is>
          <t>Mock</t>
        </is>
      </c>
      <c r="P217" s="32" t="inlineStr">
        <is>
          <t>Mock RxCU84</t>
        </is>
      </c>
    </row>
    <row r="218" ht="409.6" customHeight="1" s="49">
      <c r="A218" s="32" t="n">
        <v>216</v>
      </c>
      <c r="B218"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32" t="n"/>
      <c r="D218" s="32" t="inlineStr">
        <is>
          <t>เพื่อลดไขมันในเลือด</t>
        </is>
      </c>
      <c r="E218" s="32" t="inlineStr">
        <is>
          <t>เพื่อรักษาความดันโลหิต</t>
        </is>
      </c>
      <c r="F218" s="32" t="inlineStr">
        <is>
          <t>เพื่อป้องกันข้ออักเสบเกาต์</t>
        </is>
      </c>
      <c r="G218" s="32" t="inlineStr">
        <is>
          <t>bridging ต้านการอักเสบระหว่างรอ MTX ออกฤทธิ์</t>
        </is>
      </c>
      <c r="H218" s="32" t="inlineStr">
        <is>
          <t>เสริมฤทธิ์ infliximab โดยตรง</t>
        </is>
      </c>
      <c r="I218" s="32" t="n">
        <v>4</v>
      </c>
      <c r="J218" s="32"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32" t="n"/>
      <c r="L218" s="32" t="inlineStr">
        <is>
          <t>Rheumatoid Arthritis</t>
        </is>
      </c>
      <c r="M218" s="32" t="inlineStr">
        <is>
          <t>Clinic</t>
        </is>
      </c>
      <c r="N218" s="32" t="inlineStr">
        <is>
          <t>ข้อ 85 Mock Musculo RxCU84</t>
        </is>
      </c>
      <c r="O218" s="32" t="inlineStr">
        <is>
          <t>Mock</t>
        </is>
      </c>
      <c r="P218" s="32" t="inlineStr">
        <is>
          <t>Mock RxCU84</t>
        </is>
      </c>
    </row>
    <row r="219" ht="409.6" customHeight="1" s="49">
      <c r="A219" s="32" t="n">
        <v>217</v>
      </c>
      <c r="B219" s="32"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32" t="n"/>
      <c r="D219" s="32" t="inlineStr">
        <is>
          <t>Ibuprofen ขนาดสูง</t>
        </is>
      </c>
      <c r="E219" s="32" t="inlineStr">
        <is>
          <t>Aspirin ขนาดสูง</t>
        </is>
      </c>
      <c r="F219" s="32" t="inlineStr">
        <is>
          <t>Naproxen ขนาดสูงต่อเนื่อง</t>
        </is>
      </c>
      <c r="G219" s="32" t="inlineStr">
        <is>
          <t>Indomethacin ขนาดสูง</t>
        </is>
      </c>
      <c r="H219" s="32" t="inlineStr">
        <is>
          <t>Paracetamol</t>
        </is>
      </c>
      <c r="I219" s="32" t="n">
        <v>5</v>
      </c>
      <c r="J219" s="32"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32" t="n"/>
      <c r="L219" s="32" t="inlineStr">
        <is>
          <t>Rheumatoid Arthritis</t>
        </is>
      </c>
      <c r="M219" s="32" t="inlineStr">
        <is>
          <t>Clinic</t>
        </is>
      </c>
      <c r="N219" s="32" t="inlineStr">
        <is>
          <t>ข้อ 86 Mock Musculo RxCU84</t>
        </is>
      </c>
      <c r="O219" s="32" t="inlineStr">
        <is>
          <t>Mock</t>
        </is>
      </c>
      <c r="P219" s="32" t="inlineStr">
        <is>
          <t>Mock RxCU84</t>
        </is>
      </c>
    </row>
    <row r="220" ht="13.2" customHeight="1" s="49">
      <c r="A220" t="n">
        <v>218</v>
      </c>
      <c r="B220"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D220" t="inlineStr">
        <is>
          <t>Non-Steroidal Anti-Inflammatory Drugs (NSAIDs) เช่น Celecoxib, Ibuprofen</t>
        </is>
      </c>
      <c r="E220" t="inlineStr">
        <is>
          <t>Paracetamol (Acetaminophen)</t>
        </is>
      </c>
      <c r="F220" t="inlineStr">
        <is>
          <t>Tramadol</t>
        </is>
      </c>
      <c r="G220" t="inlineStr">
        <is>
          <t>Topical Capsaicin cream</t>
        </is>
      </c>
      <c r="H220" t="inlineStr">
        <is>
          <t>Glucosamine sulfate</t>
        </is>
      </c>
      <c r="I220" t="inlineStr">
        <is>
          <t>1</t>
        </is>
      </c>
      <c r="J220"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t="inlineStr">
        <is>
          <t>Hypertension &amp; Drug Interactions</t>
        </is>
      </c>
      <c r="L220" t="inlineStr">
        <is>
          <t>PLE-CC1 ปี 2566 Day 1 ข้อ 58</t>
        </is>
      </c>
      <c r="M220" t="inlineStr">
        <is>
          <t>Clinic</t>
        </is>
      </c>
      <c r="N220" t="inlineStr">
        <is>
          <t>PLE-CC1 ปี 2566 Day 1 ข้อ 58</t>
        </is>
      </c>
    </row>
    <row r="221" ht="13.2" customHeight="1" s="49">
      <c r="A221" t="n">
        <v>219</v>
      </c>
      <c r="B221"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D221" t="inlineStr">
        <is>
          <t>955 mg</t>
        </is>
      </c>
      <c r="E221" t="inlineStr">
        <is>
          <t>1029 mg</t>
        </is>
      </c>
      <c r="F221" t="inlineStr">
        <is>
          <t>1194 mg</t>
        </is>
      </c>
      <c r="G221" t="inlineStr">
        <is>
          <t>1507 mg</t>
        </is>
      </c>
      <c r="H221" t="inlineStr">
        <is>
          <t>1885 mg</t>
        </is>
      </c>
      <c r="I221" t="n">
        <v>5</v>
      </c>
      <c r="J221"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L221" t="inlineStr">
        <is>
          <t>Cardiovascular / Pharmaceutical Calculations</t>
        </is>
      </c>
      <c r="M221" t="inlineStr">
        <is>
          <t>Clinic</t>
        </is>
      </c>
      <c r="N221" t="inlineStr">
        <is>
          <t>ข้อ 65 (PLE_CC1_2558_Key.md)</t>
        </is>
      </c>
    </row>
    <row r="222" ht="13.2" customHeight="1" s="49">
      <c r="A222" t="n">
        <v>220</v>
      </c>
      <c r="B222"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D222" t="inlineStr">
        <is>
          <t>Tramadol</t>
        </is>
      </c>
      <c r="E222" t="inlineStr">
        <is>
          <t>Piroxicam</t>
        </is>
      </c>
      <c r="F222" t="inlineStr">
        <is>
          <t>Etoricoxib</t>
        </is>
      </c>
      <c r="G222" t="inlineStr">
        <is>
          <t>Ibuprofen</t>
        </is>
      </c>
      <c r="H222" t="inlineStr">
        <is>
          <t>Naproxen 119</t>
        </is>
      </c>
      <c r="I222" t="inlineStr">
        <is>
          <t>1</t>
        </is>
      </c>
      <c r="J222"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2" t="inlineStr">
        <is>
          <t>Hypertension</t>
        </is>
      </c>
      <c r="M222" t="inlineStr">
        <is>
          <t>Clinic</t>
        </is>
      </c>
      <c r="N222" t="inlineStr">
        <is>
          <t>ข้อ 39 (PLE_CC1_Practice_Exam.md)</t>
        </is>
      </c>
    </row>
    <row r="223" ht="13.2" customHeight="1" s="49">
      <c r="A223" t="n">
        <v>221</v>
      </c>
      <c r="B223" t="inlineStr">
        <is>
          <t>ในทางคลินิก ไม่นิยมใช้ Aspirin เพื่อลดไข้ในเด็กที่ติดเชื้อไวรัสเพราะอาจทำให้เกิดความผิดปกติในข้อใด</t>
        </is>
      </c>
      <c r="D223" t="inlineStr">
        <is>
          <t>Airway hypersensitivity</t>
        </is>
      </c>
      <c r="E223" t="inlineStr">
        <is>
          <t>Angioedema</t>
        </is>
      </c>
      <c r="F223" t="inlineStr">
        <is>
          <t>GI bleeding</t>
        </is>
      </c>
      <c r="G223" t="inlineStr">
        <is>
          <t>Reye’s syndrome</t>
        </is>
      </c>
      <c r="H223" t="inlineStr">
        <is>
          <t>Tinnitus 120</t>
        </is>
      </c>
      <c r="I223" t="inlineStr">
        <is>
          <t>3</t>
        </is>
      </c>
      <c r="J223"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3" t="inlineStr">
        <is>
          <t>Hypertension</t>
        </is>
      </c>
      <c r="M223" t="inlineStr">
        <is>
          <t>Clinic</t>
        </is>
      </c>
      <c r="N223" t="inlineStr">
        <is>
          <t>ข้อ 40 (PLE_CC1_Practice_Exam.md)</t>
        </is>
      </c>
    </row>
    <row r="224" ht="13.2" customHeight="1" s="49">
      <c r="A224" t="n">
        <v>222</v>
      </c>
      <c r="B224"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D224" t="inlineStr">
        <is>
          <t>เกิดการเเพ้ได้ ทั้งตำเเหน่งที่1เเละ ตำเเหน่งที่ 2</t>
        </is>
      </c>
      <c r="E224" t="inlineStr">
        <is>
          <t>เกิดการเเพ้ได้ที่ตำเเหน่งที่1เท่านั้น</t>
        </is>
      </c>
      <c r="F224" t="inlineStr">
        <is>
          <t>เกิดการเเพ้ได้ที่ตำเเหน่งที่2เท่านั้น</t>
        </is>
      </c>
      <c r="G224" t="inlineStr">
        <is>
          <t>เกิดการเเพ้ ที่ตำเเน่งที่ 1 เเละตำเเหน่งที่3เท่านั้น</t>
        </is>
      </c>
      <c r="H224" t="inlineStr">
        <is>
          <t>ไม่เกิดการเเพ้เเบบ sulfonamide cross hypersensitivity ที่ตำเเหน่งใดเลย</t>
        </is>
      </c>
      <c r="I224" t="inlineStr">
        <is>
          <t>1</t>
        </is>
      </c>
      <c r="J224"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L224" t="inlineStr">
        <is>
          <t>Hypertension</t>
        </is>
      </c>
      <c r="M224" t="inlineStr">
        <is>
          <t>Clinic</t>
        </is>
      </c>
      <c r="N224" t="inlineStr">
        <is>
          <t>ข้อ 25 (PLE_CC1_Practice_Exam.md)</t>
        </is>
      </c>
    </row>
    <row r="225" ht="13.2" customHeight="1" s="49">
      <c r="A225" t="n">
        <v>223</v>
      </c>
      <c r="B225"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D225" t="inlineStr">
        <is>
          <t>10xx</t>
        </is>
      </c>
      <c r="E225" t="inlineStr">
        <is>
          <t>1xxx</t>
        </is>
      </c>
      <c r="F225" t="inlineStr">
        <is>
          <t>1500</t>
        </is>
      </c>
      <c r="G225" t="inlineStr">
        <is>
          <t>1844</t>
        </is>
      </c>
      <c r="H225"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5" t="inlineStr">
        <is>
          <t>1</t>
        </is>
      </c>
      <c r="J225"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L225" t="inlineStr">
        <is>
          <t>Hypertension</t>
        </is>
      </c>
      <c r="M225" t="inlineStr">
        <is>
          <t>Clinic</t>
        </is>
      </c>
      <c r="N225" t="inlineStr">
        <is>
          <t>ข้อ 5 (PLE_CC1_Key_Rx20_UBU.md)</t>
        </is>
      </c>
    </row>
    <row r="226" ht="13.2" customHeight="1" s="49">
      <c r="A226" t="n">
        <v>224</v>
      </c>
      <c r="B226" t="inlineStr">
        <is>
          <t>ข้อใดเป็นประโยชน์สำคัญของการให้ Vitamin D ร่วมกับ Calcium</t>
        </is>
      </c>
      <c r="D226" t="inlineStr">
        <is>
          <t>ช่วยเร่งการสะสม calcium ที่กระดูก</t>
        </is>
      </c>
      <c r="E226" t="inlineStr">
        <is>
          <t>ลดการขับออกของ calcium ที่ไต</t>
        </is>
      </c>
      <c r="F226" t="inlineStr">
        <is>
          <t>เพิ่มการดูดซึมของ calcium ที่ทางเดินอาหาร</t>
        </is>
      </c>
      <c r="G226" t="inlineStr">
        <is>
          <t>ลดการเกิดพิษต่อตับ</t>
        </is>
      </c>
      <c r="H22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t>
        </is>
      </c>
      <c r="I226" t="inlineStr">
        <is>
          <t>3</t>
        </is>
      </c>
      <c r="J22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26" t="inlineStr">
        <is>
          <t>Hypertension</t>
        </is>
      </c>
      <c r="M226" t="inlineStr">
        <is>
          <t>Clinic</t>
        </is>
      </c>
      <c r="N226" t="inlineStr">
        <is>
          <t>ข้อ 86 (PLE_CC1_Key_Rx20_UBU.md)</t>
        </is>
      </c>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Q248"/>
  <sheetViews>
    <sheetView workbookViewId="0">
      <pane ySplit="2" topLeftCell="A151" activePane="bottomLeft" state="frozen"/>
      <selection pane="bottomLeft" activeCell="A3" sqref="A3:Q150"/>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64.8" customHeight="1" s="49">
      <c r="A2" s="11" t="inlineStr">
        <is>
          <t>ข้อที่</t>
        </is>
      </c>
      <c r="B2" s="11" t="inlineStr">
        <is>
          <t>คำถาม</t>
        </is>
      </c>
      <c r="C2" s="11" t="inlineStr">
        <is>
          <t>รูปถาม</t>
        </is>
      </c>
      <c r="D2" s="11" t="inlineStr">
        <is>
          <t>ตัวเลือก 1</t>
        </is>
      </c>
      <c r="E2" s="11" t="inlineStr">
        <is>
          <t>ตัวเลือก 2</t>
        </is>
      </c>
      <c r="F2" s="11" t="inlineStr">
        <is>
          <t>ตัวเลือก 3</t>
        </is>
      </c>
      <c r="G2" s="11" t="inlineStr">
        <is>
          <t>ตัวเลือก 4</t>
        </is>
      </c>
      <c r="H2" s="11" t="inlineStr">
        <is>
          <t>ตัวเลือก 5</t>
        </is>
      </c>
      <c r="I2" s="11" t="inlineStr">
        <is>
          <t>เฉลย (ตัวเลข 1-5)</t>
        </is>
      </c>
      <c r="J2" s="11" t="inlineStr">
        <is>
          <t>คำอธิบายเฉลย</t>
        </is>
      </c>
      <c r="K2" s="11" t="inlineStr">
        <is>
          <t>รูปเฉลย</t>
        </is>
      </c>
      <c r="L2" s="11" t="inlineStr">
        <is>
          <t>Filter หมวด/Subtopic</t>
        </is>
      </c>
      <c r="M2" s="11" t="inlineStr">
        <is>
          <t>Product / Clinic</t>
        </is>
      </c>
      <c r="N2" s="11" t="inlineStr">
        <is>
          <t>หมายเหตุ</t>
        </is>
      </c>
      <c r="O2" s="10" t="inlineStr">
        <is>
          <t>ประเภทข้อสอบ</t>
        </is>
      </c>
      <c r="P2" s="10" t="inlineStr">
        <is>
          <t>ปี / เลขชุด</t>
        </is>
      </c>
      <c r="Q2" t="inlineStr">
        <is>
          <t>Case ID (รหัสเคส)</t>
        </is>
      </c>
    </row>
    <row r="3" ht="409.6" customHeight="1" s="49">
      <c r="A3" s="33" t="n">
        <v>1</v>
      </c>
      <c r="B3"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35" t="n"/>
      <c r="D3" s="34" t="inlineStr">
        <is>
          <t>Prehypertension</t>
        </is>
      </c>
      <c r="E3" s="34" t="inlineStr">
        <is>
          <t>Stage I</t>
        </is>
      </c>
      <c r="F3" s="34" t="inlineStr">
        <is>
          <t>Stage II</t>
        </is>
      </c>
      <c r="G3" s="34" t="inlineStr">
        <is>
          <t>Stage III</t>
        </is>
      </c>
      <c r="H3" s="34" t="inlineStr">
        <is>
          <t>Normal</t>
        </is>
      </c>
      <c r="I3" s="35" t="n">
        <v>3</v>
      </c>
      <c r="J3" s="34"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35" t="n"/>
      <c r="L3" s="34" t="inlineStr">
        <is>
          <t>Hypertension</t>
        </is>
      </c>
      <c r="M3" s="35" t="inlineStr">
        <is>
          <t>Clinic</t>
        </is>
      </c>
      <c r="N3" s="34" t="inlineStr">
        <is>
          <t>ข้อ 1 Pharma Plus เล่มม่วง (เฉลยข้อ ค)</t>
        </is>
      </c>
      <c r="O3" s="35" t="inlineStr">
        <is>
          <t>Mock</t>
        </is>
      </c>
      <c r="P3" s="35" t="inlineStr">
        <is>
          <t>Pharma Plus เล่มม่วง</t>
        </is>
      </c>
    </row>
    <row r="4" ht="409.6" customHeight="1" s="49">
      <c r="A4" s="33" t="n">
        <v>2</v>
      </c>
      <c r="B4"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35" t="n"/>
      <c r="D4" s="34" t="inlineStr">
        <is>
          <t>ให้กินอาหารที่มีโซเดียมสูง</t>
        </is>
      </c>
      <c r="E4" s="34" t="inlineStr">
        <is>
          <t>กินอาหารที่มีรสเผ็ดจัด</t>
        </is>
      </c>
      <c r="F4" s="34" t="inlineStr">
        <is>
          <t>กินอาหารจำพวกปลา</t>
        </is>
      </c>
      <c r="G4" s="34" t="inlineStr">
        <is>
          <t>กินอาหารจำพวกผักและผลไม้</t>
        </is>
      </c>
      <c r="H4" s="34" t="inlineStr">
        <is>
          <t>ถูกทุกข้อ</t>
        </is>
      </c>
      <c r="I4" s="35" t="n">
        <v>1</v>
      </c>
      <c r="J4" s="34"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35" t="n"/>
      <c r="L4" s="34" t="inlineStr">
        <is>
          <t>Hypertension</t>
        </is>
      </c>
      <c r="M4" s="35" t="inlineStr">
        <is>
          <t>Clinic</t>
        </is>
      </c>
      <c r="N4" s="34" t="inlineStr">
        <is>
          <t>ข้อ 2 Pharma Plus เล่มม่วง (เฉลยข้อ ก)</t>
        </is>
      </c>
      <c r="O4" s="35" t="inlineStr">
        <is>
          <t>Mock</t>
        </is>
      </c>
      <c r="P4" s="35" t="inlineStr">
        <is>
          <t>Pharma Plus เล่มม่วง</t>
        </is>
      </c>
    </row>
    <row r="5" ht="409.6" customHeight="1" s="49">
      <c r="A5" s="33" t="n">
        <v>3</v>
      </c>
      <c r="B5"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35" t="n"/>
      <c r="D5" s="34" t="inlineStr">
        <is>
          <t>Amlodipine</t>
        </is>
      </c>
      <c r="E5" s="34" t="inlineStr">
        <is>
          <t>Propranolol</t>
        </is>
      </c>
      <c r="F5" s="34" t="inlineStr">
        <is>
          <t>HCTZ</t>
        </is>
      </c>
      <c r="G5" s="34" t="inlineStr">
        <is>
          <t>Valsartan</t>
        </is>
      </c>
      <c r="H5" s="34" t="inlineStr">
        <is>
          <t>Enalapril</t>
        </is>
      </c>
      <c r="I5" s="35" t="n">
        <v>2</v>
      </c>
      <c r="J5" s="34"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35" t="n"/>
      <c r="L5" s="34" t="inlineStr">
        <is>
          <t>Hypertension</t>
        </is>
      </c>
      <c r="M5" s="35" t="inlineStr">
        <is>
          <t>Clinic</t>
        </is>
      </c>
      <c r="N5" s="34" t="inlineStr">
        <is>
          <t>ข้อ 3 Pharma Plus เล่มม่วง (เฉลยข้อ ข)</t>
        </is>
      </c>
      <c r="O5" s="35" t="inlineStr">
        <is>
          <t>Mock</t>
        </is>
      </c>
      <c r="P5" s="35" t="inlineStr">
        <is>
          <t>Pharma Plus เล่มม่วง</t>
        </is>
      </c>
    </row>
    <row r="6" ht="409.6" customHeight="1" s="49">
      <c r="A6" s="33" t="n">
        <v>4</v>
      </c>
      <c r="B6"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35" t="n"/>
      <c r="D6" s="34" t="inlineStr">
        <is>
          <t>130/80 mmHg</t>
        </is>
      </c>
      <c r="E6" s="34" t="inlineStr">
        <is>
          <t>120/80 mmHg</t>
        </is>
      </c>
      <c r="F6" s="34" t="inlineStr">
        <is>
          <t>140/80 mmHg</t>
        </is>
      </c>
      <c r="G6" s="34" t="inlineStr">
        <is>
          <t>130/85 mmHg</t>
        </is>
      </c>
      <c r="H6" s="34" t="inlineStr">
        <is>
          <t>140/90 mmHg</t>
        </is>
      </c>
      <c r="I6" s="35" t="n">
        <v>5</v>
      </c>
      <c r="J6" s="34"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ไม่ตรงกับเกณฑ์มาตรฐานสากลใดๆ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35" t="n"/>
      <c r="L6" s="34" t="inlineStr">
        <is>
          <t>Hypertension</t>
        </is>
      </c>
      <c r="M6" s="35" t="inlineStr">
        <is>
          <t>Clinic</t>
        </is>
      </c>
      <c r="N6" s="34" t="inlineStr">
        <is>
          <t>ข้อ 4 Pharma Plus เล่มม่วง (เฉลยข้อ จ)</t>
        </is>
      </c>
      <c r="O6" s="35" t="inlineStr">
        <is>
          <t>Mock</t>
        </is>
      </c>
      <c r="P6" s="35" t="inlineStr">
        <is>
          <t>Pharma Plus เล่มม่วง</t>
        </is>
      </c>
    </row>
    <row r="7" ht="409.6" customHeight="1" s="49">
      <c r="A7" s="33" t="n">
        <v>5</v>
      </c>
      <c r="B7"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35" t="n"/>
      <c r="D7" s="34" t="inlineStr">
        <is>
          <t>อาการไอแห้งๆ</t>
        </is>
      </c>
      <c r="E7" s="34" t="inlineStr">
        <is>
          <t>ผื่นแพ้รุนแรง</t>
        </is>
      </c>
      <c r="F7" s="34" t="inlineStr">
        <is>
          <t>หัวใจเต้นช้าลง</t>
        </is>
      </c>
      <c r="G7" s="34" t="inlineStr">
        <is>
          <t>ระดับน้ำตาลในเลือดสูงขึ้น</t>
        </is>
      </c>
      <c r="H7" s="34" t="inlineStr">
        <is>
          <t>ไม่มีข้อใดถูก</t>
        </is>
      </c>
      <c r="I7" s="35" t="n">
        <v>1</v>
      </c>
      <c r="J7" s="34"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35" t="n"/>
      <c r="L7" s="34" t="inlineStr">
        <is>
          <t>Hypertension</t>
        </is>
      </c>
      <c r="M7" s="35" t="inlineStr">
        <is>
          <t>Clinic</t>
        </is>
      </c>
      <c r="N7" s="34" t="inlineStr">
        <is>
          <t>ข้อ 5 Pharma Plus เล่มม่วง (เฉลยข้อ ก)</t>
        </is>
      </c>
      <c r="O7" s="35" t="inlineStr">
        <is>
          <t>Mock</t>
        </is>
      </c>
      <c r="P7" s="35" t="inlineStr">
        <is>
          <t>Pharma Plus เล่มม่วง</t>
        </is>
      </c>
    </row>
    <row r="8" ht="409.6" customHeight="1" s="49">
      <c r="A8" s="33" t="n">
        <v>6</v>
      </c>
      <c r="B8" s="34"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35" t="n"/>
      <c r="D8" s="34" t="inlineStr">
        <is>
          <t>AST/ALT</t>
        </is>
      </c>
      <c r="E8" s="34" t="inlineStr">
        <is>
          <t>CBC</t>
        </is>
      </c>
      <c r="F8" s="34" t="inlineStr">
        <is>
          <t>Electrolyte</t>
        </is>
      </c>
      <c r="G8" s="34" t="inlineStr">
        <is>
          <t>Renal function</t>
        </is>
      </c>
      <c r="H8" s="34" t="inlineStr">
        <is>
          <t>ข้อ ค และ ง ถูก</t>
        </is>
      </c>
      <c r="I8" s="35" t="n">
        <v>5</v>
      </c>
      <c r="J8" s="34"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35" t="n"/>
      <c r="L8" s="34" t="inlineStr">
        <is>
          <t>Hypertension</t>
        </is>
      </c>
      <c r="M8" s="35" t="inlineStr">
        <is>
          <t>Clinic</t>
        </is>
      </c>
      <c r="N8" s="34" t="inlineStr">
        <is>
          <t>ข้อ 6 Pharma Plus เล่มม่วง (เฉลยข้อ จ)</t>
        </is>
      </c>
      <c r="O8" s="35" t="inlineStr">
        <is>
          <t>Mock</t>
        </is>
      </c>
      <c r="P8" s="35" t="inlineStr">
        <is>
          <t>Pharma Plus เล่มม่วง</t>
        </is>
      </c>
    </row>
    <row r="9" ht="409.6" customHeight="1" s="49">
      <c r="A9" s="33" t="n">
        <v>7</v>
      </c>
      <c r="B9" s="34" t="inlineStr">
        <is>
          <t>ผู้ป่วยไปซื้อยา enalapril ที่ร้านขายยา เภสัชกรร้านสามารถจ่ายยานี้ได้หรือไม่</t>
        </is>
      </c>
      <c r="C9" s="35" t="n"/>
      <c r="D9" s="34" t="inlineStr">
        <is>
          <t>จ่ายได้ เพราะเป็นยาอันตราย</t>
        </is>
      </c>
      <c r="E9" s="34" t="inlineStr">
        <is>
          <t>จ่ายไม่ได้ เพราะเป็นยาควบคุมพิเศษ</t>
        </is>
      </c>
      <c r="F9" s="34" t="inlineStr">
        <is>
          <t>จ่ายไม่ได้ เพราะเป็นวัตถุออกฤทธิ์ต่อจิตและประสาทประเภท 2</t>
        </is>
      </c>
      <c r="G9" s="34" t="inlineStr">
        <is>
          <t>จ่ายได้ เพราะเป็นยาบรรจุเสร็จที่ไม่ใช่ยาอันตรายหรือยาควบคุมพิเศษ</t>
        </is>
      </c>
      <c r="H9" s="34" t="inlineStr">
        <is>
          <t>จ่ายไม่ได้ เพราะเป็นยาเสพติดให้โทษประเภทที่ 3 ต้องมีใบสั่งแพทย์เท่านั้น</t>
        </is>
      </c>
      <c r="I9" s="35" t="n">
        <v>1</v>
      </c>
      <c r="J9" s="34"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35" t="n"/>
      <c r="L9" s="34" t="inlineStr">
        <is>
          <t>Hypertension</t>
        </is>
      </c>
      <c r="M9" s="35" t="inlineStr">
        <is>
          <t>Clinic</t>
        </is>
      </c>
      <c r="N9" s="34" t="inlineStr">
        <is>
          <t>ข้อ 7 Pharma Plus เล่มม่วง (เฉลยข้อ ก)</t>
        </is>
      </c>
      <c r="O9" s="35" t="inlineStr">
        <is>
          <t>Mock</t>
        </is>
      </c>
      <c r="P9" s="35" t="inlineStr">
        <is>
          <t>Pharma Plus เล่มม่วง</t>
        </is>
      </c>
    </row>
    <row r="10" ht="409.6" customHeight="1" s="49">
      <c r="A10" s="33" t="n">
        <v>8</v>
      </c>
      <c r="B10"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35" t="n"/>
      <c r="D10" s="34" t="inlineStr">
        <is>
          <t>130 mg/dl</t>
        </is>
      </c>
      <c r="E10" s="34" t="inlineStr">
        <is>
          <t>140 mg/dl</t>
        </is>
      </c>
      <c r="F10" s="34" t="inlineStr">
        <is>
          <t>150 mg/dl</t>
        </is>
      </c>
      <c r="G10" s="34" t="inlineStr">
        <is>
          <t>160 mg/dl</t>
        </is>
      </c>
      <c r="H10" s="34" t="inlineStr">
        <is>
          <t>170 mg/dl</t>
        </is>
      </c>
      <c r="I10" s="35" t="n">
        <v>5</v>
      </c>
      <c r="J10" s="34"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35" t="n"/>
      <c r="L10" s="34" t="inlineStr">
        <is>
          <t>Dyslipidemias</t>
        </is>
      </c>
      <c r="M10" s="35" t="inlineStr">
        <is>
          <t>Clinic</t>
        </is>
      </c>
      <c r="N10" s="34" t="inlineStr">
        <is>
          <t>ข้อ 8 Pharma Plus เล่มม่วง (เฉลยข้อ จ)</t>
        </is>
      </c>
      <c r="O10" s="35" t="inlineStr">
        <is>
          <t>Mock</t>
        </is>
      </c>
      <c r="P10" s="35" t="inlineStr">
        <is>
          <t>Pharma Plus เล่มม่วง</t>
        </is>
      </c>
    </row>
    <row r="11" ht="409.6" customHeight="1" s="49">
      <c r="A11" s="33" t="n">
        <v>9</v>
      </c>
      <c r="B11"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35" t="n"/>
      <c r="D11" s="34" t="inlineStr">
        <is>
          <t>บิดาเสียชีวิตด้วย myocardial infarction เมื่ออายุ 53 ปี</t>
        </is>
      </c>
      <c r="E11" s="34" t="inlineStr">
        <is>
          <t>พี่ชายเสียชีวิตด้วย myocardial infarction เมื่ออายุ 44 ปี</t>
        </is>
      </c>
      <c r="F11" s="34" t="inlineStr">
        <is>
          <t>ดื่มไวน์ 2 แก้วทุกวัน</t>
        </is>
      </c>
      <c r="G11" s="34" t="inlineStr">
        <is>
          <t>มีระดับ HDL-C 33 mg/dl</t>
        </is>
      </c>
      <c r="H11" s="34" t="inlineStr">
        <is>
          <t>ผู้ป่วยเป็นชายอายุ 53 ปี</t>
        </is>
      </c>
      <c r="I11" s="35" t="n">
        <v>3</v>
      </c>
      <c r="J11" s="34"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35" t="n"/>
      <c r="L11" s="34" t="inlineStr">
        <is>
          <t>Dyslipidemias</t>
        </is>
      </c>
      <c r="M11" s="35" t="inlineStr">
        <is>
          <t>Clinic</t>
        </is>
      </c>
      <c r="N11" s="34" t="inlineStr">
        <is>
          <t>ข้อ 9 Pharma Plus เล่มม่วง (เฉลยข้อ ค)</t>
        </is>
      </c>
      <c r="O11" s="35" t="inlineStr">
        <is>
          <t>Mock</t>
        </is>
      </c>
      <c r="P11" s="35" t="inlineStr">
        <is>
          <t>Pharma Plus เล่มม่วง</t>
        </is>
      </c>
    </row>
    <row r="12" ht="409.6" customHeight="1" s="49">
      <c r="A12" s="33" t="n">
        <v>10</v>
      </c>
      <c r="B12"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35" t="n"/>
      <c r="D12" s="34" t="inlineStr">
        <is>
          <t>ลดระดับ Total cholesterol</t>
        </is>
      </c>
      <c r="E12" s="34" t="inlineStr">
        <is>
          <t>เพิ่มระดับ HDL-C</t>
        </is>
      </c>
      <c r="F12" s="34" t="inlineStr">
        <is>
          <t>ลดระดับ Non-HDL-C</t>
        </is>
      </c>
      <c r="G12" s="34" t="inlineStr">
        <is>
          <t>ลดระดับ Triglyceride</t>
        </is>
      </c>
      <c r="H12" s="34" t="inlineStr">
        <is>
          <t>ลดระดับ LDL-C</t>
        </is>
      </c>
      <c r="I12" s="35" t="n">
        <v>5</v>
      </c>
      <c r="J12" s="34"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และระดับสากล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35" t="n"/>
      <c r="L12" s="34" t="inlineStr">
        <is>
          <t>Dyslipidemias</t>
        </is>
      </c>
      <c r="M12" s="35" t="inlineStr">
        <is>
          <t>Clinic</t>
        </is>
      </c>
      <c r="N12" s="34" t="inlineStr">
        <is>
          <t>ข้อ 10 Pharma Plus เล่มม่วง (เฉลยข้อ จ)</t>
        </is>
      </c>
      <c r="O12" s="35" t="inlineStr">
        <is>
          <t>Mock</t>
        </is>
      </c>
      <c r="P12" s="35" t="inlineStr">
        <is>
          <t>Pharma Plus เล่มม่วง</t>
        </is>
      </c>
    </row>
    <row r="13" ht="409.6" customHeight="1" s="49">
      <c r="A13" s="33" t="n">
        <v>11</v>
      </c>
      <c r="B13" s="34"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35" t="n"/>
      <c r="D13" s="34" t="inlineStr">
        <is>
          <t>&lt; 100 mg/dl</t>
        </is>
      </c>
      <c r="E13" s="34" t="inlineStr">
        <is>
          <t>&lt; 130 mg/dl</t>
        </is>
      </c>
      <c r="F13" s="34" t="inlineStr">
        <is>
          <t>&lt; 160 mg/dl</t>
        </is>
      </c>
      <c r="G13" s="34" t="inlineStr">
        <is>
          <t>&lt; 190 mg/dl</t>
        </is>
      </c>
      <c r="H13" s="34" t="inlineStr">
        <is>
          <t>&lt; 200 mg/dl</t>
        </is>
      </c>
      <c r="I13" s="35" t="n">
        <v>1</v>
      </c>
      <c r="J13" s="34"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35" t="n"/>
      <c r="L13" s="34" t="inlineStr">
        <is>
          <t>Dyslipidemias</t>
        </is>
      </c>
      <c r="M13" s="35" t="inlineStr">
        <is>
          <t>Clinic</t>
        </is>
      </c>
      <c r="N13" s="34" t="inlineStr">
        <is>
          <t>ข้อ 11 Pharma Plus เล่มม่วง (เฉลยข้อ ก)</t>
        </is>
      </c>
      <c r="O13" s="35" t="inlineStr">
        <is>
          <t>Mock</t>
        </is>
      </c>
      <c r="P13" s="35" t="inlineStr">
        <is>
          <t>Pharma Plus เล่มม่วง</t>
        </is>
      </c>
    </row>
    <row r="14" ht="409.6" customHeight="1" s="49">
      <c r="A14" s="33" t="n">
        <v>12</v>
      </c>
      <c r="B14" s="34" t="inlineStr">
        <is>
          <t>ยาที่คนไข้ควรได้รับเป็นอันดับแรกเพื่อให้ได้ผลตามเป้าหมายตามข้อข้างต้น</t>
        </is>
      </c>
      <c r="C14" s="35" t="n"/>
      <c r="D14" s="34" t="inlineStr">
        <is>
          <t>ยากลุ่ม statin</t>
        </is>
      </c>
      <c r="E14" s="34" t="inlineStr">
        <is>
          <t>ยากลุ่ม bile acid sequestrants</t>
        </is>
      </c>
      <c r="F14" s="34" t="inlineStr">
        <is>
          <t>ยากลุ่ม nicotinic acid</t>
        </is>
      </c>
      <c r="G14" s="34" t="inlineStr">
        <is>
          <t>ยากลุ่ม fibric acid</t>
        </is>
      </c>
      <c r="H14" s="34" t="inlineStr">
        <is>
          <t>ยากลุ่ม plant sterol</t>
        </is>
      </c>
      <c r="I14" s="35" t="n">
        <v>1</v>
      </c>
      <c r="J14" s="34"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35" t="n"/>
      <c r="L14" s="34" t="inlineStr">
        <is>
          <t>Dyslipidemias</t>
        </is>
      </c>
      <c r="M14" s="35" t="inlineStr">
        <is>
          <t>Clinic</t>
        </is>
      </c>
      <c r="N14" s="34" t="inlineStr">
        <is>
          <t>ข้อ 12 Pharma Plus เล่มม่วง (เฉลยข้อ ก)</t>
        </is>
      </c>
      <c r="O14" s="35" t="inlineStr">
        <is>
          <t>Mock</t>
        </is>
      </c>
      <c r="P14" s="35" t="inlineStr">
        <is>
          <t>Pharma Plus เล่มม่วง</t>
        </is>
      </c>
    </row>
    <row r="15" ht="409.6" customHeight="1" s="49">
      <c r="A15" s="33" t="n">
        <v>13</v>
      </c>
      <c r="B15" s="34" t="inlineStr">
        <is>
          <t>ยาในกลุ่ม statin สามารถลดระดับ LDL-C ด้วยกลไกใด</t>
        </is>
      </c>
      <c r="C15" s="35" t="n"/>
      <c r="D15" s="34" t="inlineStr">
        <is>
          <t>ลดการสร้าง LDL-C receptor ที่ตับ</t>
        </is>
      </c>
      <c r="E15" s="34" t="inlineStr">
        <is>
          <t>ลดการสร้าง cholesterol และเพิ่มจำนวน LDL-C receptor</t>
        </is>
      </c>
      <c r="F15" s="34" t="inlineStr">
        <is>
          <t>ลด enterohepatic recycling ของ cholesterol</t>
        </is>
      </c>
      <c r="G15" s="34" t="inlineStr">
        <is>
          <t>ลดการสร้าง VLDL</t>
        </is>
      </c>
      <c r="H15" s="34" t="inlineStr">
        <is>
          <t>ลดการสร้าง HDL</t>
        </is>
      </c>
      <c r="I15" s="35" t="n">
        <v>2</v>
      </c>
      <c r="J15" s="34"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35" t="n"/>
      <c r="L15" s="34" t="inlineStr">
        <is>
          <t>Dyslipidemias</t>
        </is>
      </c>
      <c r="M15" s="35" t="inlineStr">
        <is>
          <t>Clinic</t>
        </is>
      </c>
      <c r="N15" s="34" t="inlineStr">
        <is>
          <t>ข้อ 13 Pharma Plus เล่มม่วง (เฉลยข้อ ข)</t>
        </is>
      </c>
      <c r="O15" s="35" t="inlineStr">
        <is>
          <t>Mock</t>
        </is>
      </c>
      <c r="P15" s="35" t="inlineStr">
        <is>
          <t>Pharma Plus เล่มม่วง</t>
        </is>
      </c>
    </row>
    <row r="16" ht="409.6" customHeight="1" s="49">
      <c r="A16" s="33" t="n">
        <v>14</v>
      </c>
      <c r="B16" s="34"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35" t="n"/>
      <c r="D16" s="34" t="inlineStr">
        <is>
          <t>Cohort study, Case controlled study</t>
        </is>
      </c>
      <c r="E16" s="34" t="inlineStr">
        <is>
          <t>Case report, Cross-sectional study</t>
        </is>
      </c>
      <c r="F16" s="34" t="inlineStr">
        <is>
          <t>Case controlled study, Cross-sectional study</t>
        </is>
      </c>
      <c r="G16" s="34" t="inlineStr">
        <is>
          <t>Meta-analysis, Randomized controlled study</t>
        </is>
      </c>
      <c r="H16" s="34" t="inlineStr">
        <is>
          <t>Cross-sectional study, Randomized controlled study</t>
        </is>
      </c>
      <c r="I16" s="35" t="n">
        <v>4</v>
      </c>
      <c r="J16" s="34"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35" t="n"/>
      <c r="L16" s="34" t="inlineStr">
        <is>
          <t>Evidence-Based Medicine</t>
        </is>
      </c>
      <c r="M16" s="35" t="inlineStr">
        <is>
          <t>Clinic</t>
        </is>
      </c>
      <c r="N16" s="34" t="inlineStr">
        <is>
          <t>ข้อ 14 Pharma Plus เล่มม่วง (เฉลยข้อ ง)</t>
        </is>
      </c>
      <c r="O16" s="35" t="inlineStr">
        <is>
          <t>Mock</t>
        </is>
      </c>
      <c r="P16" s="35" t="inlineStr">
        <is>
          <t>Pharma Plus เล่มม่วง</t>
        </is>
      </c>
    </row>
    <row r="17" ht="409.6" customHeight="1" s="49">
      <c r="A17" s="33" t="n">
        <v>15</v>
      </c>
      <c r="B17" s="34" t="inlineStr">
        <is>
          <t>จากรูปสูตรโครงสร้างข้อใดถูกต้อง</t>
        </is>
      </c>
      <c r="C17" s="35" t="n"/>
      <c r="D17" s="34" t="inlineStr">
        <is>
          <t>Cholestyramine ลดการดูดซึมยา simvastatin เพราะ simvastatin มี lactone ring ในโครงสร้าง</t>
        </is>
      </c>
      <c r="E17" s="34" t="inlineStr">
        <is>
          <t>Cholestyramine ลดการดูดซึมยา pravastatin เพราะ pravastatin มี carboxylic acid ในโครงสร้าง</t>
        </is>
      </c>
      <c r="F17" s="34" t="inlineStr">
        <is>
          <t>Simvastatin ลดการดูดซึมยา cholestyramine</t>
        </is>
      </c>
      <c r="G17" s="34" t="inlineStr">
        <is>
          <t>Cholestyramine ไม่มีผลต่อการดูดซึมยา simvastatin และ pravastatin</t>
        </is>
      </c>
      <c r="H17" s="34" t="inlineStr">
        <is>
          <t>Cholestyramine เพิ่มการดูดซึมยา simvastatin และ pravastatin</t>
        </is>
      </c>
      <c r="I17" s="35" t="n">
        <v>2</v>
      </c>
      <c r="J17" s="34"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35" t="n"/>
      <c r="L17" s="34" t="inlineStr">
        <is>
          <t>Dyslipidemias</t>
        </is>
      </c>
      <c r="M17" s="35" t="inlineStr">
        <is>
          <t>Clinic</t>
        </is>
      </c>
      <c r="N17" s="34" t="inlineStr">
        <is>
          <t>ข้อ 15 Pharma Plus เล่มม่วง (เฉลยข้อ ข)</t>
        </is>
      </c>
      <c r="O17" s="35" t="inlineStr">
        <is>
          <t>Mock</t>
        </is>
      </c>
      <c r="P17" s="35" t="inlineStr">
        <is>
          <t>Pharma Plus เล่มม่วง</t>
        </is>
      </c>
    </row>
    <row r="18" ht="409.6" customHeight="1" s="49">
      <c r="A18" s="33" t="n">
        <v>16</v>
      </c>
      <c r="B18" s="34" t="inlineStr">
        <is>
          <t>โครงสร้างที่แสดงข้างต้นสัมพันธ์กับการออกฤทธิ์ของยาอย่างไร</t>
        </is>
      </c>
      <c r="C18" s="35" t="n"/>
      <c r="D18" s="34" t="inlineStr">
        <is>
          <t>Pravastatin เป็น pro-drug</t>
        </is>
      </c>
      <c r="E18" s="34" t="inlineStr">
        <is>
          <t>Simvastatin และ Pravastatin เป็น pro-drug</t>
        </is>
      </c>
      <c r="F18" s="34" t="inlineStr">
        <is>
          <t>Pravastatin มีโครงสร้างที่ออกฤทธิ์ในร่างกาย 2 โครงสร้าง คือ โครงสร้างที่เกิดการเชื่อมเป็นวง lactone ring และรูปที่เป็น carboxylic acid</t>
        </is>
      </c>
      <c r="G18" s="34" t="inlineStr">
        <is>
          <t>Simvastatin มีโครงสร้างที่ออกฤทธิ์คือ โครงสร้างที่ lactone ring เปิด</t>
        </is>
      </c>
      <c r="H18" s="34" t="inlineStr">
        <is>
          <t>Simvastatin และ Pravastatin ไม่เป็น pro-drug</t>
        </is>
      </c>
      <c r="I18" s="35" t="n">
        <v>4</v>
      </c>
      <c r="J18" s="34"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35" t="n"/>
      <c r="L18" s="34" t="inlineStr">
        <is>
          <t>Dyslipidemias</t>
        </is>
      </c>
      <c r="M18" s="35" t="inlineStr">
        <is>
          <t>Clinic</t>
        </is>
      </c>
      <c r="N18" s="34" t="inlineStr">
        <is>
          <t>ข้อ 16 Pharma Plus เล่มม่วง (เฉลยข้อ ง)</t>
        </is>
      </c>
      <c r="O18" s="35" t="inlineStr">
        <is>
          <t>Mock</t>
        </is>
      </c>
      <c r="P18" s="35" t="inlineStr">
        <is>
          <t>Pharma Plus เล่มม่วง</t>
        </is>
      </c>
    </row>
    <row r="19" ht="409.6" customHeight="1" s="49">
      <c r="A19" s="33" t="n">
        <v>17</v>
      </c>
      <c r="B19"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35" t="n"/>
      <c r="D19" s="34" t="inlineStr">
        <is>
          <t>เริ่มการรักษาโดยใช้ atorvastatin 40 mg ทุกเย็น และ follow up</t>
        </is>
      </c>
      <c r="E19" s="34" t="inlineStr">
        <is>
          <t>ผู้ป่วยมีปัจจัยเสี่ยงเพียง 1 ปัจจัย ดังนั้นควรใช้การควบคุมอาหารรักษาต่อไป</t>
        </is>
      </c>
      <c r="F19" s="34" t="inlineStr">
        <is>
          <t>เริ่มการรักษาโดยใช้ niacin 1 gm BID และ follow up ในอีก 6 เดือน</t>
        </is>
      </c>
      <c r="G19" s="34" t="inlineStr">
        <is>
          <t>เริ่มการรักษาโดยใช้ cholestyramine 4 gm BID</t>
        </is>
      </c>
      <c r="H19" s="34" t="inlineStr">
        <is>
          <t>เริ่มการรักษาโดยใช้ gemfibrozil 600 mg BID</t>
        </is>
      </c>
      <c r="I19" s="35" t="n">
        <v>1</v>
      </c>
      <c r="J19" s="34"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ซึ่งแนวทางเวชปฏิบัติระดับสากลและของไทยกำหนดให้ต้องเริ่มยากลุ่ม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35" t="n"/>
      <c r="L19" s="34" t="inlineStr">
        <is>
          <t>Coronary artery disease</t>
        </is>
      </c>
      <c r="M19" s="35" t="inlineStr">
        <is>
          <t>Clinic</t>
        </is>
      </c>
      <c r="N19" s="34" t="inlineStr">
        <is>
          <t>ข้อ 17 Pharma Plus เล่มม่วง (เฉลยข้อ ก)</t>
        </is>
      </c>
      <c r="O19" s="35" t="inlineStr">
        <is>
          <t>Mock</t>
        </is>
      </c>
      <c r="P19" s="35" t="inlineStr">
        <is>
          <t>Pharma Plus เล่มม่วง</t>
        </is>
      </c>
    </row>
    <row r="20" ht="409.6" customHeight="1" s="49">
      <c r="A20" s="33" t="n">
        <v>18</v>
      </c>
      <c r="B20"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35" t="n"/>
      <c r="D20" s="34" t="inlineStr">
        <is>
          <t>Gemfibrozil</t>
        </is>
      </c>
      <c r="E20" s="34" t="inlineStr">
        <is>
          <t>Niacin</t>
        </is>
      </c>
      <c r="F20" s="34" t="inlineStr">
        <is>
          <t>Cholestyramine</t>
        </is>
      </c>
      <c r="G20" s="34" t="inlineStr">
        <is>
          <t>Propranolol</t>
        </is>
      </c>
      <c r="H20" s="34" t="inlineStr">
        <is>
          <t>Enalapril</t>
        </is>
      </c>
      <c r="I20" s="35" t="n">
        <v>1</v>
      </c>
      <c r="J20" s="34"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35" t="n"/>
      <c r="L20" s="34" t="inlineStr">
        <is>
          <t>Dyslipidemias</t>
        </is>
      </c>
      <c r="M20" s="35" t="inlineStr">
        <is>
          <t>Clinic</t>
        </is>
      </c>
      <c r="N20" s="34" t="inlineStr">
        <is>
          <t>ข้อ 18 Pharma Plus เล่มม่วง (เฉลยข้อ ก)</t>
        </is>
      </c>
      <c r="O20" s="35" t="inlineStr">
        <is>
          <t>Mock</t>
        </is>
      </c>
      <c r="P20" s="35" t="inlineStr">
        <is>
          <t>Pharma Plus เล่มม่วง</t>
        </is>
      </c>
    </row>
    <row r="21" ht="409.6" customHeight="1" s="49">
      <c r="A21" s="33" t="n">
        <v>19</v>
      </c>
      <c r="B21"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35" t="n"/>
      <c r="D21" s="34" t="inlineStr">
        <is>
          <t>Atenolol อาการหอบ</t>
        </is>
      </c>
      <c r="E21" s="34" t="inlineStr">
        <is>
          <t>Ramipril ภาวะ hypokalemia</t>
        </is>
      </c>
      <c r="F21" s="34" t="inlineStr">
        <is>
          <t>Cholestyramine กล้ามเนื้ออ่อนแรง</t>
        </is>
      </c>
      <c r="G21" s="34" t="inlineStr">
        <is>
          <t>Gemfibrozil ตามัว (blurred vision)</t>
        </is>
      </c>
      <c r="H21" s="34" t="inlineStr">
        <is>
          <t>Isosorbide mononitrate ปวดศีรษะ</t>
        </is>
      </c>
      <c r="I21" s="35" t="n">
        <v>5</v>
      </c>
      <c r="J21" s="34"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35" t="n"/>
      <c r="L21" s="34" t="inlineStr">
        <is>
          <t>Coronary artery disease</t>
        </is>
      </c>
      <c r="M21" s="35" t="inlineStr">
        <is>
          <t>Clinic</t>
        </is>
      </c>
      <c r="N21" s="34" t="inlineStr">
        <is>
          <t>ข้อ 19 Pharma Plus เล่มม่วง (เฉลยข้อ จ)</t>
        </is>
      </c>
      <c r="O21" s="35" t="inlineStr">
        <is>
          <t>Mock</t>
        </is>
      </c>
      <c r="P21" s="35" t="inlineStr">
        <is>
          <t>Pharma Plus เล่มม่วง</t>
        </is>
      </c>
    </row>
    <row r="22" ht="409.6" customHeight="1" s="49">
      <c r="A22" s="33" t="n">
        <v>20</v>
      </c>
      <c r="B22"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35" t="n"/>
      <c r="D22" s="34" t="inlineStr">
        <is>
          <t>เพิ่ม Heart rate ลดแรงบีบตัวของหัวใจทำให้ cardiac output เพิ่มขึ้น</t>
        </is>
      </c>
      <c r="E22" s="34" t="inlineStr">
        <is>
          <t>ลด Heart rate ลดแรงบีบตัวของหัวใจทำให้ cardiac output เพิ่มขึ้น</t>
        </is>
      </c>
      <c r="F22" s="34" t="inlineStr">
        <is>
          <t>ลด Heart rate ลดแรงบีบตัวของหัวใจทำให้ cardiac output ลดลง</t>
        </is>
      </c>
      <c r="G22" s="34" t="inlineStr">
        <is>
          <t>กระตุ้นการหลั่ง Renin ที่ไต</t>
        </is>
      </c>
      <c r="H22" s="34" t="inlineStr">
        <is>
          <t>ทำให้เกิด Negative feedback และ compensatory outflow จากระบบประสาทส่วนกลาง</t>
        </is>
      </c>
      <c r="I22" s="35" t="n">
        <v>3</v>
      </c>
      <c r="J22" s="34"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35" t="n"/>
      <c r="L22" s="34" t="inlineStr">
        <is>
          <t>Coronary artery disease</t>
        </is>
      </c>
      <c r="M22" s="35" t="inlineStr">
        <is>
          <t>Clinic</t>
        </is>
      </c>
      <c r="N22" s="34" t="inlineStr">
        <is>
          <t>ข้อ 20 Pharma Plus เล่มม่วง (เฉลยข้อ ค)</t>
        </is>
      </c>
      <c r="O22" s="35" t="inlineStr">
        <is>
          <t>Mock</t>
        </is>
      </c>
      <c r="P22" s="35" t="inlineStr">
        <is>
          <t>Pharma Plus เล่มม่วง</t>
        </is>
      </c>
    </row>
    <row r="23" ht="409.6" customHeight="1" s="49">
      <c r="A23" s="33" t="n">
        <v>21</v>
      </c>
      <c r="B23"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35" t="n"/>
      <c r="D23" s="34" t="inlineStr">
        <is>
          <t>รับประทานยาแล้วดื่มน้ำตามมากๆ เวลามีอาการ</t>
        </is>
      </c>
      <c r="E23" s="34" t="inlineStr">
        <is>
          <t>เคี้ยวยาให้ละเอียดก่อนกลืนเวลามีอาการ</t>
        </is>
      </c>
      <c r="F23" s="34" t="inlineStr">
        <is>
          <t>เมื่อลืมรับประทานยา ให้รับประทานยาเพิ่มเป็น 2 เม็ดได้</t>
        </is>
      </c>
      <c r="G23" s="34" t="inlineStr">
        <is>
          <t>เมื่อมีอาการอมยาไว้ใต้ลิ้นจนกว่ายาจะละลายหมดโดยพยายามไม่กลืนน้ำลาย</t>
        </is>
      </c>
      <c r="H23" s="34" t="inlineStr">
        <is>
          <t>เมื่อมีอาการอมยาไว้ปากระหว่างเหงือกและกระพุ้งแก้มจนยาละลายหมด ไม่กลืนน้ำลาย</t>
        </is>
      </c>
      <c r="I23" s="35" t="n">
        <v>4</v>
      </c>
      <c r="J23" s="34"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35" t="n"/>
      <c r="L23" s="34" t="inlineStr">
        <is>
          <t>Coronary artery disease</t>
        </is>
      </c>
      <c r="M23" s="35" t="inlineStr">
        <is>
          <t>Clinic</t>
        </is>
      </c>
      <c r="N23" s="34" t="inlineStr">
        <is>
          <t>ข้อ 21 Pharma Plus เล่มม่วง (เฉลยข้อ ง)</t>
        </is>
      </c>
      <c r="O23" s="35" t="inlineStr">
        <is>
          <t>Mock</t>
        </is>
      </c>
      <c r="P23" s="35" t="inlineStr">
        <is>
          <t>Pharma Plus เล่มม่วง</t>
        </is>
      </c>
    </row>
    <row r="24" ht="409.6" customHeight="1" s="49">
      <c r="A24" s="33" t="n">
        <v>22</v>
      </c>
      <c r="B24" s="34"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35" t="n"/>
      <c r="D24" s="34" t="inlineStr">
        <is>
          <t>รับประทานวันละ 2 ครั้ง เช้า-เย็น</t>
        </is>
      </c>
      <c r="E24" s="34" t="inlineStr">
        <is>
          <t>รับประทานวันละ 2 ครั้ง เช้า-บ่าย (3 โมง)</t>
        </is>
      </c>
      <c r="F24" s="34" t="inlineStr">
        <is>
          <t>รับประทานวันละ 2 ครั้ง เช้า-ก่อนนอน</t>
        </is>
      </c>
      <c r="G24" s="34" t="inlineStr">
        <is>
          <t>อมใต้ลิ้น วันละ 2 ครั้ง เช้า-เย็น</t>
        </is>
      </c>
      <c r="H24" s="34" t="inlineStr">
        <is>
          <t>อมใต้ลิ้น วันละ 2 ครั้ง เช้า-บ่าย (3 โมง)</t>
        </is>
      </c>
      <c r="I24" s="35" t="n">
        <v>2</v>
      </c>
      <c r="J24" s="34"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35" t="n"/>
      <c r="L24" s="34" t="inlineStr">
        <is>
          <t>Coronary artery disease</t>
        </is>
      </c>
      <c r="M24" s="35" t="inlineStr">
        <is>
          <t>Clinic</t>
        </is>
      </c>
      <c r="N24" s="34" t="inlineStr">
        <is>
          <t>ข้อ 22 Pharma Plus เล่มม่วง (เฉลยข้อ ข)</t>
        </is>
      </c>
      <c r="O24" s="35" t="inlineStr">
        <is>
          <t>Mock</t>
        </is>
      </c>
      <c r="P24" s="35" t="inlineStr">
        <is>
          <t>Pharma Plus เล่มม่วง</t>
        </is>
      </c>
    </row>
    <row r="25" ht="409.6" customHeight="1" s="49">
      <c r="A25" s="33" t="n">
        <v>23</v>
      </c>
      <c r="B25" s="34" t="inlineStr">
        <is>
          <t>ข้อใดไม่ใช่เหตุผลในการเลือกจ่ายยาคุมชนิด Progestin เพียงตัวเดียว (POPs) แทนการจ่ายยาคุมชนิดฮอร์โมนรวม (COCs)</t>
        </is>
      </c>
      <c r="C25" s="35" t="n"/>
      <c r="D25" s="34" t="inlineStr">
        <is>
          <t>มีภาวะปวดหัวไมเกรนรุนแรง</t>
        </is>
      </c>
      <c r="E25" s="34" t="inlineStr">
        <is>
          <t>อยู่ระหว่างการให้นมบุตร</t>
        </is>
      </c>
      <c r="F25" s="34" t="inlineStr">
        <is>
          <t>มีเลือดออกกระปริดกระปรอย</t>
        </is>
      </c>
      <c r="G25" s="34" t="inlineStr">
        <is>
          <t>มีโรคเกี่ยวกับหลอดเลือดหัวใจ</t>
        </is>
      </c>
      <c r="H25" s="34" t="inlineStr">
        <is>
          <t>มีอาการคลื่นไส้ อาเจียนจากเอสโตรเจน</t>
        </is>
      </c>
      <c r="I25" s="35" t="n">
        <v>3</v>
      </c>
      <c r="J25" s="34"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35" t="n"/>
      <c r="L25" s="34" t="inlineStr">
        <is>
          <t>Contraception &amp; Cardiovascular Risk</t>
        </is>
      </c>
      <c r="M25" s="35" t="inlineStr">
        <is>
          <t>Clinic</t>
        </is>
      </c>
      <c r="N25" s="34" t="inlineStr">
        <is>
          <t>Mock PLE-CC 1 ข้อ 88</t>
        </is>
      </c>
      <c r="O25" s="35" t="inlineStr">
        <is>
          <t>Mock</t>
        </is>
      </c>
      <c r="P25" s="35" t="inlineStr">
        <is>
          <t>Mock RxCU83</t>
        </is>
      </c>
      <c r="Q25" s="2" t="n"/>
    </row>
    <row r="26" ht="409.6" customHeight="1" s="49">
      <c r="A26" s="33" t="n">
        <v>24</v>
      </c>
      <c r="B26" s="34"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35" t="n"/>
      <c r="D26" s="34" t="inlineStr">
        <is>
          <t>Isoniazid ส่งผลให้ระดับยา warfarin ลดลง</t>
        </is>
      </c>
      <c r="E26" s="34" t="inlineStr">
        <is>
          <t>Rifampin ส่งผลให้ระดับยา warfarin ลดลง</t>
        </is>
      </c>
      <c r="F26" s="34" t="inlineStr">
        <is>
          <t>Pyrazinamide ส่งผลให้ระดับยา warfarin เพิ่มขึ้น</t>
        </is>
      </c>
      <c r="G26" s="34" t="inlineStr">
        <is>
          <t>Ethambutol ส่งผลให้ระดับยา warfarin ลดลง</t>
        </is>
      </c>
      <c r="H26" s="34" t="inlineStr">
        <is>
          <t>ยาทุกตัวในสูตรยารักษาวัณโรคไม่ส่งผลต่อระดับยา warfarin</t>
        </is>
      </c>
      <c r="I26" s="35" t="n">
        <v>2</v>
      </c>
      <c r="J26" s="34"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35" t="n"/>
      <c r="L26" s="34" t="inlineStr">
        <is>
          <t>Anticoagulation &amp; Arrhythmia</t>
        </is>
      </c>
      <c r="M26" s="35" t="inlineStr">
        <is>
          <t>Clinic</t>
        </is>
      </c>
      <c r="N26" s="34" t="inlineStr">
        <is>
          <t>Mock PLE-CC 1 ข้อ 97</t>
        </is>
      </c>
      <c r="O26" s="35" t="inlineStr">
        <is>
          <t>Mock</t>
        </is>
      </c>
      <c r="P26" s="35" t="inlineStr">
        <is>
          <t>Mock RxCU83</t>
        </is>
      </c>
      <c r="Q26" s="2" t="n"/>
    </row>
    <row r="27" ht="409.6" customHeight="1" s="49">
      <c r="A27" s="33" t="n">
        <v>25</v>
      </c>
      <c r="B27" s="34"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35" t="n"/>
      <c r="D27" s="34" t="inlineStr">
        <is>
          <t>Enalapril</t>
        </is>
      </c>
      <c r="E27" s="34" t="inlineStr">
        <is>
          <t>Amlodipine</t>
        </is>
      </c>
      <c r="F27" s="34" t="inlineStr">
        <is>
          <t>Metformin</t>
        </is>
      </c>
      <c r="G27" s="34" t="inlineStr">
        <is>
          <t>Theophylline</t>
        </is>
      </c>
      <c r="H27" s="34" t="inlineStr">
        <is>
          <t>Tiotropium</t>
        </is>
      </c>
      <c r="I27" s="35" t="n">
        <v>4</v>
      </c>
      <c r="J27" s="34"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35" t="n"/>
      <c r="L27" s="34" t="inlineStr">
        <is>
          <t>Cardiovascular &amp; Pulmonary Pharmacology</t>
        </is>
      </c>
      <c r="M27" s="35" t="inlineStr">
        <is>
          <t>Clinic</t>
        </is>
      </c>
      <c r="N27" s="34" t="inlineStr">
        <is>
          <t>PLE_CC1_2567_Key ข้อ 2</t>
        </is>
      </c>
      <c r="O27" s="35" t="inlineStr">
        <is>
          <t>ข้อสอบจริง</t>
        </is>
      </c>
      <c r="P27" s="35" t="inlineStr">
        <is>
          <t>ปี 2567</t>
        </is>
      </c>
      <c r="Q27" s="2" t="n"/>
    </row>
    <row r="28" ht="409.6" customHeight="1" s="49">
      <c r="A28" s="33" t="n">
        <v>26</v>
      </c>
      <c r="B28" s="34" t="inlineStr">
        <is>
          <t>ยาตัวใดต่อไปนี้มีฤทธิ์ยับยั้งผลของ Angiotensin II ได้โดยตรงที่ตัวรับมากที่สุด (Direct Angiotensin II Receptor Blocker)</t>
        </is>
      </c>
      <c r="C28" s="35" t="n"/>
      <c r="D28" s="34" t="inlineStr">
        <is>
          <t>Aliskiren</t>
        </is>
      </c>
      <c r="E28" s="34" t="inlineStr">
        <is>
          <t>Enalapril</t>
        </is>
      </c>
      <c r="F28" s="34" t="inlineStr">
        <is>
          <t>Losartan</t>
        </is>
      </c>
      <c r="G28" s="34" t="inlineStr">
        <is>
          <t>Carvedilol</t>
        </is>
      </c>
      <c r="H28" s="34" t="inlineStr">
        <is>
          <t>Furosemide</t>
        </is>
      </c>
      <c r="I28" s="35" t="n">
        <v>3</v>
      </c>
      <c r="J28" s="34"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35" t="n"/>
      <c r="L28" s="34" t="inlineStr">
        <is>
          <t>Hypertension</t>
        </is>
      </c>
      <c r="M28" s="35" t="inlineStr">
        <is>
          <t>Clinic</t>
        </is>
      </c>
      <c r="N28" s="34" t="inlineStr">
        <is>
          <t>PLE_CC1_2567_Key ข้อ 1</t>
        </is>
      </c>
      <c r="O28" s="35" t="inlineStr">
        <is>
          <t>ข้อสอบจริง</t>
        </is>
      </c>
      <c r="P28" s="35" t="inlineStr">
        <is>
          <t>ปี 2567</t>
        </is>
      </c>
    </row>
    <row r="29" ht="409.6" customHeight="1" s="49">
      <c r="A29" s="33" t="n">
        <v>27</v>
      </c>
      <c r="B29" s="34"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35" t="n"/>
      <c r="D29" s="34" t="inlineStr">
        <is>
          <t>กระตุ้น transcription factor SREBP-2 เพื่อเพิ่มการแสดงออกของ LDL receptors บนผิวเซลล์ตับ</t>
        </is>
      </c>
      <c r="E29" s="34" t="inlineStr">
        <is>
          <t>ยับยั้งการแสดงออกของ LDL receptors บนผิวเซลล์ตับเพื่อลดการดูดกลับไขมัน</t>
        </is>
      </c>
      <c r="F29" s="34" t="inlineStr">
        <is>
          <t>กระตุ้นเอนไซม์ PCSK9 ให้ทำลาย LDL receptors ในกระแสเลือด</t>
        </is>
      </c>
      <c r="G29" s="34" t="inlineStr">
        <is>
          <t>ยับยั้งการทำงานของ Lipoprotein lipase (LPL) ที่ผนังหลอดเลือด</t>
        </is>
      </c>
      <c r="H29" s="34" t="inlineStr">
        <is>
          <t>เพิ่มการสังเคราะห์ Apolipoprotein B-100 ในเซลล์ตับ</t>
        </is>
      </c>
      <c r="I29" s="35" t="n">
        <v>1</v>
      </c>
      <c r="J29" s="34"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35" t="n"/>
      <c r="L29" s="34" t="inlineStr">
        <is>
          <t>Dyslipidemias</t>
        </is>
      </c>
      <c r="M29" s="35" t="inlineStr">
        <is>
          <t>Clinic</t>
        </is>
      </c>
      <c r="N29" s="34" t="inlineStr">
        <is>
          <t>PLE_CC1_2567_Key ข้อ 2</t>
        </is>
      </c>
      <c r="O29" s="35" t="inlineStr">
        <is>
          <t>ข้อสอบจริง</t>
        </is>
      </c>
      <c r="P29" s="35" t="inlineStr">
        <is>
          <t>ปี 2567</t>
        </is>
      </c>
    </row>
    <row r="30" ht="409.6" customHeight="1" s="49">
      <c r="A30" s="33" t="n">
        <v>28</v>
      </c>
      <c r="B30" s="34" t="inlineStr">
        <is>
          <t>กลไกการออกฤทธิ์ของยากลุ่ม Statins ที่ส่งผลให้ระดับคอเลสเตอรอลชนิด LDL ในเลือดลดลงคือข้อใด</t>
        </is>
      </c>
      <c r="C30" s="35" t="n"/>
      <c r="D30" s="34" t="inlineStr">
        <is>
          <t>ยับยั้งเอนไซม์ HMG-CoA reductase และเพิ่มจำนวน LDL receptors ที่ตับ</t>
        </is>
      </c>
      <c r="E30" s="34" t="inlineStr">
        <is>
          <t>5-alpha reductase inhibitor</t>
        </is>
      </c>
      <c r="F30" s="34" t="inlineStr">
        <is>
          <t>Aldose reductase inhibitor</t>
        </is>
      </c>
      <c r="G30" s="34" t="inlineStr">
        <is>
          <t>Dihydrofolate reductase inhibitor</t>
        </is>
      </c>
      <c r="H30" s="34" t="inlineStr">
        <is>
          <t>Dihydropteroate synthase inhibitor</t>
        </is>
      </c>
      <c r="I30" s="35" t="n">
        <v>1</v>
      </c>
      <c r="J30" s="34"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35" t="n"/>
      <c r="L30" s="34" t="inlineStr">
        <is>
          <t>Dyslipidemias</t>
        </is>
      </c>
      <c r="M30" s="35" t="inlineStr">
        <is>
          <t>Clinic</t>
        </is>
      </c>
      <c r="N30" s="34" t="inlineStr">
        <is>
          <t>PLE_CC1_2567_Key ข้อ 4</t>
        </is>
      </c>
      <c r="O30" s="35" t="inlineStr">
        <is>
          <t>ข้อสอบจริง</t>
        </is>
      </c>
      <c r="P30" s="35" t="inlineStr">
        <is>
          <t>ปี 2567</t>
        </is>
      </c>
      <c r="Q30" s="2" t="n"/>
    </row>
    <row r="31" ht="409.6" customHeight="1" s="49">
      <c r="A31" s="33" t="n">
        <v>29</v>
      </c>
      <c r="B31" s="34"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35" t="n"/>
      <c r="D31" s="34" t="inlineStr">
        <is>
          <t>Rhabdomyolysis</t>
        </is>
      </c>
      <c r="E31" s="34" t="inlineStr">
        <is>
          <t>Severe Hypotension</t>
        </is>
      </c>
      <c r="F31" s="34" t="inlineStr">
        <is>
          <t>Hyperkalemia</t>
        </is>
      </c>
      <c r="G31" s="34" t="inlineStr">
        <is>
          <t>Bradycardia</t>
        </is>
      </c>
      <c r="H31" s="34" t="inlineStr">
        <is>
          <t>Nausea and Vomiting</t>
        </is>
      </c>
      <c r="I31" s="35" t="n">
        <v>1</v>
      </c>
      <c r="J31" s="34"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35" t="n"/>
      <c r="L31" s="34" t="inlineStr">
        <is>
          <t>Dyslipidemias</t>
        </is>
      </c>
      <c r="M31" s="35" t="inlineStr">
        <is>
          <t>Clinic</t>
        </is>
      </c>
      <c r="N31" s="34" t="inlineStr">
        <is>
          <t>PLE_CC1_2567_Key ข้อ 5</t>
        </is>
      </c>
      <c r="O31" s="35" t="inlineStr">
        <is>
          <t>ข้อสอบจริง</t>
        </is>
      </c>
      <c r="P31" s="35" t="inlineStr">
        <is>
          <t>ปี 2567</t>
        </is>
      </c>
      <c r="Q31" s="2" t="n"/>
    </row>
    <row r="32" ht="409.6" customHeight="1" s="49">
      <c r="A32" s="33" t="n">
        <v>30</v>
      </c>
      <c r="B32" s="34"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35" t="n"/>
      <c r="D32" s="34" t="inlineStr">
        <is>
          <t>Rosuvastatin</t>
        </is>
      </c>
      <c r="E32" s="34" t="inlineStr">
        <is>
          <t>Simvastatin</t>
        </is>
      </c>
      <c r="F32" s="34" t="inlineStr">
        <is>
          <t>Lovastatin</t>
        </is>
      </c>
      <c r="G32" s="34" t="inlineStr">
        <is>
          <t>Pravastatin</t>
        </is>
      </c>
      <c r="H32" s="34" t="inlineStr">
        <is>
          <t>Fluvastatin IR</t>
        </is>
      </c>
      <c r="I32" s="35" t="n">
        <v>1</v>
      </c>
      <c r="J32" s="34"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35" t="n"/>
      <c r="L32" s="34" t="inlineStr">
        <is>
          <t>Dyslipidemias</t>
        </is>
      </c>
      <c r="M32" s="35" t="inlineStr">
        <is>
          <t>Clinic</t>
        </is>
      </c>
      <c r="N32" s="34" t="inlineStr">
        <is>
          <t>PLE_CC1_2567_Key ข้อ 6</t>
        </is>
      </c>
      <c r="O32" s="35" t="inlineStr">
        <is>
          <t>ข้อสอบจริง</t>
        </is>
      </c>
      <c r="P32" s="35" t="inlineStr">
        <is>
          <t>ปี 2567</t>
        </is>
      </c>
      <c r="Q32" s="2" t="n"/>
    </row>
    <row r="33" ht="409.6" customHeight="1" s="49">
      <c r="A33" s="33" t="n">
        <v>31</v>
      </c>
      <c r="B33" s="34" t="inlineStr">
        <is>
          <t>ในตำรับยาเม็ดหรือสารละลายยาฉีด Edetate disodium (Disodium EDTA) ทำหน้าที่เป็นสารช่วยทางเภสัชกรรม (Excipient) ชนิดใด</t>
        </is>
      </c>
      <c r="C33" s="35" t="n"/>
      <c r="D33" s="34" t="inlineStr">
        <is>
          <t>Buffering agent</t>
        </is>
      </c>
      <c r="E33" s="34" t="inlineStr">
        <is>
          <t>Chelating agent</t>
        </is>
      </c>
      <c r="F33" s="34" t="inlineStr">
        <is>
          <t>pH adjustment</t>
        </is>
      </c>
      <c r="G33" s="34" t="inlineStr">
        <is>
          <t>Tonicity agent</t>
        </is>
      </c>
      <c r="H33" s="34" t="inlineStr">
        <is>
          <t>Preservative</t>
        </is>
      </c>
      <c r="I33" s="35" t="n">
        <v>2</v>
      </c>
      <c r="J33" s="34"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35" t="n"/>
      <c r="L33" s="34" t="inlineStr">
        <is>
          <t>Pharmaceutics &amp; Excipients</t>
        </is>
      </c>
      <c r="M33" s="35" t="inlineStr">
        <is>
          <t>Clinic</t>
        </is>
      </c>
      <c r="N33" s="34" t="inlineStr">
        <is>
          <t>PLE_CC1_2567_Key ข้อ 7</t>
        </is>
      </c>
      <c r="O33" s="35" t="inlineStr">
        <is>
          <t>ข้อสอบจริง</t>
        </is>
      </c>
      <c r="P33" s="35" t="inlineStr">
        <is>
          <t>ปี 2567</t>
        </is>
      </c>
      <c r="Q33" s="2" t="n"/>
    </row>
    <row r="34" ht="409.6" customHeight="1" s="49">
      <c r="A34" s="33" t="n">
        <v>32</v>
      </c>
      <c r="B34" s="34"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35" t="n"/>
      <c r="D34" s="34" t="inlineStr">
        <is>
          <t>Fentanyl</t>
        </is>
      </c>
      <c r="E34" s="34" t="inlineStr">
        <is>
          <t>Thiamine</t>
        </is>
      </c>
      <c r="F34" s="34" t="inlineStr">
        <is>
          <t>Naloxone</t>
        </is>
      </c>
      <c r="G34" s="34" t="inlineStr">
        <is>
          <t>Flumazenil</t>
        </is>
      </c>
      <c r="H34" s="34" t="inlineStr">
        <is>
          <t>Bromocriptine</t>
        </is>
      </c>
      <c r="I34" s="35" t="n">
        <v>3</v>
      </c>
      <c r="J34" s="34"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35" t="n"/>
      <c r="L34" s="34" t="inlineStr">
        <is>
          <t>Toxicology &amp; Critical Care</t>
        </is>
      </c>
      <c r="M34" s="35" t="inlineStr">
        <is>
          <t>Clinic</t>
        </is>
      </c>
      <c r="N34" s="34" t="inlineStr">
        <is>
          <t>PLE_CC1_2567_Key ข้อ 14</t>
        </is>
      </c>
      <c r="O34" s="35" t="inlineStr">
        <is>
          <t>ข้อสอบจริง</t>
        </is>
      </c>
      <c r="P34" s="35" t="inlineStr">
        <is>
          <t>ปี 2567</t>
        </is>
      </c>
      <c r="Q34" s="2" t="n"/>
    </row>
    <row r="35" ht="409.6" customHeight="1" s="49">
      <c r="A35" s="33" t="n">
        <v>33</v>
      </c>
      <c r="B35" s="34"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35" t="n"/>
      <c r="D35" s="34" t="inlineStr">
        <is>
          <t>Docusate sodium</t>
        </is>
      </c>
      <c r="E35" s="34" t="inlineStr">
        <is>
          <t>Bisacodyl tablet</t>
        </is>
      </c>
      <c r="F35" s="34" t="inlineStr">
        <is>
          <t>Milk of Magnesia (MOM)</t>
        </is>
      </c>
      <c r="G35" s="34" t="inlineStr">
        <is>
          <t>Glycerin suppository</t>
        </is>
      </c>
      <c r="H35" s="34" t="inlineStr">
        <is>
          <t>Psyllium husk</t>
        </is>
      </c>
      <c r="I35" s="35" t="n">
        <v>4</v>
      </c>
      <c r="J35" s="34"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35" t="n"/>
      <c r="L35" s="34" t="inlineStr">
        <is>
          <t>Cardiovascular Pharmacology &amp; ADR Management</t>
        </is>
      </c>
      <c r="M35" s="35" t="inlineStr">
        <is>
          <t>Clinic</t>
        </is>
      </c>
      <c r="N35" s="34" t="inlineStr">
        <is>
          <t>PLE_CC1_2567_Key ข้อ 24</t>
        </is>
      </c>
      <c r="O35" s="35" t="inlineStr">
        <is>
          <t>ข้อสอบจริง</t>
        </is>
      </c>
      <c r="P35" s="35" t="inlineStr">
        <is>
          <t>ปี 2567</t>
        </is>
      </c>
      <c r="Q35" s="2" t="n"/>
    </row>
    <row r="36" ht="409.6" customHeight="1" s="49">
      <c r="A36" s="33" t="n">
        <v>34</v>
      </c>
      <c r="B36" s="34"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35" t="n"/>
      <c r="D36" s="34" t="inlineStr">
        <is>
          <t>Simvastatin 40 mg hs</t>
        </is>
      </c>
      <c r="E36" s="34" t="inlineStr">
        <is>
          <t>Rosuvastatin 40 mg hs</t>
        </is>
      </c>
      <c r="F36" s="34" t="inlineStr">
        <is>
          <t>Pravastatin 20 mg hs</t>
        </is>
      </c>
      <c r="G36" s="34" t="inlineStr">
        <is>
          <t>Atorvastatin 40 mg hs</t>
        </is>
      </c>
      <c r="H36" s="34" t="inlineStr">
        <is>
          <t>Fluvastatin 20 mg hs</t>
        </is>
      </c>
      <c r="I36" s="35" t="n">
        <v>4</v>
      </c>
      <c r="J36" s="34"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35" t="n"/>
      <c r="L36" s="34" t="inlineStr">
        <is>
          <t>Dyslipidemias &amp; Renal Impairment</t>
        </is>
      </c>
      <c r="M36" s="35" t="inlineStr">
        <is>
          <t>Clinic</t>
        </is>
      </c>
      <c r="N36" s="34" t="inlineStr">
        <is>
          <t>PLE_CC1_2567_Key ข้อ 51</t>
        </is>
      </c>
      <c r="O36" s="35" t="inlineStr">
        <is>
          <t>ข้อสอบจริง</t>
        </is>
      </c>
      <c r="P36" s="35" t="inlineStr">
        <is>
          <t>ปี 2567</t>
        </is>
      </c>
      <c r="Q36" s="2" t="n"/>
    </row>
    <row r="37" ht="409.6" customHeight="1" s="49">
      <c r="A37" s="33" t="n">
        <v>35</v>
      </c>
      <c r="B37" s="34" t="inlineStr">
        <is>
          <t>ข้อใดเป็นข้อห้ามใช้เด็ดขาด (Absolute Contraindication) ของยากลุ่ม Statins</t>
        </is>
      </c>
      <c r="C37" s="35" t="n"/>
      <c r="D37" s="34" t="inlineStr">
        <is>
          <t>การติดเชื้อในทางเดินปัสสาวะ</t>
        </is>
      </c>
      <c r="E37" s="34" t="inlineStr">
        <is>
          <t>นิ่วในถุงน้ำดี</t>
        </is>
      </c>
      <c r="F37" s="34" t="inlineStr">
        <is>
          <t>ภาวะตั้งครรภ์และให้นมบุตร</t>
        </is>
      </c>
      <c r="G37" s="34" t="inlineStr">
        <is>
          <t>โรคไตเรื้อรัง ระยะ 3a</t>
        </is>
      </c>
      <c r="H37" s="34" t="inlineStr">
        <is>
          <t>โรคหลอดเลือดสมองขาดเลือด</t>
        </is>
      </c>
      <c r="I37" s="35" t="n">
        <v>3</v>
      </c>
      <c r="J37" s="34"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35" t="n"/>
      <c r="L37" s="34" t="inlineStr">
        <is>
          <t>Dyslipidemias</t>
        </is>
      </c>
      <c r="M37" s="35" t="inlineStr">
        <is>
          <t>Clinic</t>
        </is>
      </c>
      <c r="N37" s="34" t="inlineStr">
        <is>
          <t>PLE_CC1_2567_Key ข้อ 52</t>
        </is>
      </c>
      <c r="O37" s="35" t="inlineStr">
        <is>
          <t>ข้อสอบจริง</t>
        </is>
      </c>
      <c r="P37" s="35" t="inlineStr">
        <is>
          <t>ปี 2567</t>
        </is>
      </c>
      <c r="Q37" s="2" t="n"/>
    </row>
    <row r="38" ht="409.6" customHeight="1" s="49">
      <c r="A38" s="33" t="n">
        <v>36</v>
      </c>
      <c r="B38" s="34"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35" t="n"/>
      <c r="D38" s="34" t="inlineStr">
        <is>
          <t>Atorvastatin สามารถใช้ขนาดยาสูง 40-80 mg/day ได้โดยไม่ต้องปรับขนาดยาตามค่าการทำงานของไต</t>
        </is>
      </c>
      <c r="E38" s="34" t="inlineStr">
        <is>
          <t>Rosuvastatin สามารถปรับเพิ่มขนาดยาได้สูงสุดถึง 40 mg/day ในผู้ป่วยไตเรื้อรังทุกระยะ</t>
        </is>
      </c>
      <c r="F38" s="34" t="inlineStr">
        <is>
          <t>ห้ามใช้ยากลุ่ม Statins ทุกชนิดในผู้ป่วยที่มีค่า eGFR &lt; 60 mL/min/1.73 m2</t>
        </is>
      </c>
      <c r="G38" s="34" t="inlineStr">
        <is>
          <t>ควรเปลี่ยนไปใช้ Gemfibrozil เดี่ยวๆ แทน Statin เพื่อป้องกันพิษต่อไต</t>
        </is>
      </c>
      <c r="H38" s="34" t="inlineStr">
        <is>
          <t>ต้องลดขนาดยา Atorvastatin ลงครึ่งหนึ่งเสมอเมื่อค่า eGFR ต่ำกว่า 60 mL/min/1.73 m2</t>
        </is>
      </c>
      <c r="I38" s="35" t="n">
        <v>1</v>
      </c>
      <c r="J38" s="34"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35" t="n"/>
      <c r="L38" s="34" t="inlineStr">
        <is>
          <t>Dyslipidemias &amp; Renal Impairment</t>
        </is>
      </c>
      <c r="M38" s="35" t="inlineStr">
        <is>
          <t>Clinic</t>
        </is>
      </c>
      <c r="N38" s="34" t="inlineStr">
        <is>
          <t>PLE_CC1_2567_Key ข้อ 52</t>
        </is>
      </c>
      <c r="O38" s="35" t="inlineStr">
        <is>
          <t>ข้อสอบจริง</t>
        </is>
      </c>
      <c r="P38" s="35" t="inlineStr">
        <is>
          <t>ปี 2567</t>
        </is>
      </c>
      <c r="Q38" s="2" t="n"/>
    </row>
    <row r="39" ht="409.6" customHeight="1" s="49">
      <c r="A39" s="33" t="n">
        <v>37</v>
      </c>
      <c r="B39" s="34"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35" t="n"/>
      <c r="D39" s="34" t="inlineStr">
        <is>
          <t>ระดับการติดนิโคตินต่ำมาก (Low dependence: HSI 0-1)</t>
        </is>
      </c>
      <c r="E39" s="34" t="inlineStr">
        <is>
          <t>ระดับการติดนิโคตินปานกลาง (Moderate dependence: HSI 2-3)</t>
        </is>
      </c>
      <c r="F39" s="34" t="inlineStr">
        <is>
          <t>ระดับการติดนิโคตินสูง (High / Heavy dependence: HSI 5-6)</t>
        </is>
      </c>
      <c r="G39" s="34" t="inlineStr">
        <is>
          <t>ไม่สามารถประเมินได้จากข้อมูลที่มีอยู่</t>
        </is>
      </c>
      <c r="H39" s="34" t="inlineStr">
        <is>
          <t>ผู้ป่วยไม่มีภาวะติดนิโคตินทางสรีรวิทยา</t>
        </is>
      </c>
      <c r="I39" s="35" t="n">
        <v>3</v>
      </c>
      <c r="J39" s="34"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35" t="n"/>
      <c r="L39" s="34" t="inlineStr">
        <is>
          <t>Cardiovascular Risk &amp; Smoking Cessation</t>
        </is>
      </c>
      <c r="M39" s="35" t="inlineStr">
        <is>
          <t>Clinic</t>
        </is>
      </c>
      <c r="N39" s="34" t="inlineStr">
        <is>
          <t>PLE_CC1_2567_Key ข้อ 55</t>
        </is>
      </c>
      <c r="O39" s="35" t="inlineStr">
        <is>
          <t>ข้อสอบจริง</t>
        </is>
      </c>
      <c r="P39" s="35" t="inlineStr">
        <is>
          <t>ปี 2567</t>
        </is>
      </c>
    </row>
    <row r="40" ht="409.6" customHeight="1" s="49">
      <c r="A40" s="33" t="n">
        <v>38</v>
      </c>
      <c r="B40" s="34" t="inlineStr">
        <is>
          <t>ยาลดความดันโลหิตในข้อใดต่อไปนี้ ส่งผลต่อการขยายหลอดเลือด (Vasodilation) น้อยที่สุด</t>
        </is>
      </c>
      <c r="C40" s="35" t="n"/>
      <c r="D40" s="34" t="inlineStr">
        <is>
          <t>Atenolol</t>
        </is>
      </c>
      <c r="E40" s="34" t="inlineStr">
        <is>
          <t>Amlodipine</t>
        </is>
      </c>
      <c r="F40" s="34" t="inlineStr">
        <is>
          <t>Prazosin</t>
        </is>
      </c>
      <c r="G40" s="34" t="inlineStr">
        <is>
          <t>Hydralazine</t>
        </is>
      </c>
      <c r="H40" s="34" t="inlineStr">
        <is>
          <t>Sodium Nitroprusside</t>
        </is>
      </c>
      <c r="I40" s="35" t="n">
        <v>1</v>
      </c>
      <c r="J40" s="34"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35" t="n"/>
      <c r="L40" s="34" t="inlineStr">
        <is>
          <t>Hypertension Pharmacology</t>
        </is>
      </c>
      <c r="M40" s="35" t="inlineStr">
        <is>
          <t>Clinic</t>
        </is>
      </c>
      <c r="N40" s="34" t="inlineStr">
        <is>
          <t>PLE_CC1_2567_Key ข้อ 84</t>
        </is>
      </c>
      <c r="O40" s="35" t="inlineStr">
        <is>
          <t>ข้อสอบจริง</t>
        </is>
      </c>
      <c r="P40" s="35" t="inlineStr">
        <is>
          <t>ปี 2567</t>
        </is>
      </c>
      <c r="Q40" s="2" t="n"/>
    </row>
    <row r="41" ht="409.6" customHeight="1" s="49">
      <c r="A41" s="33" t="n">
        <v>39</v>
      </c>
      <c r="B41" s="34"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35" t="n"/>
      <c r="D41" s="34" t="inlineStr">
        <is>
          <t>Rosuvastatin (มีหมู่ Sulfonamide และ Pyrimidine ring ที่จับกับประจุบวกได้ดี)</t>
        </is>
      </c>
      <c r="E41" s="34" t="inlineStr">
        <is>
          <t>Atorvastatin</t>
        </is>
      </c>
      <c r="F41" s="34" t="inlineStr">
        <is>
          <t>Simvastatin</t>
        </is>
      </c>
      <c r="G41" s="34" t="inlineStr">
        <is>
          <t>Pravastatin</t>
        </is>
      </c>
      <c r="H41" s="34" t="inlineStr">
        <is>
          <t>Pitavastatin</t>
        </is>
      </c>
      <c r="I41" s="35" t="n">
        <v>1</v>
      </c>
      <c r="J41" s="34"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35" t="n"/>
      <c r="L41" s="34" t="inlineStr">
        <is>
          <t>Dyslipidemias &amp; Drug Interactions</t>
        </is>
      </c>
      <c r="M41" s="35" t="inlineStr">
        <is>
          <t>Clinic</t>
        </is>
      </c>
      <c r="N41" s="34" t="inlineStr">
        <is>
          <t>PLE_CC1_2567_Key ข้อ 101</t>
        </is>
      </c>
      <c r="O41" s="35" t="inlineStr">
        <is>
          <t>ข้อสอบจริง</t>
        </is>
      </c>
      <c r="P41" s="35" t="inlineStr">
        <is>
          <t>ปี 2567</t>
        </is>
      </c>
    </row>
    <row r="42" ht="409.6" customHeight="1" s="49">
      <c r="A42" s="33" t="n">
        <v>40</v>
      </c>
      <c r="B42" s="34"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35" t="n"/>
      <c r="D42" s="34" t="inlineStr">
        <is>
          <t>การใช้ยา Naproxen เป็นเวลานาน</t>
        </is>
      </c>
      <c r="E42" s="34" t="inlineStr">
        <is>
          <t>อายุมากกว่า 65 ปี</t>
        </is>
      </c>
      <c r="F42" s="34" t="inlineStr">
        <is>
          <t>ภาวะโรคอ้วน (Obesity)</t>
        </is>
      </c>
      <c r="G42" s="34" t="inlineStr">
        <is>
          <t>การใช้ยา Aspirin ร่วมด้วยเป็นเวลานาน</t>
        </is>
      </c>
      <c r="H42" s="34" t="inlineStr">
        <is>
          <t>การติดเชื้อ Helicobacter pylori ในกระเพาะอาหาร</t>
        </is>
      </c>
      <c r="I42" s="35" t="n">
        <v>3</v>
      </c>
      <c r="J42" s="34"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35" t="n"/>
      <c r="L42" s="34" t="inlineStr">
        <is>
          <t>Cardiovascular Pharmacology &amp; GI Risk</t>
        </is>
      </c>
      <c r="M42" s="35" t="inlineStr">
        <is>
          <t>Clinic</t>
        </is>
      </c>
      <c r="N42" s="34" t="inlineStr">
        <is>
          <t>PLE_CC1_2567_Set1_Key ข้อ 8</t>
        </is>
      </c>
      <c r="O42" s="35" t="inlineStr">
        <is>
          <t>ข้อสอบจริง</t>
        </is>
      </c>
      <c r="P42" s="35" t="inlineStr">
        <is>
          <t>ปี 2567</t>
        </is>
      </c>
      <c r="Q42" s="2" t="n"/>
    </row>
    <row r="43" ht="409.6" customHeight="1" s="49">
      <c r="A43" s="33" t="n">
        <v>41</v>
      </c>
      <c r="B43" s="34"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35" t="n"/>
      <c r="D43" s="34" t="inlineStr">
        <is>
          <t>Bismuth quadruple therapy (PPI + Bismuth subsalicylate + Metronidazole + Tetracycline) นาน 14 วัน</t>
        </is>
      </c>
      <c r="E43" s="34" t="inlineStr">
        <is>
          <t>Clarithromycin triple therapy (PPI + Clarithromycin + Amoxicillin) นาน 7 วัน</t>
        </is>
      </c>
      <c r="F43" s="34" t="inlineStr">
        <is>
          <t>Levofloxacin triple therapy (PPI + Levofloxacin + Amoxicillin) นาน 10 วัน</t>
        </is>
      </c>
      <c r="G43" s="34" t="inlineStr">
        <is>
          <t>Dual therapy (PPI + Metronidazole) นาน 14 วัน</t>
        </is>
      </c>
      <c r="H43" s="34" t="inlineStr">
        <is>
          <t>Sequential therapy นาน 5 วัน</t>
        </is>
      </c>
      <c r="I43" s="35" t="n">
        <v>1</v>
      </c>
      <c r="J43" s="34"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35" t="n"/>
      <c r="L43" s="34" t="inlineStr">
        <is>
          <t>Cardiovascular &amp; GI Comorbidities</t>
        </is>
      </c>
      <c r="M43" s="35" t="inlineStr">
        <is>
          <t>Clinic</t>
        </is>
      </c>
      <c r="N43" s="34" t="inlineStr">
        <is>
          <t>PLE_CC1_2567_Set1_Key ข้อ 9</t>
        </is>
      </c>
      <c r="O43" s="35" t="inlineStr">
        <is>
          <t>ข้อสอบจริง</t>
        </is>
      </c>
      <c r="P43" s="35" t="inlineStr">
        <is>
          <t>ปี 2567</t>
        </is>
      </c>
      <c r="Q43" s="2" t="n"/>
    </row>
    <row r="44" ht="409.6" customHeight="1" s="49">
      <c r="A44" s="33" t="n">
        <v>42</v>
      </c>
      <c r="B44" s="34"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35" t="n"/>
      <c r="D44" s="34" t="inlineStr">
        <is>
          <t>Left Ventricular Hypertrophy (LVH) และกล้ามเนื้อหัวใจขาดเลือด</t>
        </is>
      </c>
      <c r="E44" s="34" t="inlineStr">
        <is>
          <t>Type I Hypersensitivity reaction</t>
        </is>
      </c>
      <c r="F44" s="34" t="inlineStr">
        <is>
          <t>Type II Cytotoxic reaction</t>
        </is>
      </c>
      <c r="G44" s="34" t="inlineStr">
        <is>
          <t>Osteoarthritis ของข้อเข่า</t>
        </is>
      </c>
      <c r="H44" s="34" t="inlineStr">
        <is>
          <t>Acute Appendicitis</t>
        </is>
      </c>
      <c r="I44" s="35" t="n">
        <v>1</v>
      </c>
      <c r="J44" s="34"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35" t="n"/>
      <c r="L44" s="34" t="inlineStr">
        <is>
          <t>Hypertension &amp; Target Organ Damage</t>
        </is>
      </c>
      <c r="M44" s="35" t="inlineStr">
        <is>
          <t>Clinic</t>
        </is>
      </c>
      <c r="N44" s="34" t="inlineStr">
        <is>
          <t>PLE_CC1_2567_Set1_Key ข้อ 83</t>
        </is>
      </c>
      <c r="O44" s="35" t="inlineStr">
        <is>
          <t>ข้อสอบจริง</t>
        </is>
      </c>
      <c r="P44" s="35" t="inlineStr">
        <is>
          <t>ปี 2567</t>
        </is>
      </c>
    </row>
    <row r="45" ht="409.6" customHeight="1" s="49">
      <c r="A45" s="33" t="n">
        <v>43</v>
      </c>
      <c r="B45" s="34"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t>
        </is>
      </c>
      <c r="C45" s="35" t="n"/>
      <c r="D45" s="34" t="inlineStr">
        <is>
          <t>High normal</t>
        </is>
      </c>
      <c r="E45" s="34" t="inlineStr">
        <is>
          <t>Hypertension Grade 1 (ระดับที่ 1)</t>
        </is>
      </c>
      <c r="F45" s="34" t="inlineStr">
        <is>
          <t>Hypertension Grade 2 (ระดับที่ 2)</t>
        </is>
      </c>
      <c r="G45" s="34" t="inlineStr">
        <is>
          <t>Hypertension Grade 3 (ระดับที่ 3)</t>
        </is>
      </c>
      <c r="H45" s="34" t="inlineStr">
        <is>
          <t>Isolated systolic hypertension</t>
        </is>
      </c>
      <c r="I45" s="35" t="n">
        <v>2</v>
      </c>
      <c r="J45" s="34"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และสากล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35" t="n"/>
      <c r="L45" s="34" t="inlineStr">
        <is>
          <t>Hypertension</t>
        </is>
      </c>
      <c r="M45" s="35" t="inlineStr">
        <is>
          <t>Clinic</t>
        </is>
      </c>
      <c r="N45" s="34" t="inlineStr">
        <is>
          <t>PLE-CC1 ปี 2566 Day 1 ข้อ 9</t>
        </is>
      </c>
      <c r="O45" s="35" t="inlineStr">
        <is>
          <t>ข้อสอบจริง</t>
        </is>
      </c>
      <c r="P45" s="35" t="inlineStr">
        <is>
          <t>ปี 2567</t>
        </is>
      </c>
      <c r="Q45" s="2" t="n"/>
    </row>
    <row r="46" ht="409.6" customHeight="1" s="49">
      <c r="A46" s="33" t="n">
        <v>44</v>
      </c>
      <c r="B46" s="34" t="inlineStr">
        <is>
          <t>ข้อใดกล่าว 'ไม่ถูกต้อง' เกี่ยวกับคุณสมบัติทางเภสัชจลนศาสตร์และเภสัชวิทยาของยา Rosuvastatin</t>
        </is>
      </c>
      <c r="C46" s="35" t="n"/>
      <c r="D46" s="34" t="inlineStr">
        <is>
          <t>มีคุณสมบัติชอบน้ำ (Hydrophilic statin)</t>
        </is>
      </c>
      <c r="E46" s="34" t="inlineStr">
        <is>
          <t>ถูกเปลี่ยนแปลงสภาพผ่านเอนไซม์ CYP3A4 เป็นหลักในตับ</t>
        </is>
      </c>
      <c r="F46" s="34" t="inlineStr">
        <is>
          <t>ส่วนใหญ่ขับออกทางอุจจาระและน้ำดีในรูปเดิมที่ไม่เปลี่ยนแปลง</t>
        </is>
      </c>
      <c r="G46" s="34" t="inlineStr">
        <is>
          <t>ถูกเปลี่ยนแปลงสภาพผ่านเอนไซม์ CYP2C9 เล็กน้อย (ประมาณ 10%)</t>
        </is>
      </c>
      <c r="H46" s="34" t="inlineStr">
        <is>
          <t>มีค่าครึ่งชีวิตการกำจัดยา (Elimination half-life) ยาวนานประมาณ 19 ชั่วโมง</t>
        </is>
      </c>
      <c r="I46" s="35" t="n">
        <v>2</v>
      </c>
      <c r="J46" s="34"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ข้ออื่นถูกต้องตามหลักวิชาการ: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35" t="n"/>
      <c r="L46" s="34" t="inlineStr">
        <is>
          <t>Dyslipidemias Pharmacology</t>
        </is>
      </c>
      <c r="M46" s="35" t="inlineStr">
        <is>
          <t>Clinic</t>
        </is>
      </c>
      <c r="N46" s="34" t="inlineStr">
        <is>
          <t>PLE-CC1 ปี 2566 Day 1 ข้อ 19</t>
        </is>
      </c>
      <c r="O46" s="35" t="inlineStr">
        <is>
          <t>ข้อสอบจริง</t>
        </is>
      </c>
      <c r="P46" s="35" t="inlineStr">
        <is>
          <t>ปี 2566</t>
        </is>
      </c>
    </row>
    <row r="47" ht="409.6" customHeight="1" s="49">
      <c r="A47" s="33" t="n">
        <v>45</v>
      </c>
      <c r="B47" s="34"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35" t="n"/>
      <c r="D47" s="34" t="inlineStr">
        <is>
          <t>Fenofibrate 160 mg OD</t>
        </is>
      </c>
      <c r="E47" s="34" t="inlineStr">
        <is>
          <t>Gemfibrozil 600 mg BID</t>
        </is>
      </c>
      <c r="F47" s="34" t="inlineStr">
        <is>
          <t>ปรับเพิ่ม Rosuvastatin เป็น 40 mg OD</t>
        </is>
      </c>
      <c r="G47" s="34" t="inlineStr">
        <is>
          <t>Spironolactone 25 mg OD</t>
        </is>
      </c>
      <c r="H47" s="34" t="inlineStr">
        <is>
          <t>Niacin immediate release 1000 mg BID</t>
        </is>
      </c>
      <c r="I47" s="35" t="n">
        <v>1</v>
      </c>
      <c r="J47" s="34"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35" t="n"/>
      <c r="L47" s="34" t="inlineStr">
        <is>
          <t>Dyslipidemias</t>
        </is>
      </c>
      <c r="M47" s="35" t="inlineStr">
        <is>
          <t>Clinic</t>
        </is>
      </c>
      <c r="N47" s="34" t="inlineStr">
        <is>
          <t>PLE-CC1 ปี 2566 Day 1 ข้อ 20</t>
        </is>
      </c>
      <c r="O47" s="35" t="inlineStr">
        <is>
          <t>ข้อสอบจริง</t>
        </is>
      </c>
      <c r="P47" s="35" t="inlineStr">
        <is>
          <t>ปี 2566</t>
        </is>
      </c>
    </row>
    <row r="48" ht="409.6" customHeight="1" s="49">
      <c r="A48" s="33" t="n">
        <v>46</v>
      </c>
      <c r="B48" s="34"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35" t="n"/>
      <c r="D48" s="34" t="inlineStr">
        <is>
          <t>การดื่มแอลกอฮอล์ในปริมาณมากร่วมกับภาวะโรคอ้วน (Obesity)</t>
        </is>
      </c>
      <c r="E48" s="34" t="inlineStr">
        <is>
          <t>การใช้ยา Metformin 500 mg BID</t>
        </is>
      </c>
      <c r="F48" s="34" t="inlineStr">
        <is>
          <t>การใช้ยา Rosuvastatin 10 mg OD</t>
        </is>
      </c>
      <c r="G48" s="34" t="inlineStr">
        <is>
          <t>ระดับ HbA1c 6.9%</t>
        </is>
      </c>
      <c r="H48" s="34" t="inlineStr">
        <is>
          <t>การรับประทานอาหารที่มีโซเดียมสูง</t>
        </is>
      </c>
      <c r="I48" s="35" t="n">
        <v>1</v>
      </c>
      <c r="J48" s="34"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35" t="n"/>
      <c r="L48" s="34" t="inlineStr">
        <is>
          <t>Dyslipidemias</t>
        </is>
      </c>
      <c r="M48" s="35" t="inlineStr">
        <is>
          <t>Clinic</t>
        </is>
      </c>
      <c r="N48" s="34" t="inlineStr">
        <is>
          <t>PLE-CC1 ปี 2566 Day 1 ข้อ 43</t>
        </is>
      </c>
      <c r="O48" s="35" t="inlineStr">
        <is>
          <t>ข้อสอบจริง</t>
        </is>
      </c>
      <c r="P48" s="35" t="inlineStr">
        <is>
          <t>ปี 2566</t>
        </is>
      </c>
    </row>
    <row r="49" ht="409.6" customHeight="1" s="49">
      <c r="A49" s="33" t="n">
        <v>47</v>
      </c>
      <c r="B49" s="34"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35" t="n"/>
      <c r="D49" s="34" t="inlineStr">
        <is>
          <t>อายุมากกว่า 65 ปี และมีภาวะการทำงานของไตหรือตับบกพร่อง</t>
        </is>
      </c>
      <c r="E49" s="34" t="inlineStr">
        <is>
          <t>การใช้ยา Aspirin ร่วมด้วยในขนาดต่ำ</t>
        </is>
      </c>
      <c r="F49" s="34" t="inlineStr">
        <is>
          <t>เพศชาย</t>
        </is>
      </c>
      <c r="G49" s="34" t="inlineStr">
        <is>
          <t>การรับประทานอาหารที่มีไขมันสูงเป็นประจำ</t>
        </is>
      </c>
      <c r="H49" s="34" t="inlineStr">
        <is>
          <t>ระดับไขมัน HDL-C สูงกว่า 60 mg/dL</t>
        </is>
      </c>
      <c r="I49" s="35" t="inlineStr">
        <is>
          <t>1</t>
        </is>
      </c>
      <c r="J49" s="34"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35" t="inlineStr">
        <is>
          <t>Dyslipidemias</t>
        </is>
      </c>
      <c r="L49" s="34" t="inlineStr">
        <is>
          <t>PLE-CC1 ปี 2566 Day 1 ข้อ 45</t>
        </is>
      </c>
      <c r="M49" s="35" t="inlineStr">
        <is>
          <t>Clinic</t>
        </is>
      </c>
      <c r="N49" s="34" t="inlineStr">
        <is>
          <t>PLE-CC1 ปี 2566 Day 1 ข้อ 45</t>
        </is>
      </c>
      <c r="O49" s="35" t="inlineStr">
        <is>
          <t>ข้อสอบจริง</t>
        </is>
      </c>
      <c r="P49" s="35" t="inlineStr">
        <is>
          <t>ปี 2566</t>
        </is>
      </c>
    </row>
    <row r="50" ht="409.6" customHeight="1" s="49">
      <c r="A50" s="33" t="n">
        <v>48</v>
      </c>
      <c r="B50" s="34"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35" t="n"/>
      <c r="D50" s="34" t="inlineStr">
        <is>
          <t>Serum Uric acid</t>
        </is>
      </c>
      <c r="E50" s="34" t="inlineStr">
        <is>
          <t>Alanine Aminotransferase (ALT)</t>
        </is>
      </c>
      <c r="F50" s="34" t="inlineStr">
        <is>
          <t>Lipid profile (LDL-C, TC, TG, HDL-C)</t>
        </is>
      </c>
      <c r="G50" s="34" t="inlineStr">
        <is>
          <t>Fasting Blood Sugar / HbA1c</t>
        </is>
      </c>
      <c r="H50" s="34" t="inlineStr">
        <is>
          <t>Creatine Kinase (CK)</t>
        </is>
      </c>
      <c r="I50" s="35" t="inlineStr">
        <is>
          <t>1</t>
        </is>
      </c>
      <c r="J50" s="34"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35" t="inlineStr">
        <is>
          <t>Dyslipidemias Monitoring</t>
        </is>
      </c>
      <c r="L50" s="34" t="inlineStr">
        <is>
          <t>PLE-CC1 ปี 2566 Day 1 ข้อ 60</t>
        </is>
      </c>
      <c r="M50" s="35" t="inlineStr">
        <is>
          <t>Clinic</t>
        </is>
      </c>
      <c r="N50" s="34" t="inlineStr">
        <is>
          <t>PLE-CC1 ปี 2566 Day 1 ข้อ 60</t>
        </is>
      </c>
      <c r="O50" s="35" t="inlineStr">
        <is>
          <t>ข้อสอบจริง</t>
        </is>
      </c>
      <c r="P50" s="35" t="inlineStr">
        <is>
          <t>ปี 2566</t>
        </is>
      </c>
    </row>
    <row r="51" ht="409.6" customHeight="1" s="49">
      <c r="A51" s="33" t="n">
        <v>49</v>
      </c>
      <c r="B51" s="34"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35" t="n"/>
      <c r="D51" s="34" t="inlineStr">
        <is>
          <t>ACE Inhibitors (เช่น Enalapril) หรือ ARBs (เช่น Losartan)</t>
        </is>
      </c>
      <c r="E51" s="34" t="inlineStr">
        <is>
          <t>Dihydropyridine CCBs เดี่ยวๆ (เช่น Amlodipine)</t>
        </is>
      </c>
      <c r="F51" s="34" t="inlineStr">
        <is>
          <t>Thiazide diuretics เดี่ยวๆ (เช่น HCTZ)</t>
        </is>
      </c>
      <c r="G51" s="34" t="inlineStr">
        <is>
          <t>Beta-blockers (เช่น Atenolol)</t>
        </is>
      </c>
      <c r="H51" s="34" t="inlineStr">
        <is>
          <t>Loop diuretics (เช่น Furosemide)</t>
        </is>
      </c>
      <c r="I51" s="33" t="inlineStr">
        <is>
          <t>1</t>
        </is>
      </c>
      <c r="J51" s="34"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35" t="inlineStr">
        <is>
          <t>Hypertension &amp; Chronic Kidney Disease</t>
        </is>
      </c>
      <c r="L51" s="34" t="inlineStr">
        <is>
          <t>PLE-CC1 ปี 2566 Day 1 ข้อ 61</t>
        </is>
      </c>
      <c r="M51" s="35" t="inlineStr">
        <is>
          <t>Clinic</t>
        </is>
      </c>
      <c r="N51" s="34" t="inlineStr">
        <is>
          <t>PLE-CC1 ปี 2566 Day 1 ข้อ 61</t>
        </is>
      </c>
      <c r="O51" s="35" t="inlineStr">
        <is>
          <t>ข้อสอบจริง</t>
        </is>
      </c>
      <c r="P51" s="35" t="inlineStr">
        <is>
          <t>ปี 2566</t>
        </is>
      </c>
      <c r="Q51" s="2" t="n"/>
    </row>
    <row r="52" ht="409.6" customHeight="1" s="49">
      <c r="A52" s="33" t="n">
        <v>50</v>
      </c>
      <c r="B52" s="34"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35" t="n"/>
      <c r="D52" s="34" t="inlineStr">
        <is>
          <t>Serum Uric acid</t>
        </is>
      </c>
      <c r="E52" s="34" t="inlineStr">
        <is>
          <t>Serum Creatine Kinase (เมื่อมีอาการปวดกล้ามเนื้อ)</t>
        </is>
      </c>
      <c r="F52" s="34" t="inlineStr">
        <is>
          <t>Serum Alanine Aminotransferase (ALT)</t>
        </is>
      </c>
      <c r="G52" s="34" t="inlineStr">
        <is>
          <t>Lipid Panel (TC, TG, HDL-C, LDL-C)</t>
        </is>
      </c>
      <c r="H52" s="34" t="inlineStr">
        <is>
          <t>Fasting Plasma Glucose (FPG)</t>
        </is>
      </c>
      <c r="I52" s="33" t="inlineStr">
        <is>
          <t>1</t>
        </is>
      </c>
      <c r="J52" s="34"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35" t="inlineStr">
        <is>
          <t>Dyslipidemias Monitoring</t>
        </is>
      </c>
      <c r="L52" s="34" t="inlineStr">
        <is>
          <t>PLE-CC1 ปี 2566 Day 1 ข้อ 5</t>
        </is>
      </c>
      <c r="M52" s="35" t="inlineStr">
        <is>
          <t>Clinic</t>
        </is>
      </c>
      <c r="N52" s="34" t="inlineStr">
        <is>
          <t>PLE-CC1 ปี 2566 Day 1 ข้อ 5</t>
        </is>
      </c>
      <c r="O52" s="35" t="inlineStr">
        <is>
          <t>ข้อสอบจริง</t>
        </is>
      </c>
      <c r="P52" s="35" t="inlineStr">
        <is>
          <t>ปี 2566</t>
        </is>
      </c>
      <c r="Q52" s="2" t="n"/>
    </row>
    <row r="53" ht="409.6" customHeight="1" s="49">
      <c r="A53" s="33" t="n">
        <v>51</v>
      </c>
      <c r="B53" s="34"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35" t="n"/>
      <c r="D53" s="34" t="inlineStr">
        <is>
          <t>Hydrolysis ของวงแหวน Lactone ring กลายเป็น Beta-hydroxy acid</t>
        </is>
      </c>
      <c r="E53" s="34" t="inlineStr">
        <is>
          <t>Oxidation ของวงแหวน Decalin ring ด้วย CYP3A4</t>
        </is>
      </c>
      <c r="F53" s="34" t="inlineStr">
        <is>
          <t>Glucuronidation ของหมู่ Hydroxyl group</t>
        </is>
      </c>
      <c r="G53" s="34" t="inlineStr">
        <is>
          <t>Reduction ของหมู่ Carbonyl group</t>
        </is>
      </c>
      <c r="H53" s="34" t="inlineStr">
        <is>
          <t>Decarboxylation ของสายโซ่ด้านข้าง</t>
        </is>
      </c>
      <c r="I53" s="33" t="inlineStr">
        <is>
          <t>1</t>
        </is>
      </c>
      <c r="J53" s="34"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35" t="inlineStr">
        <is>
          <t>Medicinal Chemistry &amp; Pharmacokinetics</t>
        </is>
      </c>
      <c r="L53" s="34" t="inlineStr">
        <is>
          <t>PLE-CC1 ปี 2566 Day 2 ข้อ 83</t>
        </is>
      </c>
      <c r="M53" s="35" t="inlineStr">
        <is>
          <t>Clinic</t>
        </is>
      </c>
      <c r="N53" s="34" t="inlineStr">
        <is>
          <t>PLE-CC1 ปี 2566 Day 2 ข้อ 83</t>
        </is>
      </c>
      <c r="O53" s="35" t="inlineStr">
        <is>
          <t>ข้อสอบจริง</t>
        </is>
      </c>
      <c r="P53" s="35" t="inlineStr">
        <is>
          <t>ปี 2566</t>
        </is>
      </c>
      <c r="Q53" s="2" t="n"/>
    </row>
    <row r="54" ht="409.6" customHeight="1" s="49">
      <c r="A54" s="33" t="n">
        <v>52</v>
      </c>
      <c r="B54" s="34"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4" s="35" t="n"/>
      <c r="D54" s="34" t="inlineStr">
        <is>
          <t>Clopidogrel 75 mg OD</t>
        </is>
      </c>
      <c r="E54" s="34" t="inlineStr">
        <is>
          <t>Prasugrel 10 mg OD</t>
        </is>
      </c>
      <c r="F54" s="34" t="inlineStr">
        <is>
          <t>Ticagrelor 90 mg BID</t>
        </is>
      </c>
      <c r="G54" s="34" t="inlineStr">
        <is>
          <t>Ticlopidine 250 mg BID</t>
        </is>
      </c>
      <c r="H54" s="34" t="inlineStr">
        <is>
          <t>Dipyridamole 75 mg TID</t>
        </is>
      </c>
      <c r="I54" s="33" t="inlineStr">
        <is>
          <t>1</t>
        </is>
      </c>
      <c r="J54" s="34"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4" s="35" t="inlineStr">
        <is>
          <t>Coronary artery disease &amp; Antiplatelets</t>
        </is>
      </c>
      <c r="L54" s="34" t="inlineStr">
        <is>
          <t>PLE_CC1_2565_Day1_Key ข้อ 7</t>
        </is>
      </c>
      <c r="M54" s="35" t="inlineStr">
        <is>
          <t>Clinic</t>
        </is>
      </c>
      <c r="N54" s="34" t="inlineStr">
        <is>
          <t>PLE_CC1_2565_Day1_Key ข้อ 7</t>
        </is>
      </c>
      <c r="O54" s="35" t="inlineStr">
        <is>
          <t>ข้อสอบจริง</t>
        </is>
      </c>
      <c r="P54" s="35" t="inlineStr">
        <is>
          <t>ปี 2566</t>
        </is>
      </c>
      <c r="Q54" s="2" t="n"/>
    </row>
    <row r="55" ht="409.6" customHeight="1" s="49">
      <c r="A55" s="33" t="n">
        <v>53</v>
      </c>
      <c r="B55" s="34"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5" s="35" t="n"/>
      <c r="D55" s="34" t="inlineStr">
        <is>
          <t>&lt; 130/80 mmHg (หากผู้ป่วยทนต่อการรักษาได้ดี)</t>
        </is>
      </c>
      <c r="E55" s="34" t="inlineStr">
        <is>
          <t>&lt; 140/90 mmHg สำหรับผู้ป่วยทุกราย</t>
        </is>
      </c>
      <c r="F55" s="34" t="inlineStr">
        <is>
          <t>&lt; 150/90 mmHg</t>
        </is>
      </c>
      <c r="G55" s="34" t="inlineStr">
        <is>
          <t>&lt; 120/70 mmHg ในผู้ป่วยเบาหวานทุกราย</t>
        </is>
      </c>
      <c r="H55" s="34" t="inlineStr">
        <is>
          <t>&lt; 160/100 mmHg</t>
        </is>
      </c>
      <c r="I55" s="33" t="inlineStr">
        <is>
          <t>1</t>
        </is>
      </c>
      <c r="J55" s="34"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5" s="35" t="inlineStr">
        <is>
          <t>Hypertension Targets</t>
        </is>
      </c>
      <c r="L55" s="34" t="inlineStr">
        <is>
          <t>PLE_CC1_2565_Day1_Key ข้อ 3</t>
        </is>
      </c>
      <c r="M55" s="35" t="inlineStr">
        <is>
          <t>Clinic</t>
        </is>
      </c>
      <c r="N55" s="34" t="inlineStr">
        <is>
          <t>PLE_CC1_2565_Day1_Key ข้อ 3</t>
        </is>
      </c>
      <c r="O55" s="35" t="inlineStr">
        <is>
          <t>ข้อสอบจริง</t>
        </is>
      </c>
      <c r="P55" s="35" t="inlineStr">
        <is>
          <t>ปี 2566</t>
        </is>
      </c>
      <c r="Q55" s="2" t="n"/>
    </row>
    <row r="56" ht="409.6" customHeight="1" s="49">
      <c r="A56" s="33" t="n">
        <v>54</v>
      </c>
      <c r="B56" s="34"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6" s="35" t="n"/>
      <c r="D56" s="34" t="inlineStr">
        <is>
          <t>Enalapril 5-10 mg OD หรือ Losartan 50 mg OD</t>
        </is>
      </c>
      <c r="E56" s="34" t="inlineStr">
        <is>
          <t>Spironolactone 25 mg OD</t>
        </is>
      </c>
      <c r="F56" s="34" t="inlineStr">
        <is>
          <t>เพิ่ม Carvedilol เป็น 25 mg 1x2 ทันที</t>
        </is>
      </c>
      <c r="G56" s="34" t="inlineStr">
        <is>
          <t>Hydrochlorothiazide 25 mg OD</t>
        </is>
      </c>
      <c r="H56" s="34" t="inlineStr">
        <is>
          <t>Diltiazem 60 mg TID</t>
        </is>
      </c>
      <c r="I56" s="33" t="inlineStr">
        <is>
          <t>1</t>
        </is>
      </c>
      <c r="J56" s="34"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6" s="35" t="inlineStr">
        <is>
          <t>Hypertension &amp; Diabetic Nephropathy</t>
        </is>
      </c>
      <c r="L56" s="34" t="inlineStr">
        <is>
          <t>PLE_CC1_2565_Day1_Key ข้อ 22</t>
        </is>
      </c>
      <c r="M56" s="35" t="inlineStr">
        <is>
          <t>Clinic</t>
        </is>
      </c>
      <c r="N56" s="34" t="inlineStr">
        <is>
          <t>PLE_CC1_2565_Day1_Key ข้อ 22</t>
        </is>
      </c>
      <c r="O56" s="35" t="inlineStr">
        <is>
          <t>ข้อสอบจริง</t>
        </is>
      </c>
      <c r="P56" s="35" t="inlineStr">
        <is>
          <t>ปี 2566</t>
        </is>
      </c>
      <c r="Q56" s="2" t="n"/>
    </row>
    <row r="57" ht="409.6" customHeight="1" s="49">
      <c r="A57" s="33" t="n">
        <v>55</v>
      </c>
      <c r="B57" s="34"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57" s="35" t="n"/>
      <c r="D57" s="34" t="inlineStr">
        <is>
          <t>Increase liver enzyme</t>
        </is>
      </c>
      <c r="E57" s="34" t="inlineStr">
        <is>
          <t>Rhabdomyolysis</t>
        </is>
      </c>
      <c r="F57" s="34" t="inlineStr">
        <is>
          <t>Arthralgia</t>
        </is>
      </c>
      <c r="G57" s="34" t="inlineStr">
        <is>
          <t>New onset diabetes Atorvastatin PLE-CC1 Preparation 2565 Ref. Micromedex</t>
        </is>
      </c>
      <c r="H57" s="34" t="inlineStr">
        <is>
          <t>Headache</t>
        </is>
      </c>
      <c r="I57" s="33" t="inlineStr">
        <is>
          <t>1</t>
        </is>
      </c>
      <c r="J57" s="34"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57" s="35" t="n"/>
      <c r="L57" s="34" t="inlineStr">
        <is>
          <t>Dyslipidemias</t>
        </is>
      </c>
      <c r="M57" s="35" t="inlineStr">
        <is>
          <t>Clinic</t>
        </is>
      </c>
      <c r="N57" s="34" t="inlineStr">
        <is>
          <t>PLE_CC1_2565_Day2_Key ข้อ 3</t>
        </is>
      </c>
      <c r="O57" s="35" t="inlineStr">
        <is>
          <t>ข้อสอบจริง</t>
        </is>
      </c>
      <c r="P57" s="35" t="inlineStr">
        <is>
          <t>ปี 2565</t>
        </is>
      </c>
      <c r="Q57" s="2" t="n"/>
    </row>
    <row r="58" ht="409.6" customHeight="1" s="49">
      <c r="A58" s="33" t="n">
        <v>56</v>
      </c>
      <c r="B58" s="34" t="inlineStr">
        <is>
          <t>ข้อใดไม่ถูกต้องเกี่ยวกับยา Omeprazole Clopidogrel อาย CYP2C19 ในการเน active drug +ง-น ไ/ควรใ23วม5บ Omeprazole 7งเน CYP2C19 inhibitor</t>
        </is>
      </c>
      <c r="C58" s="35" t="n"/>
      <c r="D58" s="34" t="inlineStr">
        <is>
          <t>1.ไม่ควรใช้ร่วมกับยา Clopidogrel</t>
        </is>
      </c>
      <c r="E58" s="34" t="inlineStr">
        <is>
          <t>2.เพิ่มความเสี่ยงการเกิดกระดูกหัก</t>
        </is>
      </c>
      <c r="F58" s="34" t="inlineStr">
        <is>
          <t>3.ลดการดูดซึม Vitamin B12 และเหล็ก</t>
        </is>
      </c>
      <c r="G58" s="34" t="inlineStr">
        <is>
          <t>4.เพิ่มความเสี่ยงติดเชื้อ Clostridioides difficile</t>
        </is>
      </c>
      <c r="H58" s="34" t="inlineStr">
        <is>
          <t>5.เคี้ยวให้ละเอียดก่อนรับประทาน</t>
        </is>
      </c>
      <c r="I58" s="33" t="inlineStr">
        <is>
          <t>1</t>
        </is>
      </c>
      <c r="J58" s="34"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35" t="n"/>
      <c r="L58" s="34" t="inlineStr">
        <is>
          <t>Coronary artery disease</t>
        </is>
      </c>
      <c r="M58" s="35" t="inlineStr">
        <is>
          <t>Clinic</t>
        </is>
      </c>
      <c r="N58" s="34" t="inlineStr">
        <is>
          <t>PLE_CC1_2565_Day2_Key ข้อ 29</t>
        </is>
      </c>
      <c r="O58" s="35" t="inlineStr">
        <is>
          <t>ข้อสอบจริง</t>
        </is>
      </c>
      <c r="P58" s="35" t="inlineStr">
        <is>
          <t>ปี 2565</t>
        </is>
      </c>
      <c r="Q58" s="2" t="n"/>
    </row>
    <row r="59" ht="409.6" customHeight="1" s="49">
      <c r="A59" s="33" t="n">
        <v>57</v>
      </c>
      <c r="B59" s="34"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59" s="35" t="n"/>
      <c r="D59" s="34" t="inlineStr">
        <is>
          <t>50 คน</t>
        </is>
      </c>
      <c r="E59" s="34" t="inlineStr">
        <is>
          <t>80 คน</t>
        </is>
      </c>
      <c r="F59" s="34" t="inlineStr">
        <is>
          <t>133 คน</t>
        </is>
      </c>
      <c r="G59" s="34" t="inlineStr">
        <is>
          <t>160 คน</t>
        </is>
      </c>
      <c r="H59" s="34" t="inlineStr">
        <is>
          <t>180 คน</t>
        </is>
      </c>
      <c r="I59" s="33" t="n">
        <v>2</v>
      </c>
      <c r="J59" s="34" t="inlineStr">
        <is>
          <t>✅ คำตอบที่ถูกต้อง: ข้อ ข. 80 คน
💡 Background:
ภาวะไตวายเฉียบพลัน (Acute Kidney Injury: AKI) จากยา Enalapril เกิดจากการยับยั้ง Angiotensin Converting Enzyme ทำให้ขาด Angiotensin II ส่งผลให้หลอดเลือดแดง Efferent arteriole ขยายตัว ความดันภายในโกลเมอรูลัสลดลงและ GFR ลดลง การประเมินทางระบาดวิทยาคลินิกใช้ค่า Positive Predictive Value (PPV) เพื่อทำนายการเกิดโรคจริงในกลุ่มที่ผลตรวจเป็นบวก
🎯 ทำไมข้อนี้ถึงถูก:
จากโจทย์ กำหนดให้พบผู้ที่ตรวจพบหรือสงสัยการเกิด AKI ทั้งหมด 200 คนในประชากร 1,000 คน และกำหนดค่า Positive Predictive Value (PPV) เท่ากับ 40% ซึ่งตามนิยามทางสถิติคลินิก PPV คือสัดส่วนของผู้ที่เป็นโรคจริงในบรรดาผู้ที่ผลการตรวจเป็นบวกทั้งหมด ดังนั้น จำนวนผู้ป่วยที่เกิด AKI จริงจาก enalapril คำนวณได้จาก 200 x 40% = 80 คน
🔍 ข้ออื่นผิดเพราะอะไร:
• ข้อ ก.: 50 คน เป็นตัวเลขที่เกิดจากการคำนวณสัดส่วนผิดพลาด โดยไม่ได้นำค่า PPV 40% มาคูณกับจำนวนประชากรที่พบผลบวก 200 คนโดยตรง
• ข้อ ค.: 133 คน เกิดจากการนำตัวเลขไปคำนวณสลับกับค่า Sensitivity หรือ Specificity ผิดวิธีทางสถิติศาสตร์คลินิก
• ข้อ ง.: 160 คน เป็นค่าที่เกิดจากการนำ 200 ไปคูณกับ Sensitivity 80% ซึ่งไม่ถูกต้องเนื่องจาก 200 คนคือกลุ่มที่ผลการตรวจคัดกรองระบุว่าเกิดเหตุการณ์ ไม่ใช่จำนวนผู้ที่เป็นโรคจริงทั้งหมดตั้งแต่ต้น
• ข้อ จ.: 180 คน เกิดจากการนำผลบวกไปคำนวณหักลบด้วยสัดส่วนความคลาดเคลื่อนที่ไม่สอดคล้องกับค่าทำนายผลบวก (PPV)
📖 Guideline อ้างอิง:
KDIGO Clinical Practice Guideline for Acute Kidney Injury 2012 และ หลักการระบาดวิทยาคลินิกและการประเมินการตรวจวินิจฉัย (Clinical Epidemiology &amp; Diagnostic Tests)
📌 จุดจำก่อนสอบ:
• Positive Predictive Value (PPV) คือ ความน่าจะเป็นที่ผู้ป่วยจะเป็นโรคจริงเมื่อผลการตรวจทดสอบเป็นบวก คำนวณจาก True Positive หารด้วยผลบวกทั้งหมด
• เมื่อโจทย์กำหนดกลุ่มที่ตรวจพบ 200 คน และ PPV 40% การหาจำนวนที่เป็นโรคจริงให้นำผลบวกมาคูณกับ PPV ได้ทันที (200 x 0.40 = 80 คน)</t>
        </is>
      </c>
      <c r="K59" s="35" t="n"/>
      <c r="L59" s="34" t="inlineStr">
        <is>
          <t>Hypertension</t>
        </is>
      </c>
      <c r="M59" s="35" t="inlineStr">
        <is>
          <t>Clinic</t>
        </is>
      </c>
      <c r="N59" s="34" t="inlineStr">
        <is>
          <t>PLE_CC1_2564_All_Key ข้อ 17</t>
        </is>
      </c>
      <c r="O59" s="35" t="inlineStr">
        <is>
          <t>ข้อสอบจริง</t>
        </is>
      </c>
      <c r="P59" s="35" t="inlineStr">
        <is>
          <t>ปี 2565</t>
        </is>
      </c>
      <c r="Q59" s="2" t="n"/>
    </row>
    <row r="60" ht="409.6" customHeight="1" s="49">
      <c r="A60" s="33" t="n">
        <v>58</v>
      </c>
      <c r="B60" s="34" t="inlineStr">
        <is>
          <t>148/95 เป็น HTN ระดับไหนตาม Thai guideline</t>
        </is>
      </c>
      <c r="C60" s="35" t="n"/>
      <c r="D60" s="34" t="inlineStr">
        <is>
          <t>ความดันโลหิตปกติ (Normal blood pressure)</t>
        </is>
      </c>
      <c r="E60" s="34" t="inlineStr">
        <is>
          <t>ความดันโลหิตสูงระดับ 1 (Stage 1 Hypertension)</t>
        </is>
      </c>
      <c r="F60" s="34" t="inlineStr">
        <is>
          <t>ความดันโลหิตสูงระดับ 2 (Stage 2 Hypertension)</t>
        </is>
      </c>
      <c r="G60" s="34" t="inlineStr">
        <is>
          <t>ความดันโลหิตสูงชนิด Isolated Systolic Hypertension</t>
        </is>
      </c>
      <c r="H60" s="34" t="inlineStr">
        <is>
          <t>ความดันโลหิตสูงชนิด Masked Hypertension</t>
        </is>
      </c>
      <c r="I60" s="33" t="n">
        <v>2</v>
      </c>
      <c r="J60" s="34" t="inlineStr">
        <is>
          <t>✅ คำตอบที่ถูกต้อง: ข้อ ข. ความดันโลหิตสูงระดับ 1 (Stage 1 Hypertension)
💡 Background:
การจัดระดับความรุนแรงของโรคความดันโลหิตสูงมีความสำคัญอย่างยิ่งต่อการประเมินความเสี่ยงต่อระบบหัวใจและหลอดเลือด รวมถึงการตัดสินใจเริ่มให้ยาลดความดันโลหิตและการปรับเปลี่ยนพฤติกรรมชีวิต โดยแบ่งตามระดับ Systolic Blood Pressure (SBP) และ Diastolic Blood Pressure (DBP)
🎯 ทำไมข้อนี้ถึงถูก:
ตามแนวทางการรักษาโรคความดันโลหิตสูงในเวชปฏิบัติทั่วไปของสมาคมความดันโลหิตสูงแห่งประเทศไทย กำหนดให้ความดันโลหิตสูงระดับที่ 1 (Stage 1 Hypertension) มีค่า SBP อยู่ระหว่าง 140-159 mmHg และ/หรือ DBP อยู่ระหว่าง 90-99 mmHg ดังนั้น ค่าความดันโลหิต 148/95 mmHg จึงจัดอยู่ในเกณฑ์ความดันโลหิตสูงระดับที่ 1 อย่างชัดเจน
🔍 ข้ออื่นผิดเพราะอะไร:
• ข้อ ก.: ความดันโลหิตปกติ (Normal blood pressure) ตามเกณฑ์คือ SBP น้อยกว่า 120 mmHg และ DBP น้อยกว่า 80 mmHg ซึ่งต่ำกว่าค่าของผู้ป่วยรายนี้มาก
• ข้อ ค.: ความดันโลหิตสูงระดับ 2 (Stage 2 Hypertension) จะต้องมี SBP ตั้งแต่ 160-179 mmHg และ/หรือ DBP ตั้งแต่ 100-109 mmHg ขึ้นไป
• ข้อ ง.: Isolated Systolic Hypertension นิยามเมื่อ SBP มีค่าตั้งแต่ 140 mmHg ขึ้นไป แต่ DBP ต้องมีค่าน้อยกว่า 90 mmHg ซึ่งในผู้ป่วยรายนี้มีค่า DBP เท่ากับ 95 mmHg
• ข้อ จ.: Masked Hypertension คือภาวะที่วัดความดันโลหิตที่สถานพยาบาลได้ค่าปกติ แต่วัดที่บ้านหรือติดเครื่องตรวจ 24 ชั่วโมงพบว่ามีความดันโลหิตสูง ไม่ใช่ระดับการแบ่งขั้นตามตัวเลขความดันโลหิต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Stage 1 HTN ตาม Thai Guideline 2562 คือ SBP 140-159 และ/หรือ DBP 90-99 mmHg
• Stage 2 HTN คือ SBP 160-179 และ/หรือ DBP 100-109 mmHg หากตัวใดตัวหนึ่งสูงกว่าให้จัดตามระดับที่รุนแรงกว่า</t>
        </is>
      </c>
      <c r="K60" s="35" t="n"/>
      <c r="L60" s="34" t="inlineStr">
        <is>
          <t>Hypertension</t>
        </is>
      </c>
      <c r="M60" s="35" t="inlineStr">
        <is>
          <t>Clinic</t>
        </is>
      </c>
      <c r="N60" s="34" t="inlineStr">
        <is>
          <t>PLE_CC1_2564_All_Key ข้อ 18</t>
        </is>
      </c>
      <c r="O60" s="35" t="inlineStr">
        <is>
          <t>ข้อสอบจริง</t>
        </is>
      </c>
      <c r="P60" s="35" t="inlineStr">
        <is>
          <t>ปี 2565</t>
        </is>
      </c>
      <c r="Q60" s="2" t="n"/>
    </row>
    <row r="61" ht="409.6" customHeight="1" s="49">
      <c r="A61" s="33" t="n">
        <v>59</v>
      </c>
      <c r="B61" s="34" t="inlineStr">
        <is>
          <t>อะไรที่ไม่ใช่คำแนะนำในผู้ป่วยความดันสูง</t>
        </is>
      </c>
      <c r="C61" s="35" t="n"/>
      <c r="D61" s="34" t="inlineStr">
        <is>
          <t>ลดน้ำหนักให้อยู่ในเกณฑ์เหมาะสม (BMI 18.5 - 22.9 kg/m²)</t>
        </is>
      </c>
      <c r="E61" s="34" t="inlineStr">
        <is>
          <t>ออกกำลังกายแบบแอโรบิกสม่ำเสมออย่างน้อย 150 นาที/สัปดาห์</t>
        </is>
      </c>
      <c r="F61" s="34" t="inlineStr">
        <is>
          <t>งดสูบบุหรี่และหลีกเลี่ยงควันบุหรี่มือสอง</t>
        </is>
      </c>
      <c r="G61" s="34" t="inlineStr">
        <is>
          <t>จำกัดการดื่มเครื่องดื่มแอลกอฮอล์</t>
        </is>
      </c>
      <c r="H61" s="34" t="inlineStr">
        <is>
          <t>งดรับประทานอาหารที่มีโพแทสเซียมสูง (งดผักและผลไม้ทุกชนิด)</t>
        </is>
      </c>
      <c r="I61" s="33" t="n">
        <v>5</v>
      </c>
      <c r="J61" s="34" t="inlineStr">
        <is>
          <t>✅ คำตอบที่ถูกต้อง: ข้อ จ. งดรับประทานอาหารที่มีโพแทสเซียมสูง (งดผักและผลไม้ทุกชนิด)
💡 Background:
การปรับเปลี่ยนพฤติกรรมชีวิต (Lifestyle Modification) เป็นหัวใจสำคัญในการควบคุมระดับความดันโลหิตในผู้ป่วยทุกราย โดยครอบคลุมทั้งการควบคุมน้ำหนัก การจำกัดปริมาณโซเดียม การออกกำลังกาย และการปรับรูปแบบการรับประทานอาหารตามหลัก DASH Diet
🎯 ทำไมข้อนี้ถึงถูก:
การงดรับประทานอาหารที่มีโพแทสเซียมสูงหรือการงดผักและผลไม้ทุกชนิดไม่ใช่คำแนะนำที่ถูกต้อง เนื่องจากอาหารที่มีโพแทสเซียมสูง เช่น ผักและผลไม้สด มีคุณสมบัติช่วยลดความดันโลหิตและส่งเสริมสุขภาพหลอดเลือดตามแนวทาง DASH Diet ยกเว้นเฉพาะในกรณีที่ผู้ป่วยมีภาวะไตเรื้อรังระยะรุนแรงหรือมีภาวะโพแทสเซียมในเลือดสูงอยู่ก่อนแล้วเท่านั้น
🔍 ข้ออื่นผิดเพราะอะไร:
• ข้อ ก.: การลดน้ำหนักให้อยู่ในเกณฑ์เหมาะสมโดยมีค่าดัชนีมวลกาย (BMI) อยู่ระหว่าง 18.5 - 22.9 kg/m² เป็นคำแนะนำมาตรฐานที่สามารถลดความดันโลหิตได้ประมาณ 5-20 mmHg ต่อน้ำหนักที่ลดลง 10 กิโลกรัม
• ข้อ ข.: การออกกำลังกายแบบแอโรบิกสม่ำเสมออย่างน้อย 150 นาทีต่อสัปดาห์ เช่น เดินเร็ว วิ่งเหยาะๆ หรือว่ายน้ำ เป็นคำแนะนำหลักในการลดความดันโลหิตและเสริมสร้างสมรรถภาพหัวใจ
• ข้อ ค.: การงดสูบบุหรี่และหลีกเลี่ยงควันบุหรี่มือสอง เป็นคำแนะนำสำคัญอย่างยิ่งในการป้องกันภาวะกล้ามเนื้อหัวใจตายเฉียบพลันและโรคหลอดเลือดสมองในผู้ป่วยความดันโลหิตสูง
• ข้อ ง.: การจำกัดการดื่มเครื่องดื่มแอลกอฮอล์ไม่เกิน 2 standard drinks ต่อวันในเพศชาย และไม่เกิน 1 standard drink ต่อวันในเพศหญิง ช่วยควบคุมระดับความดันโลหิตได้ดีขึ้น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DASH Diet เน้นรับประทานผัก ผลไม้ ธัญพืชไม่ขัดสี เพื่อเพิ่มโพแทสเซียมและแมกนีเซียมที่มีส่วนช่วยลดความดันโลหิต
• โพแทสเซียมช่วยต้านผลของโซเดียม จึงห้ามงดผักผลไม้โดยไม่มีข้อบ่งชี้ เช่น Severe CKD หรือ Hyperkalemia</t>
        </is>
      </c>
      <c r="K61" s="35" t="n"/>
      <c r="L61" s="34" t="inlineStr">
        <is>
          <t>Hypertension</t>
        </is>
      </c>
      <c r="M61" s="35" t="inlineStr">
        <is>
          <t>Clinic</t>
        </is>
      </c>
      <c r="N61" s="34" t="inlineStr">
        <is>
          <t>PLE_CC1_2564_All_Key ข้อ 19</t>
        </is>
      </c>
      <c r="O61" s="35" t="inlineStr">
        <is>
          <t>ข้อสอบจริง</t>
        </is>
      </c>
      <c r="P61" s="35" t="inlineStr">
        <is>
          <t>ปี 2565</t>
        </is>
      </c>
      <c r="Q61" s="2" t="n"/>
    </row>
    <row r="62" ht="409.6" customHeight="1" s="49">
      <c r="A62" s="33" t="n">
        <v>60</v>
      </c>
      <c r="B62" s="34" t="inlineStr">
        <is>
          <t>ชาย อายุประมาณ 30-50 BMI 27 เป็น prediabetic, พ่อเป็นโรคหลอดเลือดหัวใจตีบ 3 เส้น, แม่เป็น DM type 2 ควรตรวจอะไรเพิ่ม?</t>
        </is>
      </c>
      <c r="C62" s="35" t="n"/>
      <c r="D62" s="34" t="inlineStr">
        <is>
          <t>exercise induced asthma</t>
        </is>
      </c>
      <c r="E62" s="34" t="inlineStr">
        <is>
          <t>urinalysis</t>
        </is>
      </c>
      <c r="F62" s="34" t="inlineStr">
        <is>
          <t>renal function</t>
        </is>
      </c>
      <c r="G62" s="34" t="inlineStr">
        <is>
          <t>lipid profile e)-</t>
        </is>
      </c>
      <c r="H62" s="34" t="inlineStr">
        <is>
          <t>Electrocardiogram (EKG)</t>
        </is>
      </c>
      <c r="I62" s="33" t="inlineStr">
        <is>
          <t>1</t>
        </is>
      </c>
      <c r="J62" s="34"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2" s="35" t="n"/>
      <c r="L62" s="34" t="inlineStr">
        <is>
          <t>Coronary artery disease</t>
        </is>
      </c>
      <c r="M62" s="35" t="inlineStr">
        <is>
          <t>Clinic</t>
        </is>
      </c>
      <c r="N62" s="34" t="inlineStr">
        <is>
          <t>PLE_CC1_2564_All_Key ข้อ 24</t>
        </is>
      </c>
      <c r="O62" s="35" t="inlineStr">
        <is>
          <t>ข้อสอบจริง</t>
        </is>
      </c>
      <c r="P62" s="35" t="inlineStr">
        <is>
          <t>ปี 2565</t>
        </is>
      </c>
      <c r="Q62" s="2" t="n"/>
    </row>
    <row r="63" ht="409.6" customHeight="1" s="49">
      <c r="A63" s="33" t="n">
        <v>61</v>
      </c>
      <c r="B63" s="34" t="inlineStr">
        <is>
          <t>ผู้ป่วยควรได้รับยาใดเพื่อลดความดันโลหิต</t>
        </is>
      </c>
      <c r="C63" s="35" t="n"/>
      <c r="D63" s="34" t="inlineStr">
        <is>
          <t>Bisoprolol</t>
        </is>
      </c>
      <c r="E63" s="34" t="inlineStr">
        <is>
          <t>Doxazosin</t>
        </is>
      </c>
      <c r="F63" s="34" t="inlineStr">
        <is>
          <t>Losartan</t>
        </is>
      </c>
      <c r="G63" s="34" t="inlineStr">
        <is>
          <t>Spironolactone</t>
        </is>
      </c>
      <c r="H63" s="34" t="inlineStr">
        <is>
          <t>Diltiazem</t>
        </is>
      </c>
      <c r="I63" s="33" t="inlineStr">
        <is>
          <t>1</t>
        </is>
      </c>
      <c r="J63" s="34"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63" s="35" t="n"/>
      <c r="L63" s="34" t="inlineStr">
        <is>
          <t>Hypertension</t>
        </is>
      </c>
      <c r="M63" s="35" t="inlineStr">
        <is>
          <t>Clinic</t>
        </is>
      </c>
      <c r="N63" s="34" t="inlineStr">
        <is>
          <t>ข้อ 56 (PLE_CC1_2562_Key.md)</t>
        </is>
      </c>
      <c r="O63" s="35" t="inlineStr">
        <is>
          <t>ข้อสอบจริง</t>
        </is>
      </c>
      <c r="P63" s="35" t="inlineStr">
        <is>
          <t>ปี 2564</t>
        </is>
      </c>
      <c r="Q63" s="2" t="n"/>
    </row>
    <row r="64" ht="409.6" customHeight="1" s="49">
      <c r="A64" s="33" t="n">
        <v>62</v>
      </c>
      <c r="B64" s="34" t="inlineStr">
        <is>
          <t>ยาใดที่สามารถป้องกันโรคหัวใจและหลอดเลือดได้ในผู้ป่วยรายนี้  .De ASCVD Pantiplatletdeprimary prophylaxis X</t>
        </is>
      </c>
      <c r="C64" s="35" t="n"/>
      <c r="D64" s="34" t="inlineStr">
        <is>
          <t>Aspirin 81 mg OD hs</t>
        </is>
      </c>
      <c r="E64" s="34" t="inlineStr">
        <is>
          <t>Simvastatin 10 mg OD hs</t>
        </is>
      </c>
      <c r="F64" s="34" t="inlineStr">
        <is>
          <t>Clopidogrel 75 mg OD</t>
        </is>
      </c>
      <c r="G64" s="34" t="inlineStr">
        <is>
          <t>Ezetimibe 10 mg 1 tab po pc</t>
        </is>
      </c>
      <c r="H64" s="34" t="inlineStr">
        <is>
          <t>Fenofibrate 160 mg 1 tab po pc</t>
        </is>
      </c>
      <c r="I64" s="33" t="inlineStr">
        <is>
          <t>1</t>
        </is>
      </c>
      <c r="J64" s="34"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64" s="35" t="n"/>
      <c r="L64" s="34" t="inlineStr">
        <is>
          <t>Hypertension</t>
        </is>
      </c>
      <c r="M64" s="35" t="inlineStr">
        <is>
          <t>Clinic</t>
        </is>
      </c>
      <c r="N64" s="34" t="inlineStr">
        <is>
          <t>ข้อ 57 (PLE_CC1_2562_Key.md)</t>
        </is>
      </c>
      <c r="O64" s="35" t="inlineStr">
        <is>
          <t>ข้อสอบจริง</t>
        </is>
      </c>
      <c r="P64" s="35" t="inlineStr">
        <is>
          <t>ปี 2564</t>
        </is>
      </c>
      <c r="Q64" s="2" t="n"/>
    </row>
    <row r="65" ht="409.6" customHeight="1" s="49">
      <c r="A65" s="33" t="n">
        <v>63</v>
      </c>
      <c r="B65" s="34" t="inlineStr">
        <is>
          <t>พฤติกรรมใดที่ควรปรับเปลี่ยนในผู้ป่วยรายนี้น้อยที่สุด n.nise , MI gowt sim-ger HE ton . dem . beer =</t>
        </is>
      </c>
      <c r="C65" s="35" t="n"/>
      <c r="D65" s="34" t="inlineStr">
        <is>
          <t>ลดน้ำหนัก</t>
        </is>
      </c>
      <c r="E65" s="34" t="inlineStr">
        <is>
          <t>ลดอาหารเค็ม</t>
        </is>
      </c>
      <c r="F65" s="34" t="inlineStr">
        <is>
          <t>งดดื่มแอลกอฮอล์</t>
        </is>
      </c>
      <c r="G65" s="34" t="inlineStr">
        <is>
          <t>งดการสูบบุหรี่</t>
        </is>
      </c>
      <c r="H65" s="34" t="inlineStr">
        <is>
          <t>งดกินอาหารที่มีไขมันติด they should be injected immediately after preparation.] to volume. Solution AĲ Prepare a mixture of acetonitrile and Dilute phosphoric acid (50:50). volume. Make adjustments if necessary . with phosphoric acid to a p...</t>
        </is>
      </c>
      <c r="I65" s="33" t="inlineStr">
        <is>
          <t>1</t>
        </is>
      </c>
      <c r="J65" s="34"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65" s="35" t="n"/>
      <c r="L65" s="34" t="inlineStr">
        <is>
          <t>Hypertension</t>
        </is>
      </c>
      <c r="M65" s="35" t="inlineStr">
        <is>
          <t>Clinic</t>
        </is>
      </c>
      <c r="N65" s="34" t="inlineStr">
        <is>
          <t>ข้อ 70 (PLE_CC1_2562_Key.md)</t>
        </is>
      </c>
      <c r="O65" s="35" t="inlineStr">
        <is>
          <t>ข้อสอบจริง</t>
        </is>
      </c>
      <c r="P65" s="35" t="inlineStr">
        <is>
          <t>ปี 2564</t>
        </is>
      </c>
      <c r="Q65" s="2" t="n"/>
    </row>
    <row r="66" ht="409.6" customHeight="1" s="49">
      <c r="A66" s="33" t="n">
        <v>64</v>
      </c>
      <c r="B66" s="34" t="inlineStr">
        <is>
          <t>ระดับความดันที่เปEนเปFาหมายในผูป%วยรายนี้เปEนเท!าใดตาม ACC guideline 2017</t>
        </is>
      </c>
      <c r="C66" s="35" t="n"/>
      <c r="D66" s="34" t="inlineStr">
        <is>
          <t>130/80 mmHg</t>
        </is>
      </c>
      <c r="E66" s="34" t="inlineStr">
        <is>
          <t>140/90 mmHg</t>
        </is>
      </c>
      <c r="F66" s="34" t="inlineStr">
        <is>
          <t>130/90 mmHg</t>
        </is>
      </c>
      <c r="G66" s="34" t="inlineStr">
        <is>
          <t>150/90 mmHg</t>
        </is>
      </c>
      <c r="H66" s="34" t="inlineStr">
        <is>
          <t>140/80 mmHg</t>
        </is>
      </c>
      <c r="I66" s="33" t="inlineStr">
        <is>
          <t>1</t>
        </is>
      </c>
      <c r="J66" s="34"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66" s="35" t="n"/>
      <c r="L66" s="34" t="inlineStr">
        <is>
          <t>Hypertension</t>
        </is>
      </c>
      <c r="M66" s="35" t="inlineStr">
        <is>
          <t>Clinic</t>
        </is>
      </c>
      <c r="N66" s="34" t="inlineStr">
        <is>
          <t>ข้อ 1 (PLE_CC1_2561_Key.md)</t>
        </is>
      </c>
      <c r="O66" s="35" t="inlineStr">
        <is>
          <t>ข้อสอบจริง</t>
        </is>
      </c>
      <c r="P66" s="35" t="inlineStr">
        <is>
          <t>ปี 2564</t>
        </is>
      </c>
      <c r="Q66" s="2" t="n"/>
    </row>
    <row r="67" ht="409.6" customHeight="1" s="49">
      <c r="A67" s="33" t="n">
        <v>65</v>
      </c>
      <c r="B67" s="34" t="inlineStr">
        <is>
          <t>ควรจัดการอย!างไรเมื่อภายหลังที่ไดรับยาไป 3 เดือนผูป%วยเกิด hyperkalemia</t>
        </is>
      </c>
      <c r="C67" s="35" t="n"/>
      <c r="D67" s="34" t="inlineStr">
        <is>
          <t>กินแบบเดิม</t>
        </is>
      </c>
      <c r="E67" s="34" t="inlineStr">
        <is>
          <t>เพิ่มยา HCTZ</t>
        </is>
      </c>
      <c r="F67" s="34" t="inlineStr">
        <is>
          <t>เพิ่มยา spironolactone</t>
        </is>
      </c>
      <c r="G67" s="34" t="inlineStr">
        <is>
          <t>หยุดยา enalapril</t>
        </is>
      </c>
      <c r="H67" s="34" t="inlineStr">
        <is>
          <t>เพิ่มขนาดยา enalapril</t>
        </is>
      </c>
      <c r="I67" s="33" t="inlineStr">
        <is>
          <t>1</t>
        </is>
      </c>
      <c r="J67" s="34"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67" s="35" t="n"/>
      <c r="L67" s="34" t="inlineStr">
        <is>
          <t>Hypertension</t>
        </is>
      </c>
      <c r="M67" s="35" t="inlineStr">
        <is>
          <t>Clinic</t>
        </is>
      </c>
      <c r="N67" s="34" t="inlineStr">
        <is>
          <t>ข้อ 2 (PLE_CC1_2561_Key.md)</t>
        </is>
      </c>
      <c r="O67" s="35" t="inlineStr">
        <is>
          <t>ข้อสอบจริง</t>
        </is>
      </c>
      <c r="P67" s="35" t="inlineStr">
        <is>
          <t>ปี 2564</t>
        </is>
      </c>
      <c r="Q67" s="2" t="n"/>
    </row>
    <row r="68" ht="409.6" customHeight="1" s="49">
      <c r="A68" s="33" t="n">
        <v>66</v>
      </c>
      <c r="B68" s="34" t="inlineStr">
        <is>
          <t>แพทยTพิจารณาใหจ!ายยา simvastatin 40 mg 1xhs เพิ่ม ขอใด ต!อไปนี้ถูกตอง</t>
        </is>
      </c>
      <c r="C68" s="35" t="n"/>
      <c r="D68" s="34" t="inlineStr">
        <is>
          <t>ไม!จำเปEนตองใหsimvastatin</t>
        </is>
      </c>
      <c r="E68" s="34" t="inlineStr">
        <is>
          <t>จ!ายไดตามขนาดที่แพทยTจ!าย</t>
        </is>
      </c>
      <c r="F68" s="34" t="inlineStr">
        <is>
          <t>เปลี่ยนเปEน atorvastatin 20 mg แทน</t>
        </is>
      </c>
      <c r="G68" s="34" t="inlineStr">
        <is>
          <t>จ!ายไม!ไดเพราะไม!เขากับโรคของผูป%วย</t>
        </is>
      </c>
      <c r="H68" s="34" t="inlineStr">
        <is>
          <t>จ!ายไดแต!ตองเพิ่มขนาดยาเปEน simvastatin 80 mg nmortalityratehicus ats</t>
        </is>
      </c>
      <c r="I68" s="33" t="inlineStr">
        <is>
          <t>1</t>
        </is>
      </c>
      <c r="J68" s="34"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68" s="35" t="n"/>
      <c r="L68" s="34" t="inlineStr">
        <is>
          <t>Hypertension</t>
        </is>
      </c>
      <c r="M68" s="35" t="inlineStr">
        <is>
          <t>Clinic</t>
        </is>
      </c>
      <c r="N68" s="34" t="inlineStr">
        <is>
          <t>ข้อ 3 (PLE_CC1_2561_Key.md)</t>
        </is>
      </c>
      <c r="O68" s="35" t="inlineStr">
        <is>
          <t>ข้อสอบจริง</t>
        </is>
      </c>
      <c r="P68" s="35" t="inlineStr">
        <is>
          <t>ปี 2564</t>
        </is>
      </c>
      <c r="Q68" s="2" t="n"/>
    </row>
    <row r="69" ht="409.6" customHeight="1" s="49">
      <c r="A69" s="33" t="n">
        <v>67</v>
      </c>
      <c r="B69" s="34" t="inlineStr">
        <is>
          <t>ขอใดคืออาการไม!พึงประสงคTของยา amlodipine ที่พบไดบ!อย</t>
        </is>
      </c>
      <c r="C69" s="35" t="n"/>
      <c r="D69" s="34" t="inlineStr">
        <is>
          <t>Myopathy</t>
        </is>
      </c>
      <c r="E69" s="34" t="inlineStr">
        <is>
          <t>Gastric ulcer</t>
        </is>
      </c>
      <c r="F69" s="34" t="inlineStr">
        <is>
          <t>Renal failure</t>
        </is>
      </c>
      <c r="G69" s="34" t="inlineStr">
        <is>
          <t>Osteoporosis</t>
        </is>
      </c>
      <c r="H69" s="34" t="inlineStr">
        <is>
          <t>Peripheral edema nivamiodipinenow C</t>
        </is>
      </c>
      <c r="I69" s="33" t="inlineStr">
        <is>
          <t>1</t>
        </is>
      </c>
      <c r="J69" s="34"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9" s="35" t="n"/>
      <c r="L69" s="34" t="inlineStr">
        <is>
          <t>Hypertension</t>
        </is>
      </c>
      <c r="M69" s="35" t="inlineStr">
        <is>
          <t>Clinic</t>
        </is>
      </c>
      <c r="N69" s="34" t="inlineStr">
        <is>
          <t>ข้อ 4 (PLE_CC1_2561_Key.md)</t>
        </is>
      </c>
      <c r="O69" s="35" t="inlineStr">
        <is>
          <t>ข้อสอบจริง</t>
        </is>
      </c>
      <c r="P69" s="35" t="inlineStr">
        <is>
          <t>ปี 2564</t>
        </is>
      </c>
      <c r="Q69" s="2" t="n"/>
    </row>
    <row r="70" ht="409.6" customHeight="1" s="49">
      <c r="A70" s="33" t="n">
        <v>68</v>
      </c>
      <c r="B70" s="34" t="inlineStr">
        <is>
          <t>ข้อใดคือกลไกการออกฤทธิ์ของยา amlodipine</t>
        </is>
      </c>
      <c r="C70" s="35" t="n"/>
      <c r="D70" s="34" t="inlineStr">
        <is>
          <t>ยับยั้ง renin</t>
        </is>
      </c>
      <c r="E70" s="34" t="inlineStr">
        <is>
          <t>ยับยั้ง calcium channel</t>
        </is>
      </c>
      <c r="F70" s="34" t="inlineStr">
        <is>
          <t>ยับยั้ง beta-2 adrenergic receptor</t>
        </is>
      </c>
      <c r="G70" s="34" t="inlineStr">
        <is>
          <t>ยับยั้ง alpha-1 adrenergic receptor</t>
        </is>
      </c>
      <c r="H70" s="34" t="inlineStr">
        <is>
          <t>ยับยั้ง angiotensin converting enzyme</t>
        </is>
      </c>
      <c r="I70" s="33" t="inlineStr">
        <is>
          <t>1</t>
        </is>
      </c>
      <c r="J70" s="34"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70" s="35" t="n"/>
      <c r="L70" s="34" t="inlineStr">
        <is>
          <t>Hypertension</t>
        </is>
      </c>
      <c r="M70" s="35" t="inlineStr">
        <is>
          <t>Clinic</t>
        </is>
      </c>
      <c r="N70" s="34" t="inlineStr">
        <is>
          <t>ข้อ 97 (PLE_CC1_2561_Key.md)</t>
        </is>
      </c>
      <c r="O70" s="35" t="inlineStr">
        <is>
          <t>ข้อสอบจริง</t>
        </is>
      </c>
      <c r="P70" s="35" t="inlineStr">
        <is>
          <t>ปี 2562</t>
        </is>
      </c>
    </row>
    <row r="71" ht="409.6" customHeight="1" s="49">
      <c r="A71" s="33" t="n">
        <v>69</v>
      </c>
      <c r="B71" s="34" t="inlineStr">
        <is>
          <t>คนไข้คนใหม่ กิน Aspirin แล้วปวดท้อง จะต้องปรับปรุงสูตรต้ารับ โดยใช้สารเคลือบอะไร</t>
        </is>
      </c>
      <c r="C71" s="35" t="n"/>
      <c r="D71" s="34" t="inlineStr">
        <is>
          <t>Hypromellose</t>
        </is>
      </c>
      <c r="E71" s="34" t="inlineStr">
        <is>
          <t>Hydroxyproyl methylcellulose pthalate</t>
        </is>
      </c>
      <c r="F71" s="34" t="inlineStr">
        <is>
          <t>Methyl cellulose</t>
        </is>
      </c>
      <c r="G71" s="34" t="inlineStr">
        <is>
          <t>Ethyl cellulose</t>
        </is>
      </c>
      <c r="H71" s="34" t="inlineStr">
        <is>
          <t>amino methacrylate copolymer</t>
        </is>
      </c>
      <c r="I71" s="33" t="inlineStr">
        <is>
          <t>1</t>
        </is>
      </c>
      <c r="J71" s="34"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71" s="35" t="n"/>
      <c r="L71" s="34" t="inlineStr">
        <is>
          <t>Hypertension</t>
        </is>
      </c>
      <c r="M71" s="35" t="inlineStr">
        <is>
          <t>Clinic</t>
        </is>
      </c>
      <c r="N71" s="34" t="inlineStr">
        <is>
          <t>ข้อ 7 (PLE_CC1_2560 22 April Set 1.md)</t>
        </is>
      </c>
      <c r="O71" s="35" t="inlineStr">
        <is>
          <t>ข้อสอบจริง</t>
        </is>
      </c>
      <c r="P71" s="35" t="inlineStr">
        <is>
          <t>ปี 2562</t>
        </is>
      </c>
    </row>
    <row r="72" ht="409.6" customHeight="1" s="49">
      <c r="A72" s="33" t="n">
        <v>70</v>
      </c>
      <c r="B72" s="34" t="inlineStr">
        <is>
          <t>เกิด Angioedema จาก Enalapril ควรท้าอย่างไร</t>
        </is>
      </c>
      <c r="C72" s="35" t="n"/>
      <c r="D72" s="34" t="inlineStr">
        <is>
          <t>เปลี่ยนเป็น Lisinopril</t>
        </is>
      </c>
      <c r="E72" s="34" t="inlineStr">
        <is>
          <t>เปลี่ยนเป็น Candesartan</t>
        </is>
      </c>
      <c r="F72" s="34" t="inlineStr">
        <is>
          <t>ใช้ Enalapril ต่อ เดี๋ยวอาการจะดีขึ น พร้อมติดตามอย่างใกล้ชิด</t>
        </is>
      </c>
      <c r="G72" s="34" t="inlineStr">
        <is>
          <t>ลดขนาดยา Enalapril</t>
        </is>
      </c>
      <c r="H72" s="34" t="inlineStr">
        <is>
          <t>หยุดยาจนหาย แล้วค่อยลองใช้อีกครั ง ร่วมกับต้องติดตามอย่างใกล้ชิด</t>
        </is>
      </c>
      <c r="I72" s="33" t="inlineStr">
        <is>
          <t>1</t>
        </is>
      </c>
      <c r="J72" s="34"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72" s="35" t="n"/>
      <c r="L72" s="34" t="inlineStr">
        <is>
          <t>Hypertension</t>
        </is>
      </c>
      <c r="M72" s="35" t="inlineStr">
        <is>
          <t>Clinic</t>
        </is>
      </c>
      <c r="N72" s="34" t="inlineStr">
        <is>
          <t>ข้อ 3 (PLE_CC1_2560 22 April Set 1.md)</t>
        </is>
      </c>
      <c r="O72" s="35" t="inlineStr">
        <is>
          <t>ข้อสอบจริง</t>
        </is>
      </c>
      <c r="P72" s="35" t="inlineStr">
        <is>
          <t>ปี 2562</t>
        </is>
      </c>
    </row>
    <row r="73" ht="409.6" customHeight="1" s="49">
      <c r="A73" s="33" t="n">
        <v>71</v>
      </c>
      <c r="B73" s="34" t="inlineStr">
        <is>
          <t>ข้อใดเป็นอาการไม่พึงประสงค์ของยา enalapril</t>
        </is>
      </c>
      <c r="C73" s="35" t="n"/>
      <c r="D73" s="34" t="inlineStr">
        <is>
          <t>Hepatotoxicity</t>
        </is>
      </c>
      <c r="E73" s="34" t="inlineStr">
        <is>
          <t>Tachycardia</t>
        </is>
      </c>
      <c r="F73" s="34" t="inlineStr">
        <is>
          <t>Seizure</t>
        </is>
      </c>
      <c r="G73" s="34" t="inlineStr">
        <is>
          <t>Hyperkalemia</t>
        </is>
      </c>
      <c r="H73" s="34" t="inlineStr">
        <is>
          <t>Parkinsonism</t>
        </is>
      </c>
      <c r="I73" s="33" t="inlineStr">
        <is>
          <t>1</t>
        </is>
      </c>
      <c r="J73" s="34"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73" s="35" t="n"/>
      <c r="L73" s="34" t="inlineStr">
        <is>
          <t>Hypertension</t>
        </is>
      </c>
      <c r="M73" s="35" t="inlineStr">
        <is>
          <t>Clinic</t>
        </is>
      </c>
      <c r="N73" s="34" t="inlineStr">
        <is>
          <t>ข้อ 4 (PLE_CC1_2560 22 April Set 1.md)</t>
        </is>
      </c>
      <c r="O73" s="35" t="inlineStr">
        <is>
          <t>ข้อสอบจริง</t>
        </is>
      </c>
      <c r="P73" s="35" t="inlineStr">
        <is>
          <t>ปี 2562</t>
        </is>
      </c>
    </row>
    <row r="74" ht="409.6" customHeight="1" s="49">
      <c r="A74" s="33" t="n">
        <v>72</v>
      </c>
      <c r="B74" s="34" t="inlineStr">
        <is>
          <t>ในการผลิตระดับอุตสาหกรรม ต้องใช้น ้าอะไร ในการผลิต Furosemide injection</t>
        </is>
      </c>
      <c r="C74" s="35" t="n"/>
      <c r="D74" s="34" t="inlineStr">
        <is>
          <t>Purified water</t>
        </is>
      </c>
      <c r="E74" s="34" t="inlineStr">
        <is>
          <t>Water for injection USP</t>
        </is>
      </c>
      <c r="F74" s="34" t="inlineStr">
        <is>
          <t>Sterile water for injection USP</t>
        </is>
      </c>
      <c r="G74" s="34" t="inlineStr">
        <is>
          <t>Steril water for irrigation USP</t>
        </is>
      </c>
      <c r="H74" s="34" t="inlineStr">
        <is>
          <t>Bacteriostatic water for injection USP</t>
        </is>
      </c>
      <c r="I74" s="33" t="inlineStr">
        <is>
          <t>1</t>
        </is>
      </c>
      <c r="J74" s="34"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ในหลักการทางเภสัชอุตสาหกรรมสากล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74" s="35" t="n"/>
      <c r="L74" s="34" t="inlineStr">
        <is>
          <t>Hypertension</t>
        </is>
      </c>
      <c r="M74" s="35" t="inlineStr">
        <is>
          <t>Clinic</t>
        </is>
      </c>
      <c r="N74" s="34" t="inlineStr">
        <is>
          <t>ข้อ 8 (PLE_CC1_2560 22 April Set 1.md)</t>
        </is>
      </c>
      <c r="O74" s="35" t="inlineStr">
        <is>
          <t>ข้อสอบจริง</t>
        </is>
      </c>
      <c r="P74" s="35" t="inlineStr">
        <is>
          <t>ปี 2562</t>
        </is>
      </c>
    </row>
    <row r="75" ht="409.6" customHeight="1" s="49">
      <c r="A75" s="33" t="n">
        <v>73</v>
      </c>
      <c r="B75" s="34" t="inlineStr">
        <is>
          <t>ยาใดท้าให้ Hyperkalemia</t>
        </is>
      </c>
      <c r="C75" s="35" t="n"/>
      <c r="D75" s="34" t="inlineStr">
        <is>
          <t>Aspirin</t>
        </is>
      </c>
      <c r="E75" s="34" t="inlineStr">
        <is>
          <t>Moduretic</t>
        </is>
      </c>
      <c r="F75" s="34" t="inlineStr">
        <is>
          <t>Glipizide</t>
        </is>
      </c>
      <c r="G75" s="34" t="inlineStr">
        <is>
          <t>Amlodipine</t>
        </is>
      </c>
      <c r="H75" s="34" t="inlineStr">
        <is>
          <t>Omeprazole</t>
        </is>
      </c>
      <c r="I75" s="33" t="inlineStr">
        <is>
          <t>1</t>
        </is>
      </c>
      <c r="J75" s="34"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75" s="35" t="n"/>
      <c r="L75" s="34" t="inlineStr">
        <is>
          <t>Hypertension</t>
        </is>
      </c>
      <c r="M75" s="35" t="inlineStr">
        <is>
          <t>Clinic</t>
        </is>
      </c>
      <c r="N75" s="34" t="inlineStr">
        <is>
          <t>ข้อ 1 (PLE_CC1_2560 22 April Set 1.md)</t>
        </is>
      </c>
      <c r="O75" s="35" t="inlineStr">
        <is>
          <t>ข้อสอบจริง</t>
        </is>
      </c>
      <c r="P75" s="35" t="inlineStr">
        <is>
          <t>ปี 2562</t>
        </is>
      </c>
    </row>
    <row r="76" ht="409.6" customHeight="1" s="49">
      <c r="A76" s="33" t="n">
        <v>74</v>
      </c>
      <c r="B76" s="34" t="inlineStr">
        <is>
          <t>หลังจากหยุดยาที่เป็นสาเหตุแล้วจะจัดการภาวะ hyperkalemia ในผู้ป่วยรายนี อย่างไร</t>
        </is>
      </c>
      <c r="C76" s="35" t="n"/>
      <c r="D76" s="34" t="inlineStr">
        <is>
          <t>ฉีด Insulin</t>
        </is>
      </c>
      <c r="E76" s="34" t="inlineStr">
        <is>
          <t>พ่น Salbutamol</t>
        </is>
      </c>
      <c r="F76" s="34" t="inlineStr">
        <is>
          <t>ฉีด Calcium gluconate</t>
        </is>
      </c>
      <c r="G76" s="34" t="inlineStr">
        <is>
          <t>ไปฟอกไต</t>
        </is>
      </c>
      <c r="H76" s="34" t="inlineStr">
        <is>
          <t>ไม่ต้องใช้ยารักษาอะไร</t>
        </is>
      </c>
      <c r="I76" s="33" t="inlineStr">
        <is>
          <t>1</t>
        </is>
      </c>
      <c r="J76" s="34"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76" s="35" t="n"/>
      <c r="L76" s="34" t="inlineStr">
        <is>
          <t>Hypertension</t>
        </is>
      </c>
      <c r="M76" s="35" t="inlineStr">
        <is>
          <t>Clinic</t>
        </is>
      </c>
      <c r="N76" s="34" t="inlineStr">
        <is>
          <t>ข้อ 4 (PLE_CC1_2560 22 April Set 1.md)</t>
        </is>
      </c>
      <c r="O76" s="35" t="inlineStr">
        <is>
          <t>ข้อสอบจริง</t>
        </is>
      </c>
      <c r="P76" s="35" t="inlineStr">
        <is>
          <t>ปี 2562</t>
        </is>
      </c>
    </row>
    <row r="77" ht="409.6" customHeight="1" s="49">
      <c r="A77" s="33" t="n">
        <v>75</v>
      </c>
      <c r="B77" s="34" t="inlineStr">
        <is>
          <t>ต่อมาคนให้เป็น Acute kidney injury on top CKD มีภาวะ Hyperkalemia ถามว่า ยาใดที่เป็น Ion exchange</t>
        </is>
      </c>
      <c r="C77" s="35" t="n"/>
      <c r="D77" s="34" t="inlineStr">
        <is>
          <t>Calcium polystyrene sulfonate</t>
        </is>
      </c>
      <c r="E77" s="34" t="inlineStr">
        <is>
          <t>Insulin</t>
        </is>
      </c>
      <c r="F77" s="34" t="inlineStr">
        <is>
          <t>Calcium gluconate</t>
        </is>
      </c>
      <c r="G77" s="34" t="inlineStr">
        <is>
          <t>Beta 2 agonist</t>
        </is>
      </c>
      <c r="H77" s="34" t="inlineStr">
        <is>
          <t>Sodium bicarbonate</t>
        </is>
      </c>
      <c r="I77" s="33" t="inlineStr">
        <is>
          <t>1</t>
        </is>
      </c>
      <c r="J77" s="34"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77" s="35" t="n"/>
      <c r="L77" s="34" t="inlineStr">
        <is>
          <t>Hypertension</t>
        </is>
      </c>
      <c r="M77" s="35" t="inlineStr">
        <is>
          <t>Clinic</t>
        </is>
      </c>
      <c r="N77" s="34" t="inlineStr">
        <is>
          <t>ข้อ 7 (PLE_CC1_2560 22 April Set 1.md)</t>
        </is>
      </c>
      <c r="O77" s="35" t="inlineStr">
        <is>
          <t>ข้อสอบจริง</t>
        </is>
      </c>
      <c r="P77" s="35" t="inlineStr">
        <is>
          <t>ปี 2562</t>
        </is>
      </c>
    </row>
    <row r="78" ht="409.6" customHeight="1" s="49">
      <c r="A78" s="33" t="n">
        <v>76</v>
      </c>
      <c r="B78" s="34" t="inlineStr">
        <is>
          <t>เป้าหมายความดันโลหิตของผู้ป่วยรายนี ตาม ADA2016</t>
        </is>
      </c>
      <c r="C78" s="35" t="n"/>
      <c r="D78" s="34" t="inlineStr">
        <is>
          <t>130/80</t>
        </is>
      </c>
      <c r="E78" s="34" t="inlineStr">
        <is>
          <t>140/90</t>
        </is>
      </c>
      <c r="F78" s="34" t="inlineStr">
        <is>
          <t>150/90</t>
        </is>
      </c>
      <c r="G78" s="34" t="inlineStr">
        <is>
          <t>130/70</t>
        </is>
      </c>
      <c r="H78" s="34" t="inlineStr">
        <is>
          <t>Losartan 50 mg OD</t>
        </is>
      </c>
      <c r="I78" s="33" t="inlineStr">
        <is>
          <t>1</t>
        </is>
      </c>
      <c r="J78" s="34"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78" s="35" t="n"/>
      <c r="L78" s="34" t="inlineStr">
        <is>
          <t>Hypertension</t>
        </is>
      </c>
      <c r="M78" s="35" t="inlineStr">
        <is>
          <t>Clinic</t>
        </is>
      </c>
      <c r="N78" s="34" t="inlineStr">
        <is>
          <t>ข้อ 2 (PLE_CC1_2560 22 April Set 1.md)</t>
        </is>
      </c>
      <c r="O78" s="35" t="inlineStr">
        <is>
          <t>ข้อสอบจริง</t>
        </is>
      </c>
      <c r="P78" s="35" t="inlineStr">
        <is>
          <t>ปี 2562</t>
        </is>
      </c>
    </row>
    <row r="79" ht="409.6" customHeight="1" s="49">
      <c r="A79" s="33" t="n">
        <v>77</v>
      </c>
      <c r="B79" s="34" t="inlineStr">
        <is>
          <t>ปัจจัยใดท้าให้ผู้ป่วยได้รับ Aspirin</t>
        </is>
      </c>
      <c r="C79" s="35" t="n"/>
      <c r="D79" s="34" t="inlineStr">
        <is>
          <t>อายุ</t>
        </is>
      </c>
      <c r="E79" s="34" t="inlineStr">
        <is>
          <t>อ้วน</t>
        </is>
      </c>
      <c r="F79" s="34" t="inlineStr">
        <is>
          <t>แอลกอฮอล์</t>
        </is>
      </c>
      <c r="G79" s="34" t="inlineStr">
        <is>
          <t>ไม่ออกก้าลังกาย</t>
        </is>
      </c>
      <c r="H79" s="34" t="inlineStr">
        <is>
          <t>เพศ</t>
        </is>
      </c>
      <c r="I79" s="33" t="inlineStr">
        <is>
          <t>1</t>
        </is>
      </c>
      <c r="J79" s="34"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ตามคำแนะนำของแนวทางเวชปฏิบัติสากล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9" s="35" t="n"/>
      <c r="L79" s="34" t="inlineStr">
        <is>
          <t>Hypertension</t>
        </is>
      </c>
      <c r="M79" s="35" t="inlineStr">
        <is>
          <t>Clinic</t>
        </is>
      </c>
      <c r="N79" s="34" t="inlineStr">
        <is>
          <t>ข้อ 3 (PLE_CC1_2560 22 April Set 1.md)</t>
        </is>
      </c>
      <c r="O79" s="35" t="inlineStr">
        <is>
          <t>ข้อสอบจริง</t>
        </is>
      </c>
      <c r="P79" s="35" t="inlineStr">
        <is>
          <t>ปี 2561</t>
        </is>
      </c>
    </row>
    <row r="80" ht="409.6" customHeight="1" s="49">
      <c r="A80" s="33" t="n">
        <v>78</v>
      </c>
      <c r="B80" s="34" t="inlineStr">
        <is>
          <t>ADR ของ Enalapril</t>
        </is>
      </c>
      <c r="C80" s="35" t="n"/>
      <c r="D80" s="34" t="inlineStr">
        <is>
          <t>Hyperkalemia</t>
        </is>
      </c>
      <c r="E80" s="34" t="inlineStr">
        <is>
          <t>...</t>
        </is>
      </c>
      <c r="F80" s="34" t="inlineStr">
        <is>
          <t>Empagliflozin 10 mg OD</t>
        </is>
      </c>
      <c r="G80" s="34" t="inlineStr">
        <is>
          <t>Diltiazem 30 mg TID</t>
        </is>
      </c>
      <c r="H80" s="34" t="inlineStr">
        <is>
          <t>Warfarin 3 mg OD (target INR 2.0-3.0)</t>
        </is>
      </c>
      <c r="I80" s="33" t="inlineStr">
        <is>
          <t>1</t>
        </is>
      </c>
      <c r="J80" s="34"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80" s="35" t="n"/>
      <c r="L80" s="34" t="inlineStr">
        <is>
          <t>Hypertension</t>
        </is>
      </c>
      <c r="M80" s="35" t="inlineStr">
        <is>
          <t>Clinic</t>
        </is>
      </c>
      <c r="N80" s="34" t="inlineStr">
        <is>
          <t>ข้อ 4 (PLE_CC1_2560 22 April Set 2.md)</t>
        </is>
      </c>
      <c r="O80" s="35" t="inlineStr">
        <is>
          <t>ข้อสอบจริง</t>
        </is>
      </c>
      <c r="P80" s="35" t="inlineStr">
        <is>
          <t>ปี 2561</t>
        </is>
      </c>
    </row>
    <row r="81" ht="409.6" customHeight="1" s="49">
      <c r="A81" s="33" t="n">
        <v>79</v>
      </c>
      <c r="B81" s="34" t="inlineStr">
        <is>
          <t>ยาใดทำให้ Hyperkalemia</t>
        </is>
      </c>
      <c r="C81" s="35" t="n"/>
      <c r="D81" s="34" t="inlineStr">
        <is>
          <t>Aspirin</t>
        </is>
      </c>
      <c r="E81" s="34" t="inlineStr">
        <is>
          <t>Moduretic</t>
        </is>
      </c>
      <c r="F81" s="34" t="inlineStr">
        <is>
          <t>Glipizide</t>
        </is>
      </c>
      <c r="G81" s="34" t="inlineStr">
        <is>
          <t>Amlodipine</t>
        </is>
      </c>
      <c r="H81" s="34" t="inlineStr">
        <is>
          <t>Omeprazole</t>
        </is>
      </c>
      <c r="I81" s="33" t="inlineStr">
        <is>
          <t>1</t>
        </is>
      </c>
      <c r="J81" s="34"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81" s="35" t="n"/>
      <c r="L81" s="34" t="inlineStr">
        <is>
          <t>Hypertension</t>
        </is>
      </c>
      <c r="M81" s="35" t="inlineStr">
        <is>
          <t>Clinic</t>
        </is>
      </c>
      <c r="N81" s="34" t="inlineStr">
        <is>
          <t>ข้อ 1 (PLE_CC1_2560 22 April Set 2.md)</t>
        </is>
      </c>
      <c r="O81" s="35" t="inlineStr">
        <is>
          <t>ข้อสอบจริง</t>
        </is>
      </c>
      <c r="P81" s="35" t="inlineStr">
        <is>
          <t>ปี 2561</t>
        </is>
      </c>
    </row>
    <row r="82" ht="409.6" customHeight="1" s="49">
      <c r="A82" s="33" t="n">
        <v>80</v>
      </c>
      <c r="B82" s="34" t="inlineStr">
        <is>
          <t>การจัดการภาวะ Hyperkalemia หลังจากหยุดยาที่เป็นสาเหตุ</t>
        </is>
      </c>
      <c r="C82" s="35" t="n"/>
      <c r="D82" s="34" t="inlineStr">
        <is>
          <t>ฉีด Insulin</t>
        </is>
      </c>
      <c r="E82" s="34" t="inlineStr">
        <is>
          <t>พ่น Salbutamol</t>
        </is>
      </c>
      <c r="F82" s="34" t="inlineStr">
        <is>
          <t>ฉีด Calcium gluconate</t>
        </is>
      </c>
      <c r="G82" s="34" t="inlineStr">
        <is>
          <t>ไปฟอกไต</t>
        </is>
      </c>
      <c r="H82" s="34" t="inlineStr">
        <is>
          <t>ไม่ต้องใช้ยารักษาอะไร</t>
        </is>
      </c>
      <c r="I82" s="33" t="inlineStr">
        <is>
          <t>1</t>
        </is>
      </c>
      <c r="J82" s="34"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82" s="35" t="n"/>
      <c r="L82" s="34" t="inlineStr">
        <is>
          <t>Hypertension</t>
        </is>
      </c>
      <c r="M82" s="35" t="inlineStr">
        <is>
          <t>Clinic</t>
        </is>
      </c>
      <c r="N82" s="34" t="inlineStr">
        <is>
          <t>ข้อ 3 (PLE_CC1_2560 22 April Set 2.md)</t>
        </is>
      </c>
      <c r="O82" s="35" t="inlineStr">
        <is>
          <t>ข้อสอบจริง</t>
        </is>
      </c>
      <c r="P82" s="35" t="inlineStr">
        <is>
          <t>ปี 2561</t>
        </is>
      </c>
    </row>
    <row r="83" ht="409.6" customHeight="1" s="49">
      <c r="A83" s="33" t="n">
        <v>81</v>
      </c>
      <c r="B83" s="34" t="inlineStr">
        <is>
          <t>ข้อใดเป็นคำแนะนำที่ผิด ในการใช้ Minipill ในสตรีให้นมบุตร สำหรับคุมกำเนิด</t>
        </is>
      </c>
      <c r="C83" s="35" t="n"/>
      <c r="D83" s="34" t="inlineStr">
        <is>
          <t>ให้รับประทานยาต่อเนื่อง ไม่ต้องหยุดยา 7 วัน</t>
        </is>
      </c>
      <c r="E83" s="34" t="inlineStr">
        <is>
          <t>อาจมีเลือดออกกระปิบกระปอย</t>
        </is>
      </c>
      <c r="F83" s="34" t="inlineStr">
        <is>
          <t>การใช้ Amoxicillin ไม่มีผลต่อการออกฤทธิ์ของยา</t>
        </is>
      </c>
      <c r="G83" s="34" t="inlineStr">
        <is>
          <t>หากลืมรับประทานยาเกิน 24 ชั่วโมง ยายังมีประสิทธิภาพในการคุมกำเนิดเท่าเดิม</t>
        </is>
      </c>
      <c r="H83" s="34" t="inlineStr">
        <is>
          <t>รับประทานติดต่อกันเป็นระยะเวลานาน อาจทำให้ขาดประจำเดือน</t>
        </is>
      </c>
      <c r="I83" s="33" t="inlineStr">
        <is>
          <t>1</t>
        </is>
      </c>
      <c r="J83" s="34"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83" s="35" t="n"/>
      <c r="L83" s="34" t="inlineStr">
        <is>
          <t>Hypertension</t>
        </is>
      </c>
      <c r="M83" s="35" t="inlineStr">
        <is>
          <t>Clinic</t>
        </is>
      </c>
      <c r="N83" s="34" t="inlineStr">
        <is>
          <t>ข้อ 5 (PLE_CC1_2560 22 April Set 2.md)</t>
        </is>
      </c>
      <c r="O83" s="35" t="inlineStr">
        <is>
          <t>ข้อสอบจริง</t>
        </is>
      </c>
      <c r="P83" s="35" t="inlineStr">
        <is>
          <t>ปี 2561</t>
        </is>
      </c>
    </row>
    <row r="84" ht="409.6" customHeight="1" s="49">
      <c r="A84" s="33" t="n">
        <v>82</v>
      </c>
      <c r="B84" s="34" t="inlineStr">
        <is>
          <t>ผู้ป่วยรายนี เป็นโรคภาวะหัวใจล้มเหลวอยู่ใน stage ใด</t>
        </is>
      </c>
      <c r="C84" s="35" t="n"/>
      <c r="D84" s="34" t="inlineStr">
        <is>
          <t>Stage A</t>
        </is>
      </c>
      <c r="E84" s="34" t="inlineStr">
        <is>
          <t>Stage B</t>
        </is>
      </c>
      <c r="F84" s="34" t="inlineStr">
        <is>
          <t>Stage C</t>
        </is>
      </c>
      <c r="G84" s="34" t="inlineStr">
        <is>
          <t>Stage D</t>
        </is>
      </c>
      <c r="H84" s="34" t="inlineStr">
        <is>
          <t>Stage E</t>
        </is>
      </c>
      <c r="I84" s="33" t="inlineStr">
        <is>
          <t>1</t>
        </is>
      </c>
      <c r="J84" s="34"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ไม่มีการจัดแบ่งระยะนี้ในระบบการจำแนกโรคภาวะหัวใจล้มเหลวตามเกณฑ์มาตรฐานสากลของ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84" s="35" t="n"/>
      <c r="L84" s="34" t="inlineStr">
        <is>
          <t>Hypertension</t>
        </is>
      </c>
      <c r="M84" s="35" t="inlineStr">
        <is>
          <t>Clinic</t>
        </is>
      </c>
      <c r="N84" s="34" t="inlineStr">
        <is>
          <t>ข้อ 1 (PLE_CC1_2559.md)</t>
        </is>
      </c>
      <c r="O84" s="35" t="inlineStr">
        <is>
          <t>ข้อสอบจริง</t>
        </is>
      </c>
      <c r="P84" s="35" t="inlineStr">
        <is>
          <t>ปี 2561</t>
        </is>
      </c>
    </row>
    <row r="85" ht="409.6" customHeight="1" s="49">
      <c r="A85" s="33" t="n">
        <v>83</v>
      </c>
      <c r="B85" s="34" t="inlineStr">
        <is>
          <t>การที่ผู้ป่วยได้รับยา warfarin ต้องมีการตรวจติดตามค่าอะไร</t>
        </is>
      </c>
      <c r="C85" s="35" t="n"/>
      <c r="D85" s="34" t="inlineStr">
        <is>
          <t>Prothrombin time</t>
        </is>
      </c>
      <c r="E85" s="34" t="inlineStr">
        <is>
          <t>Activated thromboplastin time</t>
        </is>
      </c>
      <c r="F85" s="34" t="inlineStr">
        <is>
          <t>International normalized ratio</t>
        </is>
      </c>
      <c r="G85" s="34" t="inlineStr">
        <is>
          <t>Heparin anti-factor  level</t>
        </is>
      </c>
      <c r="H85" s="34" t="inlineStr">
        <is>
          <t>International sensitivity index</t>
        </is>
      </c>
      <c r="I85" s="33" t="inlineStr">
        <is>
          <t>1</t>
        </is>
      </c>
      <c r="J85" s="34"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ของน้ำยาตรวจเพื่อให้ได้ค่ามาตรฐานสากลคือ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เป็นค่ามาตรฐานสากลที่ใช้ในการปรับขนาดยา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85" s="35" t="n"/>
      <c r="L85" s="34" t="inlineStr">
        <is>
          <t>Hypertension</t>
        </is>
      </c>
      <c r="M85" s="35" t="inlineStr">
        <is>
          <t>Clinic</t>
        </is>
      </c>
      <c r="N85" s="34" t="inlineStr">
        <is>
          <t>ข้อ 6 (PLE_CC1_2559.md)</t>
        </is>
      </c>
      <c r="O85" s="35" t="inlineStr">
        <is>
          <t>ข้อสอบจริง</t>
        </is>
      </c>
      <c r="P85" s="35" t="inlineStr">
        <is>
          <t>ปี 2561</t>
        </is>
      </c>
    </row>
    <row r="86" ht="409.6" customHeight="1" s="49">
      <c r="A86" s="33" t="n">
        <v>84</v>
      </c>
      <c r="B86" s="34" t="inlineStr">
        <is>
          <t>ข้อใดถูกเกี่ยวกับโครงสร้างของ warfarin</t>
        </is>
      </c>
      <c r="C86" s="35" t="n"/>
      <c r="D86" s="34" t="inlineStr">
        <is>
          <t>Racemic mixture หมุน polarize ไม่ได้</t>
        </is>
      </c>
      <c r="E86" s="34" t="inlineStr">
        <is>
          <t>มี chiral carbon 2 atom</t>
        </is>
      </c>
      <c r="F86" s="34" t="inlineStr">
        <is>
          <t>จากโครงสร้างเป็น S-form</t>
        </is>
      </c>
      <c r="G86" s="34" t="inlineStr">
        <is>
          <t>R-form กับ S-form วัดได้จาก Polarimeter</t>
        </is>
      </c>
      <c r="H86" s="34" t="inlineStr">
        <is>
          <t>R-form กับ S-form ไม่ได้เป็น optical isomer</t>
        </is>
      </c>
      <c r="I86" s="33" t="inlineStr">
        <is>
          <t>1</t>
        </is>
      </c>
      <c r="J86" s="34"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86" s="35" t="n"/>
      <c r="L86" s="34" t="inlineStr">
        <is>
          <t>Hypertension</t>
        </is>
      </c>
      <c r="M86" s="35" t="inlineStr">
        <is>
          <t>Clinic</t>
        </is>
      </c>
      <c r="N86" s="34" t="inlineStr">
        <is>
          <t>ข้อ 7 (PLE_CC1_2559.md)</t>
        </is>
      </c>
      <c r="O86" s="35" t="inlineStr">
        <is>
          <t>ข้อสอบจริง</t>
        </is>
      </c>
      <c r="P86" s="35" t="inlineStr">
        <is>
          <t>ปี 2560</t>
        </is>
      </c>
    </row>
    <row r="87" ht="409.6" customHeight="1" s="49">
      <c r="A87" s="33" t="n">
        <v>85</v>
      </c>
      <c r="B87" s="34"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87" s="35" t="n"/>
      <c r="D87" s="34" t="inlineStr">
        <is>
          <t>Category A</t>
        </is>
      </c>
      <c r="E87" s="34" t="inlineStr">
        <is>
          <t>Category B</t>
        </is>
      </c>
      <c r="F87" s="34" t="inlineStr">
        <is>
          <t>Category E</t>
        </is>
      </c>
      <c r="G87" s="34" t="inlineStr">
        <is>
          <t>Category F</t>
        </is>
      </c>
      <c r="H87" s="34" t="inlineStr">
        <is>
          <t>Category I ยาที่ได้รับ Theophylline SR 1x2 Seretide evohaler (25/125) 2 puff bid Berodual 2 puff prn Phenytoin 3xhs</t>
        </is>
      </c>
      <c r="I87" s="33" t="inlineStr">
        <is>
          <t>1</t>
        </is>
      </c>
      <c r="J87" s="34"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ตามเกณฑ์สากลจะจัดอยู่ใน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87" s="35" t="n"/>
      <c r="L87" s="34" t="inlineStr">
        <is>
          <t>Hypertension</t>
        </is>
      </c>
      <c r="M87" s="35" t="inlineStr">
        <is>
          <t>Clinic</t>
        </is>
      </c>
      <c r="N87" s="34" t="inlineStr">
        <is>
          <t>ข้อ 9 (PLE_CC1_2559.md)</t>
        </is>
      </c>
      <c r="O87" s="35" t="inlineStr">
        <is>
          <t>ข้อสอบจริง</t>
        </is>
      </c>
      <c r="P87" s="35" t="inlineStr">
        <is>
          <t>ปี 2560</t>
        </is>
      </c>
    </row>
    <row r="88" ht="409.6" customHeight="1" s="49">
      <c r="A88" s="33" t="n">
        <v>86</v>
      </c>
      <c r="B88" s="34" t="inlineStr">
        <is>
          <t>ควรได้รับยาอะไรเสริมด้วยในผู้ป่วยที่ได้รับยา metformin</t>
        </is>
      </c>
      <c r="C88" s="35" t="n"/>
      <c r="D88" s="34" t="inlineStr">
        <is>
          <t>Thiamine</t>
        </is>
      </c>
      <c r="E88" s="34" t="inlineStr">
        <is>
          <t>Riboflavin</t>
        </is>
      </c>
      <c r="F88" s="34" t="inlineStr">
        <is>
          <t>Niacin</t>
        </is>
      </c>
      <c r="G88" s="34" t="inlineStr">
        <is>
          <t>Pyridoxine</t>
        </is>
      </c>
      <c r="H88" s="34" t="inlineStr">
        <is>
          <t>Cobalamin</t>
        </is>
      </c>
      <c r="I88" s="33" t="inlineStr">
        <is>
          <t>1</t>
        </is>
      </c>
      <c r="J88" s="34"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88" s="35" t="n"/>
      <c r="L88" s="34" t="inlineStr">
        <is>
          <t>Hypertension</t>
        </is>
      </c>
      <c r="M88" s="35" t="inlineStr">
        <is>
          <t>Clinic</t>
        </is>
      </c>
      <c r="N88" s="34" t="inlineStr">
        <is>
          <t>ข้อ 20 (PLE_CC1_2559.md)</t>
        </is>
      </c>
      <c r="O88" s="35" t="inlineStr">
        <is>
          <t>ข้อสอบจริง</t>
        </is>
      </c>
      <c r="P88" s="35" t="inlineStr">
        <is>
          <t>ปี 2560</t>
        </is>
      </c>
    </row>
    <row r="89" ht="409.6" customHeight="1" s="49">
      <c r="A89" s="33" t="n">
        <v>87</v>
      </c>
      <c r="B89" s="34" t="inlineStr">
        <is>
          <t>2 เดือนต่อมา ผู้ป่วยกลับมาตรวจพบ FBS 120 mg/dL HbA1C 7% eGFR 25 mL/min ควรปรับเปลี่ยนยา อย่างไร</t>
        </is>
      </c>
      <c r="C89" s="35" t="n"/>
      <c r="D89" s="34" t="inlineStr">
        <is>
          <t>เพิ่ม glipizide</t>
        </is>
      </c>
      <c r="E89" s="34" t="inlineStr">
        <is>
          <t>เปลี่ยน glibenclamide เป็น chlorpropamide</t>
        </is>
      </c>
      <c r="F89" s="34" t="inlineStr">
        <is>
          <t>เปลี่ยน metformin เป็น pioglitazone</t>
        </is>
      </c>
      <c r="G89" s="34" t="inlineStr">
        <is>
          <t>เพิ่มยา acarbose เนื่องจากระดับน ้าตาลยังไม่ได้เป้าหมาย</t>
        </is>
      </c>
      <c r="H89" s="34" t="inlineStr">
        <is>
          <t>ไม่ต้องมีการเปลี่ยนแปลง</t>
        </is>
      </c>
      <c r="I89" s="33" t="inlineStr">
        <is>
          <t>1</t>
        </is>
      </c>
      <c r="J89" s="34"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9" s="35" t="n"/>
      <c r="L89" s="34" t="inlineStr">
        <is>
          <t>Hypertension</t>
        </is>
      </c>
      <c r="M89" s="35" t="inlineStr">
        <is>
          <t>Clinic</t>
        </is>
      </c>
      <c r="N89" s="34" t="inlineStr">
        <is>
          <t>ข้อ 21 (PLE_CC1_2559.md)</t>
        </is>
      </c>
      <c r="O89" s="35" t="inlineStr">
        <is>
          <t>ข้อสอบจริง</t>
        </is>
      </c>
      <c r="P89" s="35" t="inlineStr">
        <is>
          <t>ปี 2560</t>
        </is>
      </c>
    </row>
    <row r="90" ht="409.6" customHeight="1" s="49">
      <c r="A90" s="33" t="n">
        <v>88</v>
      </c>
      <c r="B90" s="34" t="inlineStr">
        <is>
          <t>ความดันเป้าหมายในผู้ป่วยรายนี เท่ากับเท่าไรตาม JNC II</t>
        </is>
      </c>
      <c r="C90" s="35" t="n"/>
      <c r="D90" s="34" t="inlineStr">
        <is>
          <t>130/80 mmHg</t>
        </is>
      </c>
      <c r="E90" s="34" t="inlineStr">
        <is>
          <t>140/90 mmHg</t>
        </is>
      </c>
      <c r="F90" s="34" t="inlineStr">
        <is>
          <t>120/80 mmHg</t>
        </is>
      </c>
      <c r="G90" s="34" t="inlineStr">
        <is>
          <t>130/90 mmHg</t>
        </is>
      </c>
      <c r="H90" s="34" t="inlineStr">
        <is>
          <t>130/85 mmHg</t>
        </is>
      </c>
      <c r="I90" s="33" t="inlineStr">
        <is>
          <t>1</t>
        </is>
      </c>
      <c r="J90" s="34"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90" s="35" t="n"/>
      <c r="L90" s="34" t="inlineStr">
        <is>
          <t>Hypertension</t>
        </is>
      </c>
      <c r="M90" s="35" t="inlineStr">
        <is>
          <t>Clinic</t>
        </is>
      </c>
      <c r="N90" s="34" t="inlineStr">
        <is>
          <t>ข้อ 77 (PLE_CC1_2559.md)</t>
        </is>
      </c>
      <c r="O90" s="35" t="inlineStr">
        <is>
          <t>ข้อสอบจริง</t>
        </is>
      </c>
      <c r="P90" s="35" t="inlineStr">
        <is>
          <t>ปี 2560</t>
        </is>
      </c>
    </row>
    <row r="91" ht="409.6" customHeight="1" s="49">
      <c r="A91" s="33" t="n">
        <v>89</v>
      </c>
      <c r="B91" s="34" t="inlineStr">
        <is>
          <t>หากคนไข้ได้รับยา enalapril ควรต้องมีการติดตามค่าใด</t>
        </is>
      </c>
      <c r="C91" s="35" t="n"/>
      <c r="D91" s="34" t="inlineStr">
        <is>
          <t>Electrolyte</t>
        </is>
      </c>
      <c r="E91" s="34" t="inlineStr">
        <is>
          <t>Complete blood count</t>
        </is>
      </c>
      <c r="F91" s="34" t="inlineStr">
        <is>
          <t>Liver function test</t>
        </is>
      </c>
      <c r="G91" s="34" t="inlineStr">
        <is>
          <t>Fasting blood glucose</t>
        </is>
      </c>
      <c r="H91" s="34" t="inlineStr">
        <is>
          <t>Electrocardiogram</t>
        </is>
      </c>
      <c r="I91" s="33" t="inlineStr">
        <is>
          <t>1</t>
        </is>
      </c>
      <c r="J91" s="34"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91" s="35" t="n"/>
      <c r="L91" s="34" t="inlineStr">
        <is>
          <t>Hypertension</t>
        </is>
      </c>
      <c r="M91" s="35" t="inlineStr">
        <is>
          <t>Clinic</t>
        </is>
      </c>
      <c r="N91" s="34" t="inlineStr">
        <is>
          <t>ข้อ 79 (PLE_CC1_2559.md)</t>
        </is>
      </c>
      <c r="O91" s="35" t="inlineStr">
        <is>
          <t>ข้อสอบจริง</t>
        </is>
      </c>
      <c r="P91" s="35" t="inlineStr">
        <is>
          <t>ปี 2560</t>
        </is>
      </c>
    </row>
    <row r="92" ht="409.6" customHeight="1" s="49">
      <c r="A92" s="33" t="n">
        <v>90</v>
      </c>
      <c r="B92" s="34" t="inlineStr">
        <is>
          <t>ยาตัวใดปลอดภัยกับหัวใจที่สุด</t>
        </is>
      </c>
      <c r="C92" s="35" t="n"/>
      <c r="D92" s="34" t="inlineStr">
        <is>
          <t>Ibuprofen</t>
        </is>
      </c>
      <c r="E92" s="34" t="inlineStr">
        <is>
          <t>Diclofenac</t>
        </is>
      </c>
      <c r="F92" s="34" t="inlineStr">
        <is>
          <t>Naproxen</t>
        </is>
      </c>
      <c r="G92" s="34" t="inlineStr">
        <is>
          <t>Celecoxib</t>
        </is>
      </c>
      <c r="H92" s="34" t="inlineStr">
        <is>
          <t>Piroxicam</t>
        </is>
      </c>
      <c r="I92" s="33" t="inlineStr">
        <is>
          <t>1</t>
        </is>
      </c>
      <c r="J92" s="34"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92" s="35" t="n"/>
      <c r="L92" s="34" t="inlineStr">
        <is>
          <t>Hypertension</t>
        </is>
      </c>
      <c r="M92" s="35" t="inlineStr">
        <is>
          <t>Clinic</t>
        </is>
      </c>
      <c r="N92" s="34" t="inlineStr">
        <is>
          <t>ข้อ 88 (PLE_CC1_2559.md)</t>
        </is>
      </c>
      <c r="O92" s="35" t="inlineStr">
        <is>
          <t>ข้อสอบจริง</t>
        </is>
      </c>
      <c r="P92" s="35" t="inlineStr">
        <is>
          <t>ปี 2560</t>
        </is>
      </c>
    </row>
    <row r="93" ht="409.6" customHeight="1" s="49">
      <c r="A93" s="33" t="n">
        <v>91</v>
      </c>
      <c r="B93" s="34" t="inlineStr">
        <is>
          <t>เป้าหมายความดันโลหิตของผู้ป่วยรายนี้ตาม JNC8 เท่ากับข้อใด</t>
        </is>
      </c>
      <c r="C93" s="35" t="n"/>
      <c r="D93" s="34" t="inlineStr">
        <is>
          <t>150/90 mmHg</t>
        </is>
      </c>
      <c r="E93" s="34" t="inlineStr">
        <is>
          <t>140/90 mmHg</t>
        </is>
      </c>
      <c r="F93" s="34" t="inlineStr">
        <is>
          <t>130/80 mmHg</t>
        </is>
      </c>
      <c r="G93" s="34" t="inlineStr">
        <is>
          <t>140/80 mmHg</t>
        </is>
      </c>
      <c r="H93" s="34" t="inlineStr">
        <is>
          <t>125/90 mmHg</t>
        </is>
      </c>
      <c r="I93" s="33" t="inlineStr">
        <is>
          <t>1</t>
        </is>
      </c>
      <c r="J93" s="34" t="inlineStr">
        <is>
          <t>✅ คำตอบที่ถูกต้อง: ข้อ ก. 150/90 mmHg
💡 Background:
แนวทางเวชปฏิบัติ JNC 8 ได้กำหนดเกณฑ์เป้าหมายความดันโลหิตตามกลุ่มอายุและโรคร่วม โดยพิจารณาจากหลักฐานเชิงประจักษ์ของการศึกษาทางคลินิกแบบสุ่มและมีกลุ่มควบคุมขนาดใหญ่ที่มุ่งเน้นการลดอัตราการเสียชีวิตและภาวะแทรกซ้อน
🎯 ทำไมข้อนี้ถึงถูก:
ตามข้อแนะนำที่ 1 ของ JNC 8 กำหนดไว้ว่าในประชากรทั่วไปที่มีอายุตั้งแต่ 60 ปีขึ้นไป ให้เริ่มต้นการรักษาด้วยยาลดความดันเมื่อ SBP ตั้งแต่ 150 mmHg หรือ DBP ตั้งแต่ 90 mmHg ขึ้นไป และตั้งเป้าหมายการควบคุมความดันโลหิตให้น้อยกว่า 150/90 mmHg เพื่อลดความเสี่ยงจากการเกิดภาวะความดันต่ำและภาวะแทรกซ้อนในผู้สูงอายุ
🔍 ข้ออื่นผิดเพราะอะไร:
• ข้อ ข.: 140/90 mmHg เป็นเป้าหมายความดันโลหิตตาม JNC 8 สำหรับประชากรทั่วไปที่อายุน้อยกว่า 60 ปี หรือผู้ป่วยเบาหวานและผู้ป่วยโรคไตเรื้อรังทุกช่วงอายุ
• ข้อ ค.: 130/80 mmHg เป็นเป้าหมายความดันโลหิตตามแนวทาง ACC/AHA 2017 และแนวทางสมาคมความดันโลหิตสูงแห่งประเทศไทย 2562 ไม่ใช่เกณฑ์เป้าหมายของ JNC 8
• ข้อ ง.: 140/80 mmHg ไม่ตรงกับเกณฑ์ตัวเลขเป้าหมายตามที่ระบุในข้อแนะนำของ JNC 8 สำหรับประชากรอายุ 60 ปีขึ้นไป
• ข้อ จ.: 125/90 mmHg เป็นค่าความดันโลหิตที่ไม่มีการกำหนดไว้ในแนวทางเวชปฏิบัติมาตรฐานใดๆ
📖 Guideline อ้างอิง:
2014 Evidence-Based Guideline for the Management of High Blood Pressure in Adults (JNC 8)
📌 จุดจำก่อนสอบ:
• JNC 8 Age &gt;= 60: เป้าหมายความดันโลหิตคือ &lt; 150/90 mmHg ในประชากรทั่วไปที่ไม่มี DM หรือ CKD
• JNC 8 Age &lt; 60, DM, CKD: เป้าหมายความดันโลหิตคือ &lt; 140/90 mmHg</t>
        </is>
      </c>
      <c r="K93" s="35" t="n"/>
      <c r="L93" s="34" t="inlineStr">
        <is>
          <t>Hypertension</t>
        </is>
      </c>
      <c r="M93" s="35" t="inlineStr">
        <is>
          <t>Clinic</t>
        </is>
      </c>
      <c r="N93" s="34" t="inlineStr">
        <is>
          <t>ข้อ 1 (PLE_CC1_2558_Key.md)</t>
        </is>
      </c>
      <c r="O93" s="35" t="inlineStr">
        <is>
          <t>ข้อสอบจริง</t>
        </is>
      </c>
      <c r="P93" s="35" t="inlineStr">
        <is>
          <t>ปี 2560</t>
        </is>
      </c>
    </row>
    <row r="94" ht="409.6" customHeight="1" s="49">
      <c r="A94" s="33" t="n">
        <v>92</v>
      </c>
      <c r="B94" s="34" t="inlineStr">
        <is>
          <t>ข้อใดคือ ADR ของ enalapril ที่ต้องติดตาม</t>
        </is>
      </c>
      <c r="C94" s="35" t="n"/>
      <c r="D94" s="34" t="inlineStr">
        <is>
          <t>Hyperkalemia</t>
        </is>
      </c>
      <c r="E94" s="34" t="inlineStr">
        <is>
          <t>Hyperuricemia</t>
        </is>
      </c>
      <c r="F94" s="34" t="inlineStr">
        <is>
          <t>Hypernatremia</t>
        </is>
      </c>
      <c r="G94" s="34" t="inlineStr">
        <is>
          <t>Hyperphosphatemia</t>
        </is>
      </c>
      <c r="H94" s="34" t="inlineStr">
        <is>
          <t>Hypercalcemia</t>
        </is>
      </c>
      <c r="I94" s="33" t="inlineStr">
        <is>
          <t>1</t>
        </is>
      </c>
      <c r="J94" s="34" t="inlineStr">
        <is>
          <t>✅ คำตอบที่ถูกต้อง: ข้อ ก. Hyperkalemia
💡 Background:
Enalapril ยับยั้งเอนไซม์ Angiotensin-Converting Enzyme ขัดขวางการสังเคราะห์ Angiotensin II ซึ่งเป็นตัวกระตุ้นหลักในการหลั่ง Aldosterone จาก Zona glomerulosa ของต่อมหมวกไต
🎯 ทำไมข้อนี้ถึงถูก:
เมื่อระดับ Aldosterone ในกระแสเลือดลดลง กลไกการขับ Potassium ไอออนทิ้งทางปัสสาวะที่ Principal cells บริเวณ Cortical collecting tubule จะลดลงอย่างมีนัยสำคัญ ส่งผลให้เกิดการคั่งของโพแทสเซียมในร่างกายและนำไปสู่ภาวะ Hyperkalemia ซึ่งเป็นอาการไม่พึงประสงค์หลักที่ต้องเฝ้าระวังอย่างใกล้ชิด
🔍 ข้ออื่นผิดเพราะอะไร:
• ข้อ ข.: Hyperuricemia เป็นอาการไม่พึงประสงค์เด่นของยากลุ่ม Thiazide และ Loop diuretics จากการแย่งชิงการขับออกที่ท่อไตส่วนต้น ไม่ใช่ผลข้างเคียงของ Enalapril
• ข้อ ค.: Hypernatremia ไม่พบในการใช้ Enalapril เนื่องจากยาออกฤทธิ์ลด Aldosterone ทำให้เกิดการขับโซเดียมและน้ำออกทางไต ซึ่งอาจนำไปสู่ภาวะ Hyponatremia ได้ในบางกรณี
• ข้อ ง.: Hyperphosphatemia พบบ่อยในผู้ป่วยไตวายเรื้อรังระยะท้ายจากการลดลงของการกรองฟอสเฟตที่ไต ไม่ใช่อาการไม่พึงประสงค์จากการใช้ยา Enalapril
• ข้อ จ.: Hypercalcemia มักสัมพันธ์กับยากลุ่ม Thiazide diuretics ที่เพิ่มการดูดกลับแคลเซียมที่ท่อไตส่วนปลาย ไม่ใช่ผลข้างเคียงของ ACEI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ADR: Hyperkalemia เกิดจากการลดลงของ Aldosterone ทำให้ลดการขับ K+ ที่ไต
• Clinical Practice: ต้องติดตามระดับ K+ สม่ำเสมอ โดยเฉพาะในผู้ป่วยไตเสื่อมหรือผู้ที่ใช้ยา K+-sparing agents ร่วมด้วย</t>
        </is>
      </c>
      <c r="K94" s="35" t="n"/>
      <c r="L94" s="34" t="inlineStr">
        <is>
          <t>Hypertension</t>
        </is>
      </c>
      <c r="M94" s="35" t="inlineStr">
        <is>
          <t>Clinic</t>
        </is>
      </c>
      <c r="N94" s="34" t="inlineStr">
        <is>
          <t>ข้อ 2 (PLE_CC1_2558_Key.md)</t>
        </is>
      </c>
      <c r="O94" s="35" t="inlineStr">
        <is>
          <t>ข้อสอบจริง</t>
        </is>
      </c>
      <c r="P94" s="35" t="inlineStr">
        <is>
          <t>ปี 2560</t>
        </is>
      </c>
    </row>
    <row r="95" ht="409.6" customHeight="1" s="49">
      <c r="A95" s="33" t="n">
        <v>93</v>
      </c>
      <c r="B95" s="34" t="inlineStr">
        <is>
          <t>ควรเพิ่มยารักษาความดันใดให้ได้ตามเป้าหมาย</t>
        </is>
      </c>
      <c r="C95" s="35" t="n"/>
      <c r="D95" s="34" t="inlineStr">
        <is>
          <t>Atenolol</t>
        </is>
      </c>
      <c r="E95" s="34" t="inlineStr">
        <is>
          <t>Amlodipine</t>
        </is>
      </c>
      <c r="F95" s="34" t="inlineStr">
        <is>
          <t>เพิ่มขนาดยา enalapril</t>
        </is>
      </c>
      <c r="G95" s="34" t="inlineStr">
        <is>
          <t>Indapamide</t>
        </is>
      </c>
      <c r="H95" s="34" t="inlineStr">
        <is>
          <t>HCTZ</t>
        </is>
      </c>
      <c r="I95" s="33" t="inlineStr">
        <is>
          <t>1</t>
        </is>
      </c>
      <c r="J95" s="34" t="inlineStr">
        <is>
          <t>✅ คำตอบที่ถูกต้อง: ข้อ ก. Amlodipine
💡 Background:
ผู้ป่วยหญิงสูงอายุ (68 ปี) มีความดันโลหิต 158/96 mmHg และมีโรคร่วมคือภาวะกรดยูริกในเลือดสูง (Uric acid 8 mg/dL) และอัตราการเต้นของหัวใจค่อนข้างช้า (HR 62 ครั้ง/นาที) โดยปัจจุบันได้รับ Enalapril 20 mg วันละสองครั้ง ซึ่งเป็นขนาดยาสูงสุดแล้ว
🎯 ทำไมข้อนี้ถึงถูก:
Amlodipine เป็นยากลุ่ม Dihydropyridine Calcium Channel Blocker (DHP-CCB) ซึ่งเป็น first-line class ร่วมกับ ACEI และเป็นยาที่เหมาะสมที่สุดเนื่องจาก Enalapril ได้รับขนาดยาสูงสุดแล้ว การเพิ่ม DHP-CCB ช่วยเสริมฤทธิ์ลดความดันโลหิตผ่านการขยายหลอดเลือดแดงส่วนปลายโดยไม่มีผลกดอัตราการเต้นของหัวใจ และไม่มีผลเพิ่มระดับกรดยูริกในเลือด
🔍 ข้ออื่นผิดเพราะอะไร:
• ข้อ ก.: Atenolol เป็น Beta-1 selective blocker ซึ่งมีผลลดอัตราการเต้นของหัวใจ (Negative chronotropic) ผู้ป่วยมี HR เริ่มต้นที่ 62 ครั้ง/นาที จึงเสี่ยงต่อการเกิดภาวะ Bradycardia รุนแรง และไม่แนะนำเป็น first-line ในโรคความดันโลหิตสูงทั่วไป
• ข้อ ค.: เพิ่มขนาดยา enalapril ไม่สามารถทำได้เนื่องจากผู้ป่วยรับประทาน Enalapril 20 mg วันละ 2 ครั้ง ซึ่งคิดเป็นขนาดยารวม 40 mg ต่อวัน อันเป็นขนาดยาสูงสุดที่แนะนำต่อวันแล้ว (Max daily dose)
• ข้อ ง.: Indapamide เป็น Thiazide-like diuretic ที่มีกลไกยับยั้งการขับกรดยูริกที่ท่อไตส่วนต้น อาจทำให้ภาวะ Hyperuricemia เดิมของผู้ป่วยแย่ลงและกระตุ้นการเกิดข้ออักเสบเกาต์ได้
• ข้อ จ.: HCTZ เป็น Thiazide diuretic ที่มีผลข้างเคียงสำคัญคือการลดการขับกรดยูริก ทำให้เกิดภาวะ Hyperuricemia ซึ่งเป็นข้อควรระวังสำคัญในผู้ป่วยรายนี้ที่มีกรดยูริกสูงถึง 8 mg/dL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Max Dose Enalapril: ขนาดยาสูงสุดคือ 40 mg/day (20 mg bid) หากยังคุมความดันไม่ได้ต้องเพิ่มยากลุ่มอื่น (Add-on)
• Core Combination: การจับคู่ ACEI ร่วมกับ DHP-CCB (Amlodipine) มีประสิทธิภาพลดความดันโลหิตสูงและปลอดภัยในผู้ป่วยที่มีกรดยูริกสูง</t>
        </is>
      </c>
      <c r="K95" s="35" t="n"/>
      <c r="L95" s="34" t="inlineStr">
        <is>
          <t>Hypertension</t>
        </is>
      </c>
      <c r="M95" s="35" t="inlineStr">
        <is>
          <t>Clinic</t>
        </is>
      </c>
      <c r="N95" s="34" t="inlineStr">
        <is>
          <t>ข้อ 3 (PLE_CC1_2558_Key.md)</t>
        </is>
      </c>
      <c r="O95" s="35" t="inlineStr">
        <is>
          <t>ข้อสอบจริง</t>
        </is>
      </c>
      <c r="P95" s="35" t="inlineStr">
        <is>
          <t>ปี 2560</t>
        </is>
      </c>
    </row>
    <row r="96" ht="409.6" customHeight="1" s="49">
      <c r="A96" s="33" t="n">
        <v>94</v>
      </c>
      <c r="B96" s="34" t="inlineStr">
        <is>
          <t>Simvastatin เกิดปฏิกิริยาระหว่างยา gemfibrozil ด้วยกลไก</t>
        </is>
      </c>
      <c r="C96" s="35" t="n"/>
      <c r="D96" s="34" t="inlineStr">
        <is>
          <t>CYP 3A4</t>
        </is>
      </c>
      <c r="E96" s="34" t="inlineStr">
        <is>
          <t>CYP 1A2</t>
        </is>
      </c>
      <c r="F96" s="34" t="inlineStr">
        <is>
          <t>CYP 2C9</t>
        </is>
      </c>
      <c r="G96" s="34" t="inlineStr">
        <is>
          <t>Sulfation</t>
        </is>
      </c>
      <c r="H96" s="34" t="inlineStr">
        <is>
          <t>OATP 1B1</t>
        </is>
      </c>
      <c r="I96" s="33" t="inlineStr">
        <is>
          <t>1</t>
        </is>
      </c>
      <c r="J96" s="34" t="inlineStr">
        <is>
          <t>✅ คำตอบที่ถูกต้อง: ข้อ ก. OATP 1B1
💡 Background:
ปฏิกิริยาระหว่างยากลุ่ม Fibrates และ Statins เป็นสาเหตุสำคัญที่เพิ่มความเข้มข้นของ Statin ในกระแสเลือดและนำไปสู่การเกิดภาวะพิษต่อกล้ามเนื้อ (Myopathy) และกล้ามเนื้อลายสลายตัว (Rhabdomyolysis)
🎯 ทำไมข้อนี้ถึงถูก:
Gemfibrozil (โดยเฉพาะในรูป Gemfibrozil 1-O-beta-glucuronide) ออกฤทธิ์ยับยั้งตัวนำส่งยาเข้าสู่เซลล์ตับชนิด Organic Anion Transporting Polypeptide 1B1 (OATP1B1) อย่างแรง ทำให้การนำ Statin เข้าสู่เซลล์ตับลดลงอย่างมาก ส่งผลให้ระดับ Simvastatin acid ในกระแสเลือดพุ่งสูงขึ้นหลายเท่าตัว เพิ่มความเสี่ยงต่อภาวะ Rhabdomyolysis อย่างรุนแรง
🔍 ข้ออื่นผิดเพราะอะไร:
• ข้อ ก.: CYP 3A4 เป็นเอนไซม์หลักที่ทำลาย Simvastatin แต่ Gemfibrozil ไม่ได้เป็นตัวยับยั้งหลักของ CYP3A4 กลไกการเกิดอันตรกิริยาที่สำคัญกว่าคือการยับยั้ง OATP1B1 และการยับยั้งกระบวนการ Glucuronidation ผ่าน UGT1A1/1A3
• ข้อ ข.: CYP 1A2 สลายยา เช่น Theophylline ไม่ได้มีบทบาทหลักในเมแทบอลิซึมของ Simvastatin หรือการยับยั้งโดย Gemfibrozil
• ข้อ ค.: CYP 2C9 ทำหน้าที่สลายยา เช่น Warfarin และ Fluvastatin แต่ไม่ใช่เอนไซม์หลักในการขจัด Simvastatin
• ข้อ ง.: Sulfation เป็นปฏิกิริยา Phase II metabolism แต่ไม่ได้เป็นวิถีหลักที่ถูกรบกวนโดย Gemfibrozil ในการเพิ่มระดับ Simvastatin ในเลือด
📖 Guideline อ้างอิง:
2018 AHA/ACC/AACVPR/AAPA/ABC/ACPM/ADA/AGS/APhA/ASPC/NLA/PCNA Guideline on the Management of Blood Cholesterol
📌 จุดจำก่อนสอบ:
• Contraindicated DDI: ห้ามใช้ Gemfibrozil ร่วมกับ Simvastatin เด็ดขาดเนื่องจากเสี่ยงต่อ Rhabdomyolysis สูงมาก
• Mechanism: Gemfibrozil glucuronide ยับยั้ง OATP1B1 hepatic uptake transporter และยับยั้ง UGT-mediated glucuronidation</t>
        </is>
      </c>
      <c r="K96" s="35" t="n"/>
      <c r="L96" s="34" t="inlineStr">
        <is>
          <t>Hypertension</t>
        </is>
      </c>
      <c r="M96" s="35" t="inlineStr">
        <is>
          <t>Clinic</t>
        </is>
      </c>
      <c r="N96" s="34" t="inlineStr">
        <is>
          <t>ข้อ 5 (PLE_CC1_2558_Key.md)</t>
        </is>
      </c>
      <c r="O96" s="35" t="inlineStr">
        <is>
          <t>ข้อสอบจริง</t>
        </is>
      </c>
      <c r="P96" s="35" t="inlineStr">
        <is>
          <t>ปี 2560</t>
        </is>
      </c>
    </row>
    <row r="97" ht="409.6" customHeight="1" s="49">
      <c r="A97" s="33" t="n">
        <v>95</v>
      </c>
      <c r="B97" s="34" t="inlineStr">
        <is>
          <t>โครงสร้าง ยา enalapril เสื่อมด้วยกลไกใด</t>
        </is>
      </c>
      <c r="C97" s="35" t="n"/>
      <c r="D97" s="34" t="inlineStr">
        <is>
          <t>Epimerization</t>
        </is>
      </c>
      <c r="E97" s="34" t="inlineStr">
        <is>
          <t>Dimerization</t>
        </is>
      </c>
      <c r="F97" s="34" t="inlineStr">
        <is>
          <t>Hydrolysis</t>
        </is>
      </c>
      <c r="G97" s="34" t="inlineStr">
        <is>
          <t>Tautomerization</t>
        </is>
      </c>
      <c r="H97" s="34" t="inlineStr">
        <is>
          <t>Intramolecular cyclication</t>
        </is>
      </c>
      <c r="I97" s="33" t="inlineStr">
        <is>
          <t>1</t>
        </is>
      </c>
      <c r="J97" s="34" t="inlineStr">
        <is>
          <t>✅ คำตอบที่ถูกต้อง: ข้อ ก. Intramolecular cyclication
💡 Background:
Enalapril maleate เป็นยาในกลุ่ม ACE inhibitor ชนิด Prodrug ซึ่งประกอบด้วยโครงสร้างของ Dipeptide analog ที่มีหมู่ Ethyl ester, Carboxylic acid และ Secondary amine ในโมเลกุลเดียวกัน
🎯 ทำไมข้อนี้ถึงถูก:
กลไกการสลายตัวและความไม่คงตัวทางเคมีที่สำคัญของ Enalapril ในสภาวะของแข็งหรือสารละลายคือปฏิกิริยา Intramolecular cyclization ซึ่งหมู่ Secondary amino group เข้าทำปฏิกิริยากับหมู่วง Ester ภายในโมเลกุลเดียวกัน เกิดการปิดวงแหวนกลายเป็นสารสลายตัวชนิด Diketopiperazine (DKP derivative) และเกิดปฏิกิริยา Hydrolysis ร่วมด้วย
🔍 ข้ออื่นผิดเพราะอะไร:
• ข้อ ก.: Epimerization เป็นการเปลี่ยนแปลงโครงสร้างเชิงระนาบ stereocenter ชนิดหนึ่ง แต่วิถีการเสื่อมสลายหลักที่ทำให้เกิด impurity เด่นชัดของ Enalapril คือการเกิดวง Diketopiperazine
• ข้อ ข.: Dimerization เป็นการรวมตัวกันของสองโมเลกุล เช่น ในสารที่มีหมู่ไธออลอิสระอย่าง Captopril ที่เกิด Disulfide dimer แต่ไม่ใช่กลไกเด่นของ Enalapril
• ข้อ ค.: Hydrolysis เกิดขึ้นได้กับพันธะ Ester กลายเป็น Enalaprilat แต่ในแง่ความคงตัวของเภสัชภัณฑ์ ปฏิกิริยา Intramolecular cyclization เป็น degradation pathway เฉพาะตัวที่สำคัญในการควบคุมคุณภาพยา
• ข้อ ง.: Tautomerization เป็นการย้ายตำแหน่งของโปรตอนและพันธะคู่ในโมเลกุล เช่น Keto-enol tautomerism ไม่ใช่วิถีการเสื่อมสลายหลักของ Enalapril
📖 Guideline อ้างอิง:
United States Pharmacopeia (USP) Monograph on Enalapril Maleate &amp; Foye's Principles of Medicinal Chemistry
📌 จุดจำก่อนสอบ:
• Enalapril Degradation: สลายตัวเกิด Intramolecular cyclization ได้สารประกอบวงแหวน Diketopiperazine (DKP)
• Captopril Comparison: Captopril มีหมู่ Sulfhydryl (-SH) จึงเสื่อมสลายผ่านปฏิกิริยา Oxidation เกิด Dimerization</t>
        </is>
      </c>
      <c r="K97" s="35" t="n"/>
      <c r="L97" s="34" t="inlineStr">
        <is>
          <t>Hypertension</t>
        </is>
      </c>
      <c r="M97" s="35" t="inlineStr">
        <is>
          <t>Clinic</t>
        </is>
      </c>
      <c r="N97" s="34" t="inlineStr">
        <is>
          <t>ข้อ 6 (PLE_CC1_2558_Key.md)</t>
        </is>
      </c>
      <c r="O97" s="35" t="inlineStr">
        <is>
          <t>ข้อสอบจริง</t>
        </is>
      </c>
      <c r="P97" s="35" t="inlineStr">
        <is>
          <t>ปี 2560</t>
        </is>
      </c>
    </row>
    <row r="98" ht="409.6" customHeight="1" s="49">
      <c r="A98" s="33" t="n">
        <v>96</v>
      </c>
      <c r="B98" s="34" t="inlineStr">
        <is>
          <t>6 เดือนต่อมาผู้ป่วยมีภาวะหลอดเลือดแดงที่ไตตีบ ควรให้ยาความดันตัวใด -</t>
        </is>
      </c>
      <c r="C98" s="35" t="n"/>
      <c r="D98" s="34" t="inlineStr">
        <is>
          <t>Manidipine</t>
        </is>
      </c>
      <c r="E98" s="34" t="inlineStr">
        <is>
          <t>Losartan</t>
        </is>
      </c>
      <c r="F98" s="34" t="inlineStr">
        <is>
          <t>Ramipril</t>
        </is>
      </c>
      <c r="G98" s="34" t="inlineStr">
        <is>
          <t>HCTZ</t>
        </is>
      </c>
      <c r="H98" s="34" t="inlineStr">
        <is>
          <t>Metoprolol</t>
        </is>
      </c>
      <c r="I98" s="33" t="inlineStr">
        <is>
          <t>1</t>
        </is>
      </c>
      <c r="J98" s="34" t="inlineStr">
        <is>
          <t>✅ คำตอบที่ถูกต้อง: ข้อ ก. Manidipine
💡 Background:
ภาวะหลอดเลือดแดงไตตีบสองข้าง (Bilateral renal artery stenosis) ส่งผลให้เลือดไปเลี้ยง Glomerulus ลดลง ไตจึงต้องพึ่งพา Angiotensin II ในการหดหลอดเลือดแดง Efferent arteriole เพื่อรักษาแรงดันการกรอง (Intraglomerular filtration pressure) และรักษาระดับ GFR เอาไว้
🎯 ทำไมข้อนี้ถึงถูก:
Manidipine เป็นยากลุ่ม Dihydropyridine Calcium Channel Blocker (DHP-CCB) รุ่นใหม่ที่มีความปลอดภัยในการใช้รักษาความดันโลหิตสูงในภาวะ Renal artery stenosis เนื่องจากยาออกฤทธิ์ขยายหลอดเลือดแดง Renal afferent และ efferent arteriole โดยตรง ไม่ได้ขัดขวางกลไกการหดตัวของ Efferent arteriole ผ่าน Angiotensin II จึงไม่ทำให้ GFR ลดลงอย่างรุนแรง
🔍 ข้ออื่นผิดเพราะอะไร:
• ข้อ ข.: Losartan เป็นยากลุ่ม ARB ที่ปิดกั้น Angiotensin II receptor ทำให้ Efferent arteriole ขยายตัว ส่งผลให้ intraglomerular pressure ลดฮวบ เกิดภาวะไตวายเฉียบพลัน (Acute kidney injury) อย่างรุนแรงในภาวะ Bilateral renal artery stenosis
• ข้อ ค.: Ramipril เป็นยากลุ่ม ACEI ซึ่งเป็นข้อห้ามใช้อย่างเด็ดขาด (Absolute contraindication) ในภาวะ Bilateral renal artery stenosis เนื่องจากยับยั้ง Angiotensin II ทำให้เกิดภาวะไตวายเฉียบพลัน
• ข้อ ง.: HCTZ เป็นยาขับปัสสาวะที่อาจทำให้เกิด Intravascular volume depletion เพิ่มเติม ส่งผลให้ Renal perfusion แย่ลงไปอีกในผู้ป่วยที่มีการตีบของหลอดเลือดแดงไต
• ข้อ จ.: Metoprolol เป็น Beta-blocker ที่ไม่มีประสิทธิภาพในการขยายหลอดเลือดไต และมีประสิทธิภาพลดความดันโลหิตด้อยกว่า CCB ในผู้ป่วยกลุ่มนี้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Bilateral RAS Contraindication: ห้ามใช้ยากลุ่ม ACEI และ ARB เด็ดขาดในผู้ป่วย Bilateral renal artery stenosis เนื่องจากทำให้เกิด AKI
• Drug of Choice in RAS: ยากลุ่ม Dihydropyridine CCBs (เช่น Manidipine, Amlodipine) เป็นยาที่ปลอดภัยและมีประสิทธิภาพในการลดความดัน</t>
        </is>
      </c>
      <c r="K98" s="35" t="n"/>
      <c r="L98" s="34" t="inlineStr">
        <is>
          <t>Hypertension</t>
        </is>
      </c>
      <c r="M98" s="35" t="inlineStr">
        <is>
          <t>Clinic</t>
        </is>
      </c>
      <c r="N98" s="34" t="inlineStr">
        <is>
          <t>ข้อ 7 (PLE_CC1_2558_Key.md)</t>
        </is>
      </c>
      <c r="O98" s="35" t="inlineStr">
        <is>
          <t>ข้อสอบจริง</t>
        </is>
      </c>
      <c r="P98" s="35" t="inlineStr">
        <is>
          <t>ปี 2560</t>
        </is>
      </c>
    </row>
    <row r="99" ht="409.6" customHeight="1" s="49">
      <c r="A99" s="33" t="n">
        <v>97</v>
      </c>
      <c r="B99" s="34" t="inlineStr">
        <is>
          <t>หากผู้ป่วยมีโรคความดันร่วมไม่ควรได้ยาใด</t>
        </is>
      </c>
      <c r="C99" s="35" t="n"/>
      <c r="D99" s="34" t="inlineStr">
        <is>
          <t>Carvedilol</t>
        </is>
      </c>
      <c r="E99" s="34" t="inlineStr">
        <is>
          <t>HCTZ</t>
        </is>
      </c>
      <c r="F99" s="34" t="inlineStr">
        <is>
          <t>Enalapril</t>
        </is>
      </c>
      <c r="G99" s="34" t="inlineStr">
        <is>
          <t>Amlodipine</t>
        </is>
      </c>
      <c r="H99" s="34" t="inlineStr">
        <is>
          <t>Valsartan</t>
        </is>
      </c>
      <c r="I99" s="33" t="inlineStr">
        <is>
          <t>1</t>
        </is>
      </c>
      <c r="J99" s="34" t="inlineStr">
        <is>
          <t>✅ คำตอบที่ถูกต้อง: ข้อ ก. Carvedilol
💡 Background:
ผู้ป่วยมีโรคหอบหืดกำเริบ (Asthma) มีอาการหอบทั้งกลางวันและกลางคืน และใช้ยาพ่นสูดขยายหลอดลม Salbutamol เป็นประจำ ซึ่งแสดงถึงภาวะทางเดินหายใจไวเกินและมีการหดเกร็งของหลอดลม (Bronchospasm)
🎯 ทำไมข้อนี้ถึงถูก:
Carvedilol เป็นยากลุ่ม Non-selective Beta-blocker (ปิดกั้นทั้ง Beta-1, Beta-2 และ Alpha-1 receptors) การปิดกั้น Beta-2 receptor ที่กล้ามเนื้อเรียบหลอดลมจะต้านฤทธิ์ของ Salbutamol และกระตุ้นให้เกิดหลอดลมหดเกร็งอย่างรุนแรง (Severe bronchospasm) ซึ่งอาจเป็นอันตรายถึงแก่ชีวิต จึงเป็นข้อห้ามใช้เด็ดขาดในผู้ป่วยโรคหอบหืด
🔍 ข้ออื่นผิดเพราะอะไร:
• ข้อ ข.: HCTZ เป็นยาขับปัสสาวะกลุ่ม Thiazide ที่ออกฤทธิ์ที่ท่อไตส่วนปลาย ไม่มีผลต่อตัวรับในระบบทางเดินหายใจ จึงสามารถใช้ในผู้ป่วยโรคหอบหืดได้อย่างปลอดภัย
• ข้อ ค.: Enalapril เป็นยากลุ่ม ACEI แม้ว่าอาจทำให้เกิดผลข้างเคียงไอแห้ง (Dry cough) ได้ แต่ไม่ได้เป็นข้อห้ามใช้เด็ดขาดเหมือน Non-selective beta-blockers ในโรคหอบหืด
• ข้อ ง.: Amlodipine เป็นยากลุ่ม Dihydropyridine CCB ออกฤทธิ์ขยายหลอดเลือดส่วนปลายโดยไม่ส่งผลต่อกล้ามเนื้อเรียบหลอดลม จึงปลอดภัยอย่างยิ่งในผู้ป่วยโรคหอบหืด
• ข้อ จ.: Valsartan เป็นยากลุ่ม ARB ที่ไม่มีผลต่อระดับ Bradykinin และไม่มีผลต่อหลอดลม จึงมีความปลอดภัยในการใช้รักษาความดันในผู้ป่วยหอบหืด
📖 Guideline อ้างอิง:
Global Initiative for Asthma (GINA) Guidelines 2023 &amp; แนวทางการรักษาโรคความดันโลหิตสูง ในเวชปฏิบัติทั่วไป พ.ศ. 2562
📌 จุดจำก่อนสอบ:
• Asthma Absolute Contraindication: ห้ามใช้ Non-selective Beta-blockers (เช่น Carvedilol, Propranolol) ในผู้ป่วย Asthma เด็ดขาด
• Beta-2 Blockade: การปิดกั้น Beta-2 receptor ทำให้หลอดลมหดเกร็งรุนแรงและต้านฤทธิ์ยาพ่นขยายหลอดลม SABA</t>
        </is>
      </c>
      <c r="K99" s="35" t="n"/>
      <c r="L99" s="34" t="inlineStr">
        <is>
          <t>Hypertension</t>
        </is>
      </c>
      <c r="M99" s="35" t="inlineStr">
        <is>
          <t>Clinic</t>
        </is>
      </c>
      <c r="N99" s="34" t="inlineStr">
        <is>
          <t>ข้อ 30 (PLE_CC1_2558_Key.md)</t>
        </is>
      </c>
      <c r="O99" s="35" t="inlineStr">
        <is>
          <t>ข้อสอบจริง</t>
        </is>
      </c>
      <c r="P99" s="35" t="inlineStr">
        <is>
          <t>ปี 2560</t>
        </is>
      </c>
    </row>
    <row r="100" ht="409.6" customHeight="1" s="49">
      <c r="A100" s="33" t="n">
        <v>98</v>
      </c>
      <c r="B100" s="34" t="inlineStr">
        <is>
          <t>ยารักษาภาวะ hyperkalemia</t>
        </is>
      </c>
      <c r="C100" s="35" t="n"/>
      <c r="D100" s="34" t="inlineStr">
        <is>
          <t>Sevelamer</t>
        </is>
      </c>
      <c r="E100" s="34" t="inlineStr">
        <is>
          <t>Al(OH)3</t>
        </is>
      </c>
      <c r="F100" s="34" t="inlineStr">
        <is>
          <t>CaCO3</t>
        </is>
      </c>
      <c r="G100" s="34" t="inlineStr">
        <is>
          <t>Sodium bicarbonate</t>
        </is>
      </c>
      <c r="H100" s="34" t="inlineStr">
        <is>
          <t>Sodium polystyrene sulfonate</t>
        </is>
      </c>
      <c r="I100" s="33" t="inlineStr">
        <is>
          <t>1</t>
        </is>
      </c>
      <c r="J100" s="34" t="inlineStr">
        <is>
          <t>✅ คำตอบที่ถูกต้อง: ข้อ ก. Sodium polystyrene sulfonate
💡 Background:
ภาวะโพแทสเซียมในเลือดสูง (Hyperkalemia) เป็นภาวะฉุกเฉินทางอายุรศาสตร์ที่อาจเหนี่ยวนำให้เกิดภาวะหัวใจเต้นผิดจังหวะชนิดรุนแรงถึงแก่ชีวิต เช่น Ventricular fibrillation หรือ Asystole
🎯 ทำไมข้อนี้ถึงถูก:
Sodium polystyrene sulfonate (Kalimate หรือ Kayexalate resin) เป็นยาแลกเปลี่ยนแคตไอออน (Cation exchange resin) ออกฤทธิ์แลกเปลี่ยนไอออนโซเดียมกับโพแทสเซียมในลำไส้ใหญ่ ช่วยจับและขับโพแทสเซียมออกจากร่างกายผ่านทางอุจจาระ จึงใช้เป็นยารักษาและลดระดับโพแทสเซียมในร่างกายโดยตรง
🔍 ข้ออื่นผิดเพราะอะไร:
• ข้อ ก.: Sevelamer เป็นสารจับฟอสเฟตชนิดไม่มีแคลเซียม (Non-calcium phosphate binder) ใช้รักษาภาวะ Hyperphosphatemia ในผู้ป่วยโรคไตเรื้อรัง ไม่มีผลลดระดับโพแทสเซียม
• ข้อ ข.: Al(OH)3 เป็นยาลดกรดและเป็น Phosphate binder ที่ใช้จับฟอสเฟตในทางเดินอาหาร ไม่ได้มีฤทธิ์ในการรักษาภาวะ Hyperkalemia
• ข้อ ค.: CaCO3 หรือ Calcium carbonate ใช้เป็น Phosphate binder ในผู้ป่วยไตวายเรื้อรัง หรือใช้เสริมแคลเซียม ไม่สามารถขับโพแทสเซียมออกจากร่างกายได้
• ข้อ ง.: Sodium bicarbonate มีบทบาทในการรักษา Hyperkalemia เฉพาะในกรณีที่มีภาวะ Metabolic acidosis ร่วมด้วยเพื่อช่วยดึงโพแทสเซียมเข้าสู่เซลล์ชั่วคราว แต่ไม่ใช่ยากลุ่มเรซินขับโพแทสเซียมออกจากร่างกายโดยตรง
📖 Guideline อ้างอิง:
KDIGO 2024 Clinical Practice Guideline for the Management of CKD &amp; AHA/ACC Hyperkalemia Management
📌 จุดจำก่อนสอบ:
• Potassium Binders: Sodium polystyrene sulfonate และ Calcium polystyrene sulfonate ทำหน้าที่แลกเปลี่ยนไอออนในลำไส้เพื่อขับ K+ ทิ้งทางอุจจาระ
• Acute Treatment of Hyperkalemia: Calcium gluconate ใช้ป้องกันหัวใจ (Cardiac membrane stabilization), Insulin + Glucose ดึง K+ เข้าเซลล์, Resin ช่วยขับ K+ ออกจากร่างกาย</t>
        </is>
      </c>
      <c r="K100" s="35" t="n"/>
      <c r="L100" s="34" t="inlineStr">
        <is>
          <t>Hypertension</t>
        </is>
      </c>
      <c r="M100" s="35" t="inlineStr">
        <is>
          <t>Clinic</t>
        </is>
      </c>
      <c r="N100" s="34" t="inlineStr">
        <is>
          <t>ข้อ 50 (PLE_CC1_2558_Key.md)</t>
        </is>
      </c>
      <c r="O100" s="35" t="inlineStr">
        <is>
          <t>ข้อสอบจริง</t>
        </is>
      </c>
      <c r="P100" s="35" t="inlineStr">
        <is>
          <t>ปี 2560</t>
        </is>
      </c>
    </row>
    <row r="101" ht="409.6" customHeight="1" s="49">
      <c r="A101" s="33" t="n">
        <v>99</v>
      </c>
      <c r="B101" s="34" t="inlineStr">
        <is>
          <t>NSAIDs ใดมีผลต่อหัวใจและหลอดเลือดน้อยสุด</t>
        </is>
      </c>
      <c r="C101" s="35" t="n"/>
      <c r="D101" s="34" t="inlineStr">
        <is>
          <t>Ibuprofen</t>
        </is>
      </c>
      <c r="E101" s="34" t="inlineStr">
        <is>
          <t>Diclofenac</t>
        </is>
      </c>
      <c r="F101" s="34" t="inlineStr">
        <is>
          <t>Naproxen</t>
        </is>
      </c>
      <c r="G101" s="34" t="inlineStr">
        <is>
          <t>Sulindac</t>
        </is>
      </c>
      <c r="H101" s="34" t="inlineStr">
        <is>
          <t>Parecoxib</t>
        </is>
      </c>
      <c r="I101" s="33" t="inlineStr">
        <is>
          <t>1</t>
        </is>
      </c>
      <c r="J101" s="34" t="inlineStr">
        <is>
          <t>✅ คำตอบที่ถูกต้อง: ข้อ ก. Naproxen
💡 Background:
ความเสี่ยงต่อการเกิดโรคหลอดเลือดหัวใจและสมองจากยากลุ่ม NSAIDs สัมพันธ์กับระดับการยับยั้งสัมพัทธ์ระหว่างเอนไซม์ COX-1 และ COX-2 โดยยาที่ยับยั้ง COX-2 สูงจะทำให้เยื่อบุหลอดเลือดสร้าง Prostacyclin (PGI2) ลดลง ในขณะที่เกล็ดเลือดยังคงสร้าง Thromboxane A2 (TXA2) ได้ ทำให้เกิดภาวะหลอดเลือดหดตัวและลิ่มเลือดอุดตัน
🎯 ทำไมข้อนี้ถึงถูก:
Naproxen ได้รับการยอมรับจากหลักฐานการวิเคราะห์อภิมานขนาดใหญ่ (เช่น CNT Collaboration) ว่ามีความปลอดภัยต่อระบบหัวใจและหลอดเลือดสูงที่สุดในกลุ่ม NSAIDs ทั้งหมด เนื่องจากมีคุณสมบัติยับยั้ง COX-1 ในเกล็ดเลือดได้อย่างต่อเนื่องยาวนานตลอดช่วงการให้ยา ทำให้มีผลต้านการเกาะกลุ่มของเกล็ดเลือดคล้ายคลึงกับยา Aspirin
🔍 ข้ออื่นผิดเพราะอะไร:
• ข้อ ก.: Ibuprofen มีความเสี่ยงต่อระบบหัวใจในระดับปานกลาง แต่มีอันตรกิริยาแย่งจับกับ Aspirin ทำให้ฤทธิ์ป้องกันหัวใจของ Aspirin ลดลง และในขนาดสูงเพิ่มความเสี่ยงต่อกล้ามเนื้อหัวใจขาดเลือด
• ข้อ ข.: Diclofenac มีความจำเพาะต่อเอนไซม์ COX-2 สูงใกล้เคียงกับยา Celecoxib จึงมีอุบัติการณ์การเกิดกล้ามเนื้อหัวใจขาดเลือดและหลอดเลือดสมองอุดตันสูงที่สุดในกลุ่มยา Non-selective NSAIDs
• ข้อ ง.: Sulindac เป็นยากลุ่ม Acetic acid derivative ที่ผ่านกระบวนการ enterohepatic circulation แม้เชื่อว่ามีผลต่อไตน้อยกว่า แต่ยังคงมีความเสี่ยงต่อระบบหัวใจและหลอดเลือดสูงกว่า Naproxen
• ข้อ จ.: Parecoxib เป็นยาฉีดที่เป็น Prodrug ของ Valdecoxib จัดเป็น Selective COX-2 inhibitor ที่มีข้อห้ามใช้เด็ดขาดในผู้ป่วยที่ได้รับการผ่าตัดหลอดเลือดหัวใจ (CABG) เนื่องจากเพิ่มความเสี่ยงต่อการเกิดหลอดเลือดอุดตันอย่างมีนัยสำคัญ
📖 Guideline อ้างอิง:
AHA Scientific Statement on the Use of Nonsteroidal Antiinflammatory Drugs &amp; 2021 ESC Cardiovascular Prevention Guidelines
📌 จุดจำก่อนสอบ:
• Safest NSAID for Heart: Naproxen คือ NSAID ทางเลือกแรกในผู้ป่วยที่มีความเสี่ยงสูงต่อโรคหัวใจและหลอดเลือด (High CV risk)
• Most Cardiotoxic NSAIDs: Diclofenac และกลุ่ม Coxibs (Celecoxib, Parecoxib) มีความเสี่ยงต่อหลอดเลือดอุดตันสูงที่สุด</t>
        </is>
      </c>
      <c r="K101" s="35" t="n"/>
      <c r="L101" s="34" t="inlineStr">
        <is>
          <t>Hypertension</t>
        </is>
      </c>
      <c r="M101" s="35" t="inlineStr">
        <is>
          <t>Clinic</t>
        </is>
      </c>
      <c r="N101" s="34" t="inlineStr">
        <is>
          <t>ข้อ 67 (PLE_CC1_2558_Key.md)</t>
        </is>
      </c>
      <c r="O101" s="35" t="inlineStr">
        <is>
          <t>ข้อสอบจริง</t>
        </is>
      </c>
      <c r="P101" s="35" t="inlineStr">
        <is>
          <t>ปี 2560</t>
        </is>
      </c>
    </row>
    <row r="102" ht="409.6" customHeight="1" s="49">
      <c r="A102" s="33" t="n">
        <v>100</v>
      </c>
      <c r="B102" s="34" t="inlineStr">
        <is>
          <t>ตาม guideline ADA 2014 ควรให้ aspirin หรือไม่ อย่างไร</t>
        </is>
      </c>
      <c r="C102" s="35" t="n"/>
      <c r="D102" s="34" t="inlineStr">
        <is>
          <t>ให้เพื่อป้องกันโรคหลอดเลือดหัวใจแบบปฐมภูมิ</t>
        </is>
      </c>
      <c r="E102" s="34" t="inlineStr">
        <is>
          <t>ให้เพื่อป้องกันโรคหลอดเลือดหัวใจแบบทุติยภูมิ</t>
        </is>
      </c>
      <c r="F102" s="34" t="inlineStr">
        <is>
          <t>ไม่ให้เพราะไม่จำเป็นต้องป้องกันโรคหลอดเลือดหัวใจแบบปฐมภูมิ</t>
        </is>
      </c>
      <c r="G102" s="34" t="inlineStr">
        <is>
          <t>ไม่ให้ เพราะไม่จำเป็นต้องป้องกันโรคหลอดเลือดหัวใจแบบทุติยภูมิ</t>
        </is>
      </c>
      <c r="H102" s="34" t="inlineStr">
        <is>
          <t>ไม่ให้ เพราะไม่เข้าเกณฑ์ตาม ADA guideline</t>
        </is>
      </c>
      <c r="I102" s="33" t="inlineStr">
        <is>
          <t>1</t>
        </is>
      </c>
      <c r="J102" s="34" t="inlineStr">
        <is>
          <t>✅ คำตอบที่ถูกต้อง: ข้อ ก. ให้เพื่อป้องกันโรคหลอดเลือดหัวใจแบบปฐมภูมิ
💡 Background:
ผู้ป่วยเบาหวานมีความเสี่ยงสูงต่อการเกิดโรคหัวใจและหลอดเลือด (Atherosclerotic Cardiovascular Disease: ASCVD) ซึ่งการให้ยาต้านเกล็ดเลือด Aspirin ขนาดต่ำจะช่วยลดความเสี่ยงต่อการเกิดภาวะกล้ามเนื้อหัวใจขาดเลือดเฉียบพลันและหลอดเลือดสมองอุดตัน
🎯 ทำไมข้อนี้ถึงถูก:
ตามแนวทาง ADA Standards of Medical Care in Diabetes 2014 แนะนำให้พิจารณาใช้ Aspirin (ขนาด 75-162 mg ต่อวัน) เพื่อป้องกันโรคหลอดเลือดหัวใจแบบปฐมภูมิ (Primary prophylaxis) ในผู้ป่วยเบาหวานที่มีความเสี่ยงต่อ ASCVD ในระดับสูง (เช่น ผู้ชายอายุมากกว่า 50 ปี หรือผู้หญิงอายุมากกว่า 60 ปี ที่มีปัจจัยเสี่ยงร่วมอย่างน้อย 1 ข้อ เช่น สูบบุหรี่ ความดันโลหิตสูง หรือไขมันในเลือดสูง)
🔍 ข้ออื่นผิดเพราะอะไร:
• ข้อ ข.: ให้เพื่อป้องกันโรคหลอดเลือดหัวใจแบบทุติยภูมิ ไม่ถูกต้องเนื่องจากผู้ป่วยรายนี้ยังไม่มีประวัติโรคหลอดเลือดหัวใจหรือหลอดเลือดสมองมาก่อน จึงจัดเป็นการป้องกันแบบปฐมภูมิ (Primary prevention)
• ข้อ ค.: ไม่ให้เพราะไม่จำเป็นต้องป้องกันโรคหลอดเลือดหัวใจแบบปฐมภูมิ ไม่ถูกต้องเนื่องจากผู้ป่วยเบาหวานที่มีปัจจัยเสี่ยงหลายประการจัดเป็นกลุ่มเสี่ยงสูงที่ได้ประโยชน์ชัดเจนจากการให้ยาต้านเกล็ดเลือด
• ข้อ ง.: ไม่ให้ เพราะไม่จำเป็นต้องป้องกันโรคหลอดเลือดหัวใจแบบทุติยภูมิ ไม่ถูกต้องตามบริบทเนื่องจากการป้องกันแบบทุติยภูมิเป็นข้อบ่งใช้บังคับในผู้ที่มีประวัติโรคหลอดเลือดแล้วทุกราย
• ข้อ จ.: ไม่ให้ เพราะไม่เข้าเกณฑ์ตาม ADA guideline ไม่ถูกต้องเนื่องจากผู้ป่วยเบาหวานที่มีปัจจัยเสี่ยงทางหัวใจร่วมเข้าเกณฑ์ข้อแนะนำในการเริ่มยา Aspirin เพื่อการป้องกันแบบปฐมภูมิตาม ADA 2014
📖 Guideline อ้างอิง:
American Diabetes Association (ADA) Standards of Medical Care in Diabetes 2014
📌 จุดจำก่อนสอบ:
• Primary Prevention in DM: ADA 2014 แนะนำ Aspirin 75-162 mg/day ในผู้ป่วยเบาหวานที่มีความเสี่ยงสูงต่อ CVD และไม่มีความเสี่ยงต่อการตกเลือด
• Secondary Prevention: ในผู้ป่วยเบาหวานที่มีประวัติ CVD มาก่อน ต้องได้รับ Aspirin ทุกรายหากไม่มีข้อห้ามใช้เด็ดขาด</t>
        </is>
      </c>
      <c r="K102" s="35" t="n"/>
      <c r="L102" s="34" t="inlineStr">
        <is>
          <t>Hypertension</t>
        </is>
      </c>
      <c r="M102" s="35" t="inlineStr">
        <is>
          <t>Clinic</t>
        </is>
      </c>
      <c r="N102" s="34" t="inlineStr">
        <is>
          <t>ข้อ 86 (PLE_CC1_2558_Key.md)</t>
        </is>
      </c>
      <c r="O102" s="35" t="inlineStr">
        <is>
          <t>ข้อสอบจริง</t>
        </is>
      </c>
      <c r="P102" s="35" t="inlineStr">
        <is>
          <t>ปี 2560</t>
        </is>
      </c>
    </row>
    <row r="103" ht="409.6" customHeight="1" s="49">
      <c r="A103" s="33" t="n">
        <v>101</v>
      </c>
      <c r="B103" s="34" t="inlineStr">
        <is>
          <t>ผู้ป่วยหญิง อายุ 60 ปี มีความดัน 130/100 จัดอยู่ใน Stage ใดตาม ACC/AHA 2017</t>
        </is>
      </c>
      <c r="C103" s="35" t="n"/>
      <c r="D103" s="34" t="inlineStr">
        <is>
          <t>High normal</t>
        </is>
      </c>
      <c r="E103" s="34" t="inlineStr">
        <is>
          <t>Hypertension Stage 1</t>
        </is>
      </c>
      <c r="F103" s="34" t="inlineStr">
        <is>
          <t>Hypertension Stage 2</t>
        </is>
      </c>
      <c r="G103" s="34" t="inlineStr">
        <is>
          <t>Hypertension Stage 3</t>
        </is>
      </c>
      <c r="H103" s="34" t="inlineStr">
        <is>
          <t>Isolated systolic hypertension</t>
        </is>
      </c>
      <c r="I103" s="33" t="inlineStr">
        <is>
          <t>1</t>
        </is>
      </c>
      <c r="J103" s="34"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103" s="35" t="n"/>
      <c r="L103" s="34" t="inlineStr">
        <is>
          <t>Hypertension</t>
        </is>
      </c>
      <c r="M103" s="35" t="inlineStr">
        <is>
          <t>Clinic</t>
        </is>
      </c>
      <c r="N103" s="34" t="inlineStr">
        <is>
          <t>ข้อ 3 (Pharmtutor_2024_Set1.md)</t>
        </is>
      </c>
      <c r="O103" s="35" t="inlineStr">
        <is>
          <t>ข้อสอบจริง</t>
        </is>
      </c>
      <c r="P103" s="35" t="inlineStr">
        <is>
          <t>ปี 2560</t>
        </is>
      </c>
    </row>
    <row r="104" ht="409.6" customHeight="1" s="49">
      <c r="A104" s="33" t="n">
        <v>102</v>
      </c>
      <c r="B104" s="34" t="inlineStr">
        <is>
          <t>ยาใดไม่สามารถลดอัตราการเสียชีวิตจากโรคที่เกี่ยวข้องกับโรคระบบหัวใจและหลอดเลือด</t>
        </is>
      </c>
      <c r="C104" s="35" t="n"/>
      <c r="D104" s="34" t="inlineStr">
        <is>
          <t>ACE inhibitor</t>
        </is>
      </c>
      <c r="E104" s="34" t="inlineStr">
        <is>
          <t>Beta-blocker</t>
        </is>
      </c>
      <c r="F104" s="34" t="inlineStr">
        <is>
          <t>Calcium channel blocker</t>
        </is>
      </c>
      <c r="G104" s="34" t="inlineStr">
        <is>
          <t>Statin</t>
        </is>
      </c>
      <c r="H104" s="34" t="inlineStr">
        <is>
          <t>Aldosterone antagonist</t>
        </is>
      </c>
      <c r="I104" s="33" t="inlineStr">
        <is>
          <t>1</t>
        </is>
      </c>
      <c r="J104" s="34"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104" s="35" t="n"/>
      <c r="L104" s="34" t="inlineStr">
        <is>
          <t>Hypertension</t>
        </is>
      </c>
      <c r="M104" s="35" t="inlineStr">
        <is>
          <t>Clinic</t>
        </is>
      </c>
      <c r="N104" s="34" t="inlineStr">
        <is>
          <t>ข้อ 7 (Pharmtutor_2024_Set1.md)</t>
        </is>
      </c>
      <c r="O104" s="35" t="inlineStr">
        <is>
          <t>ข้อสอบจริง</t>
        </is>
      </c>
      <c r="P104" s="35" t="inlineStr">
        <is>
          <t>ปี 2560</t>
        </is>
      </c>
    </row>
    <row r="105" ht="409.6" customHeight="1" s="49">
      <c r="A105" s="33" t="n">
        <v>103</v>
      </c>
      <c r="B105" s="34" t="inlineStr">
        <is>
          <t>ผู้ป่วย TG 250 HDL 30 Total cholesterol 280 ผู้ป่วยรายนี้ มี LDL เท่าใด</t>
        </is>
      </c>
      <c r="C105" s="35" t="n"/>
      <c r="D105" s="34" t="inlineStr">
        <is>
          <t>160 mg/dL</t>
        </is>
      </c>
      <c r="E105" s="34" t="inlineStr">
        <is>
          <t>170 mg/dL</t>
        </is>
      </c>
      <c r="F105" s="34" t="inlineStr">
        <is>
          <t>180 mg/dL</t>
        </is>
      </c>
      <c r="G105" s="34" t="inlineStr">
        <is>
          <t>190 mg/dL</t>
        </is>
      </c>
      <c r="H105" s="34" t="inlineStr">
        <is>
          <t>200 mg/dL</t>
        </is>
      </c>
      <c r="I105" s="33" t="inlineStr">
        <is>
          <t>1</t>
        </is>
      </c>
      <c r="J105" s="34"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105" s="35" t="n"/>
      <c r="L105" s="34" t="inlineStr">
        <is>
          <t>Hypertension</t>
        </is>
      </c>
      <c r="M105" s="35" t="inlineStr">
        <is>
          <t>Clinic</t>
        </is>
      </c>
      <c r="N105" s="34" t="inlineStr">
        <is>
          <t>ข้อ 8 (Pharmtutor_2024_Set1.md)</t>
        </is>
      </c>
      <c r="O105" s="35" t="inlineStr">
        <is>
          <t>ข้อสอบจริง</t>
        </is>
      </c>
      <c r="P105" s="35" t="inlineStr">
        <is>
          <t>ปี 2560</t>
        </is>
      </c>
    </row>
    <row r="106" ht="409.6" customHeight="1" s="49">
      <c r="A106" s="33" t="n">
        <v>104</v>
      </c>
      <c r="B106" s="34"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06" s="35" t="n"/>
      <c r="D106" s="34" t="inlineStr">
        <is>
          <t>62.5 mL/min</t>
        </is>
      </c>
      <c r="E106" s="34" t="inlineStr">
        <is>
          <t>65.8 mL/min</t>
        </is>
      </c>
      <c r="F106" s="34" t="inlineStr">
        <is>
          <t>66.7 mL/min</t>
        </is>
      </c>
      <c r="G106" s="34" t="inlineStr">
        <is>
          <t>72.7 mL/min</t>
        </is>
      </c>
      <c r="H106" s="34" t="inlineStr">
        <is>
          <t>75.4 mL/min</t>
        </is>
      </c>
      <c r="I106" s="33" t="inlineStr">
        <is>
          <t>1</t>
        </is>
      </c>
      <c r="J106" s="34"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106" s="35" t="n"/>
      <c r="L106" s="34" t="inlineStr">
        <is>
          <t>Hypertension</t>
        </is>
      </c>
      <c r="M106" s="35" t="inlineStr">
        <is>
          <t>Clinic</t>
        </is>
      </c>
      <c r="N106" s="34" t="inlineStr">
        <is>
          <t>ข้อ 88 (Pharmtutor_2024_Set1.md)</t>
        </is>
      </c>
      <c r="O106" s="35" t="inlineStr">
        <is>
          <t>ข้อสอบจริง</t>
        </is>
      </c>
      <c r="P106" s="35" t="inlineStr">
        <is>
          <t>ปี 2559</t>
        </is>
      </c>
    </row>
    <row r="107" ht="409.6" customHeight="1" s="49">
      <c r="A107" s="33" t="n">
        <v>105</v>
      </c>
      <c r="B107" s="34"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07" s="35" t="n"/>
      <c r="D107" s="34" t="inlineStr">
        <is>
          <t>Stage 1</t>
        </is>
      </c>
      <c r="E107" s="34" t="inlineStr">
        <is>
          <t>Stage 2</t>
        </is>
      </c>
      <c r="F107" s="34" t="inlineStr">
        <is>
          <t>Stage 3</t>
        </is>
      </c>
      <c r="G107" s="34" t="inlineStr">
        <is>
          <t>Stage 4</t>
        </is>
      </c>
      <c r="H107" s="34" t="inlineStr">
        <is>
          <t>Stage 5</t>
        </is>
      </c>
      <c r="I107" s="33" t="inlineStr">
        <is>
          <t>1</t>
        </is>
      </c>
      <c r="J107" s="34" t="inlineStr">
        <is>
          <t>✅ คำตอบที่ถูกต้อง: ข้อ ก. Stage 3
💡 Background:
โรคไตเรื้อรัง (Chronic Kidney Disease: CKD) จำแนกระยะความรุนแรงตามแนวทางสากล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107" s="35" t="n"/>
      <c r="L107" s="34" t="inlineStr">
        <is>
          <t>Hypertension</t>
        </is>
      </c>
      <c r="M107" s="35" t="inlineStr">
        <is>
          <t>Clinic</t>
        </is>
      </c>
      <c r="N107" s="34" t="inlineStr">
        <is>
          <t>ข้อ 89 (Pharmtutor_2024_Set1.md)</t>
        </is>
      </c>
      <c r="O107" s="35" t="inlineStr">
        <is>
          <t>ข้อสอบจริง</t>
        </is>
      </c>
      <c r="P107" s="35" t="inlineStr">
        <is>
          <t>ปี 2559</t>
        </is>
      </c>
    </row>
    <row r="108" ht="409.6" customHeight="1" s="49">
      <c r="A108" s="33" t="n">
        <v>106</v>
      </c>
      <c r="B108" s="34" t="inlineStr">
        <is>
          <t>ผู้ป่วยหญิงไทย วัดความดันได้ 158/96 mmHg ผู้ป่วยรายนี้ จัดอยู่ใน Stage ใด ตาม Hypertension guideline ประเทศไทย 2019</t>
        </is>
      </c>
      <c r="C108" s="35" t="n"/>
      <c r="D108" s="34" t="inlineStr">
        <is>
          <t>High normal</t>
        </is>
      </c>
      <c r="E108" s="34" t="inlineStr">
        <is>
          <t>Hypertension stage 1</t>
        </is>
      </c>
      <c r="F108" s="34" t="inlineStr">
        <is>
          <t>Hypertension stage 2</t>
        </is>
      </c>
      <c r="G108" s="34" t="inlineStr">
        <is>
          <t>Hypertension stage 3</t>
        </is>
      </c>
      <c r="H108" s="34" t="inlineStr">
        <is>
          <t>Isolated systolic hypertension</t>
        </is>
      </c>
      <c r="I108" s="33" t="inlineStr">
        <is>
          <t>1</t>
        </is>
      </c>
      <c r="J108" s="34"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108" s="35" t="n"/>
      <c r="L108" s="34" t="inlineStr">
        <is>
          <t>Hypertension</t>
        </is>
      </c>
      <c r="M108" s="35" t="inlineStr">
        <is>
          <t>Clinic</t>
        </is>
      </c>
      <c r="N108" s="34" t="inlineStr">
        <is>
          <t>ข้อ 5 (Pharmtutor_2024_Set2.md)</t>
        </is>
      </c>
      <c r="O108" s="35" t="inlineStr">
        <is>
          <t>ข้อสอบจริง</t>
        </is>
      </c>
      <c r="P108" s="35" t="inlineStr">
        <is>
          <t>ปี 2559</t>
        </is>
      </c>
    </row>
    <row r="109" ht="409.6" customHeight="1" s="49">
      <c r="A109" s="33" t="n">
        <v>107</v>
      </c>
      <c r="B109" s="34" t="inlineStr">
        <is>
          <t>ผู้ป่วยจากข้อ 5. ควรเริ่มยาอะไร หากผู้ป่วยไม่มีโรคประจำตัวอื่น ไม่มีประวัติแพ้ยา ระดับค่า potassium ปกติ, Albumin +3</t>
        </is>
      </c>
      <c r="C109" s="35" t="n"/>
      <c r="D109" s="34" t="inlineStr">
        <is>
          <t>Enalapril</t>
        </is>
      </c>
      <c r="E109" s="34" t="inlineStr">
        <is>
          <t>Amlodipine</t>
        </is>
      </c>
      <c r="F109" s="34" t="inlineStr">
        <is>
          <t>Hydralazine</t>
        </is>
      </c>
      <c r="G109" s="34" t="inlineStr">
        <is>
          <t>Propranolol</t>
        </is>
      </c>
      <c r="H109" s="34" t="inlineStr">
        <is>
          <t>Verapamil</t>
        </is>
      </c>
      <c r="I109" s="33" t="inlineStr">
        <is>
          <t>1</t>
        </is>
      </c>
      <c r="J109" s="34"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109" s="35" t="n"/>
      <c r="L109" s="34" t="inlineStr">
        <is>
          <t>Hypertension</t>
        </is>
      </c>
      <c r="M109" s="35" t="inlineStr">
        <is>
          <t>Clinic</t>
        </is>
      </c>
      <c r="N109" s="34" t="inlineStr">
        <is>
          <t>ข้อ 6 (Pharmtutor_2024_Set2.md)</t>
        </is>
      </c>
      <c r="O109" s="35" t="inlineStr">
        <is>
          <t>ข้อสอบจริง</t>
        </is>
      </c>
      <c r="P109" s="35" t="inlineStr">
        <is>
          <t>ปี 2559</t>
        </is>
      </c>
    </row>
    <row r="110" ht="409.6" customHeight="1" s="49">
      <c r="A110" s="33" t="n">
        <v>108</v>
      </c>
      <c r="B110" s="34" t="inlineStr">
        <is>
          <t>ข้อใดไม่เกี่ยวข้องกับยากลุ่ม Statin</t>
        </is>
      </c>
      <c r="C110" s="35" t="n"/>
      <c r="D110" s="34" t="inlineStr">
        <is>
          <t>Hepatotoxicity</t>
        </is>
      </c>
      <c r="E110" s="34" t="inlineStr">
        <is>
          <t>Myopathy</t>
        </is>
      </c>
      <c r="F110" s="34" t="inlineStr">
        <is>
          <t>Nephropathy</t>
        </is>
      </c>
      <c r="G110" s="34" t="inlineStr">
        <is>
          <t>Induce Anemia</t>
        </is>
      </c>
      <c r="H110" s="34" t="inlineStr">
        <is>
          <t>New onset Diabetes mellitus</t>
        </is>
      </c>
      <c r="I110" s="33" t="inlineStr">
        <is>
          <t>1</t>
        </is>
      </c>
      <c r="J110" s="34"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110" s="35" t="n"/>
      <c r="L110" s="34" t="inlineStr">
        <is>
          <t>Hypertension</t>
        </is>
      </c>
      <c r="M110" s="35" t="inlineStr">
        <is>
          <t>Clinic</t>
        </is>
      </c>
      <c r="N110" s="34" t="inlineStr">
        <is>
          <t>ข้อ 9 (Pharmtutor_2024_Set2.md)</t>
        </is>
      </c>
      <c r="O110" s="35" t="inlineStr">
        <is>
          <t>ข้อสอบจริง</t>
        </is>
      </c>
      <c r="P110" s="35" t="inlineStr">
        <is>
          <t>ปี 2559</t>
        </is>
      </c>
    </row>
    <row r="111" ht="409.6" customHeight="1" s="49">
      <c r="A111" s="33" t="n">
        <v>109</v>
      </c>
      <c r="B111" s="34"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11" s="35" t="n"/>
      <c r="D111" s="34" t="inlineStr">
        <is>
          <t>Fenofibrate</t>
        </is>
      </c>
      <c r="E111" s="34" t="inlineStr">
        <is>
          <t>Niacin</t>
        </is>
      </c>
      <c r="F111" s="34" t="inlineStr">
        <is>
          <t>Gemfibrozil</t>
        </is>
      </c>
      <c r="G111" s="34" t="inlineStr">
        <is>
          <t>Cholestyramine</t>
        </is>
      </c>
      <c r="H111" s="34" t="inlineStr">
        <is>
          <t>Ezetimibe</t>
        </is>
      </c>
      <c r="I111" s="33" t="inlineStr">
        <is>
          <t>1</t>
        </is>
      </c>
      <c r="J111" s="34"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111" s="35" t="n"/>
      <c r="L111" s="34" t="inlineStr">
        <is>
          <t>Hypertension</t>
        </is>
      </c>
      <c r="M111" s="35" t="inlineStr">
        <is>
          <t>Clinic</t>
        </is>
      </c>
      <c r="N111" s="34" t="inlineStr">
        <is>
          <t>ข้อ 10 (Pharmtutor_2024_Set2.md)</t>
        </is>
      </c>
      <c r="O111" s="35" t="inlineStr">
        <is>
          <t>ข้อสอบจริง</t>
        </is>
      </c>
      <c r="P111" s="35" t="inlineStr">
        <is>
          <t>ปี 2559</t>
        </is>
      </c>
    </row>
    <row r="112" ht="409.6" customHeight="1" s="49">
      <c r="A112" s="33" t="n">
        <v>110</v>
      </c>
      <c r="B112" s="34" t="inlineStr">
        <is>
          <t>ปัจจัยใดส่งผลต่อการเกิดภาวะ Rhabdomyolysis จากการรับประทานยากลุ่ม Statins</t>
        </is>
      </c>
      <c r="C112" s="35" t="n"/>
      <c r="D112" s="34" t="inlineStr">
        <is>
          <t>โครงสร้างของยาของ Statins ที่รับประทาน</t>
        </is>
      </c>
      <c r="E112" s="34" t="inlineStr">
        <is>
          <t>อายุของผู้ป่วย</t>
        </is>
      </c>
      <c r="F112" s="34" t="inlineStr">
        <is>
          <t>ภาวะบกพร่องของตับและไต</t>
        </is>
      </c>
      <c r="G112" s="34" t="inlineStr">
        <is>
          <t>อันตรกิริยาระหว่างยา ที่ผ่านตัวนำส่งยาชนิด OATP1B1</t>
        </is>
      </c>
      <c r="H112" s="34" t="inlineStr">
        <is>
          <t>ถูกทุกข้อ</t>
        </is>
      </c>
      <c r="I112" s="33" t="inlineStr">
        <is>
          <t>1</t>
        </is>
      </c>
      <c r="J112" s="34"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112" s="35" t="n"/>
      <c r="L112" s="34" t="inlineStr">
        <is>
          <t>Hypertension</t>
        </is>
      </c>
      <c r="M112" s="35" t="inlineStr">
        <is>
          <t>Clinic</t>
        </is>
      </c>
      <c r="N112" s="34" t="inlineStr">
        <is>
          <t>ข้อ 11 (Pharmtutor_2024_Set2.md)</t>
        </is>
      </c>
      <c r="O112" s="35" t="inlineStr">
        <is>
          <t>ข้อสอบจริง</t>
        </is>
      </c>
      <c r="P112" s="35" t="inlineStr">
        <is>
          <t>ปี 2559</t>
        </is>
      </c>
    </row>
    <row r="113" ht="409.6" customHeight="1" s="49">
      <c r="A113" s="33" t="n">
        <v>111</v>
      </c>
      <c r="B113" s="34"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13" s="35" t="n"/>
      <c r="D113" s="34" t="inlineStr">
        <is>
          <t>ผลข้างเคียงของยาลดความดัน Enalapril</t>
        </is>
      </c>
      <c r="E113" s="34" t="inlineStr">
        <is>
          <t>ผลข้างเคียงของการใช้ยาร่วมกันระหว่าง Enalapril + Simvastatin</t>
        </is>
      </c>
      <c r="F113" s="34" t="inlineStr">
        <is>
          <t>อาการของ Atypical GERD</t>
        </is>
      </c>
      <c r="G113" s="34" t="inlineStr">
        <is>
          <t>อาการของ Acute Gastrointestinal disease</t>
        </is>
      </c>
      <c r="H113" s="34" t="inlineStr">
        <is>
          <t>ไม่สามารถสรุปได้</t>
        </is>
      </c>
      <c r="I113" s="33" t="inlineStr">
        <is>
          <t>1</t>
        </is>
      </c>
      <c r="J113" s="34"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113" s="35" t="n"/>
      <c r="L113" s="34" t="inlineStr">
        <is>
          <t>Hypertension</t>
        </is>
      </c>
      <c r="M113" s="35" t="inlineStr">
        <is>
          <t>Clinic</t>
        </is>
      </c>
      <c r="N113" s="34" t="inlineStr">
        <is>
          <t>ข้อ 21 (Pharmtutor_2024_Set2.md)</t>
        </is>
      </c>
      <c r="O113" s="35" t="inlineStr">
        <is>
          <t>ข้อสอบจริง</t>
        </is>
      </c>
      <c r="P113" s="35" t="inlineStr">
        <is>
          <t>ปี 2559</t>
        </is>
      </c>
    </row>
    <row r="114" ht="409.6" customHeight="1" s="49">
      <c r="A114" s="33" t="n">
        <v>112</v>
      </c>
      <c r="B114" s="34" t="inlineStr">
        <is>
          <t>ผู้ป่วยโรคหลอดเลือดหัวใจควรได้รับ Clopidogrel 75 mg OD สำหรับการรักษาหรือป้องกันในข้อใด</t>
        </is>
      </c>
      <c r="C114" s="35" t="n"/>
      <c r="D114" s="34" t="inlineStr">
        <is>
          <t>ยาตัวใดที่ออกฤทธิ์ไม่เกี่ยวกับการหลั่ง insulin หรือ insulin resistance</t>
        </is>
      </c>
      <c r="E114" s="34" t="inlineStr">
        <is>
          <t>Losartan 50 mg OD</t>
        </is>
      </c>
      <c r="F114" s="34" t="inlineStr">
        <is>
          <t>Enalapril 10 mg BID</t>
        </is>
      </c>
      <c r="G114" s="34" t="inlineStr">
        <is>
          <t>Hydrochlorothiazide 25 mg OD</t>
        </is>
      </c>
      <c r="H114" s="34" t="inlineStr">
        <is>
          <t>Atorvastatin 20 mg OD</t>
        </is>
      </c>
      <c r="I114" s="33" t="inlineStr">
        <is>
          <t>1</t>
        </is>
      </c>
      <c r="J114" s="34"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114" s="35" t="n"/>
      <c r="L114" s="34" t="inlineStr">
        <is>
          <t>Hypertension</t>
        </is>
      </c>
      <c r="M114" s="35" t="inlineStr">
        <is>
          <t>Clinic</t>
        </is>
      </c>
      <c r="N114" s="34" t="inlineStr">
        <is>
          <t>ข้อ 4 (PLE_CC1_2556.md)</t>
        </is>
      </c>
      <c r="O114" s="35" t="inlineStr">
        <is>
          <t>ข้อสอบจริง</t>
        </is>
      </c>
      <c r="P114" s="35" t="inlineStr">
        <is>
          <t>ปี 2559</t>
        </is>
      </c>
    </row>
    <row r="115" ht="409.6" customHeight="1" s="49">
      <c r="A115" s="33" t="n">
        <v>113</v>
      </c>
      <c r="B115" s="34" t="inlineStr">
        <is>
          <t>ข้อใดคือข้อควรแนะนำสำหรับผู้ป่วยที่ได้รับยา warfarin ครั้งแรก</t>
        </is>
      </c>
      <c r="C115" s="35" t="n"/>
      <c r="D115" s="34" t="inlineStr">
        <is>
          <t>ลดปริมาณการทานผักใบเขียว</t>
        </is>
      </c>
      <c r="E115" s="34" t="inlineStr">
        <is>
          <t>ให้ผู้ป่วยสังเกตอาการลิ่มเลือดอุดตัน เช่น มีจ ้าเลือด ฟกช ้า</t>
        </is>
      </c>
      <c r="F115" s="34" t="inlineStr">
        <is>
          <t>เมื่อมีอาการเลือดออกตามไรฟันให้รีบไปพบแพทย์</t>
        </is>
      </c>
      <c r="G115" s="34" t="inlineStr">
        <is>
          <t>................</t>
        </is>
      </c>
      <c r="H115" s="34" t="inlineStr">
        <is>
          <t>................</t>
        </is>
      </c>
      <c r="I115" s="33" t="inlineStr">
        <is>
          <t>1</t>
        </is>
      </c>
      <c r="J115" s="34"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115" s="35" t="n"/>
      <c r="L115" s="34" t="inlineStr">
        <is>
          <t>Hypertension</t>
        </is>
      </c>
      <c r="M115" s="35" t="inlineStr">
        <is>
          <t>Clinic</t>
        </is>
      </c>
      <c r="N115" s="34" t="inlineStr">
        <is>
          <t>ข้อ 2 (PLE_CC1_2555 Day 1.md)</t>
        </is>
      </c>
      <c r="O115" s="35" t="inlineStr">
        <is>
          <t>ข้อสอบจริง</t>
        </is>
      </c>
      <c r="P115" s="35" t="inlineStr">
        <is>
          <t>ปี 2559</t>
        </is>
      </c>
    </row>
    <row r="116" ht="409.6" customHeight="1" s="49">
      <c r="A116" s="33" t="n">
        <v>114</v>
      </c>
      <c r="B116" s="34" t="inlineStr">
        <is>
          <t>ข้อใดถูกต้องเกี่ยวกับยา warfarin</t>
        </is>
      </c>
      <c r="C116" s="35" t="n"/>
      <c r="D116" s="34" t="inlineStr">
        <is>
          <t>Warfarin ออกฤทธิ์ภายใน 1 วัน</t>
        </is>
      </c>
      <c r="E116" s="34" t="inlineStr">
        <is>
          <t>สามารถบรรเทาอาการปวดได้โดยใช้ยา paracetamol เป็นประจำโดยไม่มีผลต่อ warfarin</t>
        </is>
      </c>
      <c r="F116" s="34" t="inlineStr">
        <is>
          <t>ผู้ป่วยที่เป็นภาวะ Mital stenosis มี target INR คือ 2-3</t>
        </is>
      </c>
      <c r="G116" s="34" t="inlineStr">
        <is>
          <t>สามารถใช้ค่า aPTT ในการตรวจติดตามผลการรักษา</t>
        </is>
      </c>
      <c r="H116" s="34" t="inlineStr">
        <is>
          <t>สามารถใช้ค่าระดับ Platelet ในการตรวจติดตามผลการรักษา</t>
        </is>
      </c>
      <c r="I116" s="33" t="inlineStr">
        <is>
          <t>1</t>
        </is>
      </c>
      <c r="J116" s="34"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116" s="35" t="n"/>
      <c r="L116" s="34" t="inlineStr">
        <is>
          <t>Hypertension</t>
        </is>
      </c>
      <c r="M116" s="35" t="inlineStr">
        <is>
          <t>Clinic</t>
        </is>
      </c>
      <c r="N116" s="34" t="inlineStr">
        <is>
          <t>ข้อ 4 (PLE_CC1_2555 Day 1.md)</t>
        </is>
      </c>
      <c r="O116" s="35" t="inlineStr">
        <is>
          <t>ข้อสอบจริง</t>
        </is>
      </c>
      <c r="P116" s="35" t="inlineStr">
        <is>
          <t>ปี 2559</t>
        </is>
      </c>
    </row>
    <row r="117" ht="409.6" customHeight="1" s="49">
      <c r="A117" s="33" t="n">
        <v>115</v>
      </c>
      <c r="B117" s="34" t="inlineStr">
        <is>
          <t>ข้อใดต่อไปนี้ที่ทำให้เกิดภาวะ thrombosis ในผู้ป่วยที่ใช้ยา warfarin</t>
        </is>
      </c>
      <c r="C117" s="35" t="n"/>
      <c r="D117" s="34" t="inlineStr">
        <is>
          <t>CYP 2C9 poor metabolizer</t>
        </is>
      </c>
      <c r="E117" s="34" t="inlineStr">
        <is>
          <t>การใช้วิตามิน E ร่วมด้วย</t>
        </is>
      </c>
      <c r="F117" s="34" t="inlineStr">
        <is>
          <t>ใช้ Phenobarbital ร่วมด้วย</t>
        </is>
      </c>
      <c r="G117" s="34" t="inlineStr">
        <is>
          <t>ใช้ etoricoxib ร่วมด้วย</t>
        </is>
      </c>
      <c r="H117" s="34" t="inlineStr">
        <is>
          <t>…..</t>
        </is>
      </c>
      <c r="I117" s="33" t="inlineStr">
        <is>
          <t>1</t>
        </is>
      </c>
      <c r="J117" s="34"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117" s="35" t="n"/>
      <c r="L117" s="34" t="inlineStr">
        <is>
          <t>Hypertension</t>
        </is>
      </c>
      <c r="M117" s="35" t="inlineStr">
        <is>
          <t>Clinic</t>
        </is>
      </c>
      <c r="N117" s="34" t="inlineStr">
        <is>
          <t>ข้อ 6 (PLE_CC1_2555 Day 1.md)</t>
        </is>
      </c>
      <c r="O117" s="35" t="inlineStr">
        <is>
          <t>ข้อสอบจริง</t>
        </is>
      </c>
      <c r="P117" s="35" t="inlineStr">
        <is>
          <t>ปี 2559</t>
        </is>
      </c>
    </row>
    <row r="118" ht="409.6" customHeight="1" s="49">
      <c r="A118" s="33" t="n">
        <v>116</v>
      </c>
      <c r="B118" s="34"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18" s="35" t="n"/>
      <c r="D118" s="34" t="inlineStr">
        <is>
          <t>ขนาด 3 mg…เม็ด</t>
        </is>
      </c>
      <c r="E118" s="34" t="inlineStr">
        <is>
          <t>ขนาด 3 mg…เม็ดและขนาด 5mg...เม็ด</t>
        </is>
      </c>
      <c r="F118" s="34" t="inlineStr">
        <is>
          <t>ขนาด 3 mg…เม็ดและขนาด 5mg...เม็ด</t>
        </is>
      </c>
      <c r="G118" s="34" t="inlineStr">
        <is>
          <t>ขนาด 5 mg 14 เม็ด</t>
        </is>
      </c>
      <c r="H118" s="34" t="inlineStr">
        <is>
          <t>ขนาด 5 mg 28 เม็ด</t>
        </is>
      </c>
      <c r="I118" s="33" t="inlineStr">
        <is>
          <t>1</t>
        </is>
      </c>
      <c r="J118" s="34"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118" s="35" t="n"/>
      <c r="L118" s="34" t="inlineStr">
        <is>
          <t>Hypertension</t>
        </is>
      </c>
      <c r="M118" s="35" t="inlineStr">
        <is>
          <t>Clinic</t>
        </is>
      </c>
      <c r="N118" s="34" t="inlineStr">
        <is>
          <t>ข้อ 7 (PLE_CC1_2555 Day 1.md)</t>
        </is>
      </c>
      <c r="O118" s="35" t="inlineStr">
        <is>
          <t>ข้อสอบจริง</t>
        </is>
      </c>
      <c r="P118" s="35" t="inlineStr">
        <is>
          <t>ปี 2558</t>
        </is>
      </c>
    </row>
    <row r="119" ht="409.6" customHeight="1" s="49">
      <c r="A119" s="33" t="n">
        <v>117</v>
      </c>
      <c r="B119" s="34"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19" s="35" t="n"/>
      <c r="D119" s="34" t="inlineStr">
        <is>
          <t>Cardiac enzyme (Troponin T/I, CK-MB)</t>
        </is>
      </c>
      <c r="E119" s="34" t="inlineStr">
        <is>
          <t>Cardiac enzyme</t>
        </is>
      </c>
      <c r="F119" s="34" t="inlineStr">
        <is>
          <t>คลื่นไฟฟ้าหัวใจ</t>
        </is>
      </c>
      <c r="G119" s="34" t="inlineStr">
        <is>
          <t>ตรวจตับ</t>
        </is>
      </c>
      <c r="H119" s="34" t="inlineStr">
        <is>
          <t>ดูอาการเจ็บหน้าอก</t>
        </is>
      </c>
      <c r="I119" s="33" t="n">
        <v>1</v>
      </c>
      <c r="J119" s="34"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ตามคำจำกัดความสากลของภาวะกล้ามเนื้อหัวใจตาย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ซึ่งเป็นเอนไซม์มาตรฐานสากลในการยืนยันรอยโรคกล้ามเนื้อหัวใจ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19" s="35" t="n"/>
      <c r="L119" s="34" t="inlineStr">
        <is>
          <t>Hypertension</t>
        </is>
      </c>
      <c r="M119" s="35" t="inlineStr">
        <is>
          <t>Clinic</t>
        </is>
      </c>
      <c r="N119" s="34" t="inlineStr">
        <is>
          <t>ข้อ 8 (PLE_CC1_2554 SET2.md)</t>
        </is>
      </c>
      <c r="O119" s="35" t="inlineStr">
        <is>
          <t>ข้อสอบจริง</t>
        </is>
      </c>
      <c r="P119" s="35" t="inlineStr">
        <is>
          <t>ปี 2558</t>
        </is>
      </c>
    </row>
    <row r="120" ht="409.6" customHeight="1" s="49">
      <c r="A120" s="33" t="n">
        <v>118</v>
      </c>
      <c r="B120" s="34" t="inlineStr">
        <is>
          <t>105.ข้อใดไม่ใช่ฤทธิ์ pleiotropic effect ของยากลุ่ม statins</t>
        </is>
      </c>
      <c r="C120" s="35" t="n"/>
      <c r="D120" s="34" t="inlineStr">
        <is>
          <t>anti-inflammatory</t>
        </is>
      </c>
      <c r="E120" s="34" t="inlineStr">
        <is>
          <t>ยับยั้งการเกาะกลุ่มของเกร็ดเลือด</t>
        </is>
      </c>
      <c r="F120" s="34" t="inlineStr">
        <is>
          <t>ป้องกันการเกิด oxidized LDL</t>
        </is>
      </c>
      <c r="G120" s="34" t="inlineStr">
        <is>
          <t>ยับยั้งการนากลูโคสเข้าเซลล์</t>
        </is>
      </c>
      <c r="H120" s="34"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20" s="33" t="inlineStr">
        <is>
          <t>3</t>
        </is>
      </c>
      <c r="J120" s="34"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20" s="35" t="n"/>
      <c r="L120" s="34" t="inlineStr">
        <is>
          <t>Hypertension</t>
        </is>
      </c>
      <c r="M120" s="35" t="inlineStr">
        <is>
          <t>Clinic</t>
        </is>
      </c>
      <c r="N120" s="34" t="inlineStr">
        <is>
          <t>ข้อ 2002 (PLE_CC1_2554 SET2.md)</t>
        </is>
      </c>
      <c r="O120" s="35" t="inlineStr">
        <is>
          <t>ข้อสอบจริง</t>
        </is>
      </c>
      <c r="P120" s="35" t="inlineStr">
        <is>
          <t>ปี 2558</t>
        </is>
      </c>
    </row>
    <row r="121" ht="409.6" customHeight="1" s="49">
      <c r="A121" s="33" t="n">
        <v>119</v>
      </c>
      <c r="B121" s="34" t="inlineStr">
        <is>
          <t>ข้อใดคือป็จจัยเสี่ยงในการเกิดโรคความดันโลหิตสูงของผู้ป่วยรายนี้</t>
        </is>
      </c>
      <c r="C121" s="35" t="n"/>
      <c r="D121" s="34" t="inlineStr">
        <is>
          <t>โรคประจำตัว</t>
        </is>
      </c>
      <c r="E121" s="34" t="inlineStr">
        <is>
          <t>ยาที่ใช้ประจำ</t>
        </is>
      </c>
      <c r="F121" s="34" t="inlineStr">
        <is>
          <t>สูบบุหรี่</t>
        </is>
      </c>
      <c r="G121" s="34" t="inlineStr">
        <is>
          <t>อายุ</t>
        </is>
      </c>
      <c r="H121" s="34" t="inlineStr">
        <is>
          <t>ทุกข้อที่กล่าวมาล้วนเป็นป็จจัยเสี่ยง</t>
        </is>
      </c>
      <c r="I121" s="33" t="inlineStr">
        <is>
          <t>1</t>
        </is>
      </c>
      <c r="J121" s="34"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21" s="35" t="n"/>
      <c r="L121" s="34" t="inlineStr">
        <is>
          <t>Hypertension</t>
        </is>
      </c>
      <c r="M121" s="35" t="inlineStr">
        <is>
          <t>Clinic</t>
        </is>
      </c>
      <c r="N121" s="34" t="inlineStr">
        <is>
          <t>ข้อ 1 (PLE_CC1_Practice_Exam.md)</t>
        </is>
      </c>
      <c r="O121" s="35" t="inlineStr">
        <is>
          <t>ข้อสอบจริง</t>
        </is>
      </c>
      <c r="P121" s="35" t="inlineStr">
        <is>
          <t>ปี 2558</t>
        </is>
      </c>
    </row>
    <row r="122" ht="409.6" customHeight="1" s="49">
      <c r="A122" s="33" t="n">
        <v>120</v>
      </c>
      <c r="B122" s="34" t="inlineStr">
        <is>
          <t>ระดับความดันโลหิตเป้าหมายของผู้ป่วยรายนี้คือเท่าไหร่</t>
        </is>
      </c>
      <c r="C122" s="35" t="n"/>
      <c r="D122" s="34" t="inlineStr">
        <is>
          <t>120/80 mmHg</t>
        </is>
      </c>
      <c r="E122" s="34" t="inlineStr">
        <is>
          <t>130/80 mmHg</t>
        </is>
      </c>
      <c r="F122" s="34" t="inlineStr">
        <is>
          <t>130/90 mmHg</t>
        </is>
      </c>
      <c r="G122" s="34" t="inlineStr">
        <is>
          <t>140/80 mmHg</t>
        </is>
      </c>
      <c r="H122" s="34" t="inlineStr">
        <is>
          <t>140/90 mmHg</t>
        </is>
      </c>
      <c r="I122" s="33" t="inlineStr">
        <is>
          <t>1</t>
        </is>
      </c>
      <c r="J122" s="34" t="inlineStr">
        <is>
          <t>✅ คำตอบที่ถูกต้อง: ข้อ ก. 130/80 mmHg
💡 Background:
เป้าหมายการควบคุมความดันโลหิตในปัจจุบันตามแนวทางเวชปฏิบัติสากลและของประเทศไทย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ส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22" s="35" t="n"/>
      <c r="L122" s="34" t="inlineStr">
        <is>
          <t>Hypertension</t>
        </is>
      </c>
      <c r="M122" s="35" t="inlineStr">
        <is>
          <t>Clinic</t>
        </is>
      </c>
      <c r="N122" s="34" t="inlineStr">
        <is>
          <t>ข้อ 5 (PLE_CC1_Practice_Exam.md)</t>
        </is>
      </c>
      <c r="O122" s="35" t="inlineStr">
        <is>
          <t>ข้อสอบจริง</t>
        </is>
      </c>
      <c r="P122" s="35" t="inlineStr">
        <is>
          <t>ปี 2558</t>
        </is>
      </c>
    </row>
    <row r="123" ht="409.6" customHeight="1" s="49">
      <c r="A123" s="33" t="n">
        <v>121</v>
      </c>
      <c r="B123" s="34" t="inlineStr">
        <is>
          <t>จากโครงสร้างทางเคมีต่อไปนี้ จัดเป็นยาลดความดันโลหิตในกลุ่มใด</t>
        </is>
      </c>
      <c r="C123" s="35" t="n"/>
      <c r="D123" s="34" t="inlineStr">
        <is>
          <t>Calcium channel blockers</t>
        </is>
      </c>
      <c r="E123" s="34" t="inlineStr">
        <is>
          <t>ACEIs</t>
        </is>
      </c>
      <c r="F123" s="34" t="inlineStr">
        <is>
          <t>Alpha-adrenergic antagonists</t>
        </is>
      </c>
      <c r="G123" s="34" t="inlineStr">
        <is>
          <t>Beta-adrenergic antagonists</t>
        </is>
      </c>
      <c r="H123" s="34" t="inlineStr">
        <is>
          <t>Direct vasodilators</t>
        </is>
      </c>
      <c r="I123" s="33" t="inlineStr">
        <is>
          <t>1</t>
        </is>
      </c>
      <c r="J123" s="34"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23" s="35" t="n"/>
      <c r="L123" s="34" t="inlineStr">
        <is>
          <t>Hypertension</t>
        </is>
      </c>
      <c r="M123" s="35" t="inlineStr">
        <is>
          <t>Clinic</t>
        </is>
      </c>
      <c r="N123" s="34" t="inlineStr">
        <is>
          <t>ข้อ 7 (PLE_CC1_Practice_Exam.md)</t>
        </is>
      </c>
      <c r="O123" s="35" t="inlineStr">
        <is>
          <t>ข้อสอบจริง</t>
        </is>
      </c>
      <c r="P123" s="35" t="inlineStr">
        <is>
          <t>ปี 2558</t>
        </is>
      </c>
    </row>
    <row r="124" ht="409.6" customHeight="1" s="49">
      <c r="A124" s="33" t="n">
        <v>122</v>
      </c>
      <c r="B124" s="34" t="inlineStr">
        <is>
          <t>การปรับเปลี่ยนพฤติกรรมในการรักษาโรคความดันโลหิตสูงในข้อใดสามารถช่วยลด SBP ได้มากที่สุด</t>
        </is>
      </c>
      <c r="C124" s="35" t="n"/>
      <c r="D124" s="34" t="inlineStr">
        <is>
          <t>การจำกัดปริมาณโซเดียมในอาหารให้น้อยกว่า 2,300 มก. ต่อวัน</t>
        </is>
      </c>
      <c r="E124" s="34" t="inlineStr">
        <is>
          <t>การรับประทานอาหารแบบ DASH (Dietary Approaches to Stop Hypertension)</t>
        </is>
      </c>
      <c r="F124" s="34" t="inlineStr">
        <is>
          <t>การออกกำลังกายอย่างสม่ำเสมอ</t>
        </is>
      </c>
      <c r="G124" s="34" t="inlineStr">
        <is>
          <t>การจำกัดปริมาณแอลกอัอล์ (ผู้หญิงไม่เกิน 1 ดื่มมาตรฐาน/วัน ผู้ชายไม่เกิน 2 ดื่มมาตรฐาน/วัน)</t>
        </is>
      </c>
      <c r="H124" s="34" t="inlineStr">
        <is>
          <t>การหยุดบุหรี่</t>
        </is>
      </c>
      <c r="I124" s="33" t="inlineStr">
        <is>
          <t>1</t>
        </is>
      </c>
      <c r="J124" s="34"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24" s="35" t="n"/>
      <c r="L124" s="34" t="inlineStr">
        <is>
          <t>Hypertension</t>
        </is>
      </c>
      <c r="M124" s="35" t="inlineStr">
        <is>
          <t>Clinic</t>
        </is>
      </c>
      <c r="N124" s="34" t="inlineStr">
        <is>
          <t>ข้อ 9 (PLE_CC1_Practice_Exam.md)</t>
        </is>
      </c>
      <c r="O124" s="35" t="inlineStr">
        <is>
          <t>ข้อสอบจริง</t>
        </is>
      </c>
      <c r="P124" s="35" t="inlineStr">
        <is>
          <t>ปี 2558</t>
        </is>
      </c>
    </row>
    <row r="125" ht="409.6" customHeight="1" s="49">
      <c r="A125" s="33" t="n">
        <v>123</v>
      </c>
      <c r="B125" s="34" t="inlineStr">
        <is>
          <t>ยาลดความดันโลหิตในกลุ่มใดมีข้อห้ามใช้ในคนไข้ที่มีภาวะหัวใจล้มเหลว</t>
        </is>
      </c>
      <c r="C125" s="35" t="n"/>
      <c r="D125" s="34" t="inlineStr">
        <is>
          <t>ACEIs</t>
        </is>
      </c>
      <c r="E125" s="34" t="inlineStr">
        <is>
          <t>ARBs</t>
        </is>
      </c>
      <c r="F125" s="34" t="inlineStr">
        <is>
          <t>Diuretics</t>
        </is>
      </c>
      <c r="G125" s="34" t="inlineStr">
        <is>
          <t>non-DHP CCBs</t>
        </is>
      </c>
      <c r="H125" s="34" t="inlineStr">
        <is>
          <t>Beta-blockers</t>
        </is>
      </c>
      <c r="I125" s="33" t="inlineStr">
        <is>
          <t>1</t>
        </is>
      </c>
      <c r="J125" s="34"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25" s="35" t="n"/>
      <c r="L125" s="34" t="inlineStr">
        <is>
          <t>Hypertension</t>
        </is>
      </c>
      <c r="M125" s="35" t="inlineStr">
        <is>
          <t>Clinic</t>
        </is>
      </c>
      <c r="N125" s="34" t="inlineStr">
        <is>
          <t>ข้อ 10 (PLE_CC1_Practice_Exam.md)</t>
        </is>
      </c>
      <c r="O125" s="35" t="inlineStr">
        <is>
          <t>ข้อสอบจริง</t>
        </is>
      </c>
      <c r="P125" s="35" t="inlineStr">
        <is>
          <t>ปี 2558</t>
        </is>
      </c>
    </row>
    <row r="126" ht="409.6" customHeight="1" s="49">
      <c r="A126" s="33" t="n">
        <v>124</v>
      </c>
      <c r="B126" s="34" t="inlineStr">
        <is>
          <t>ระดับ LDL-C ของผู้ป่วยรายนี้มีค่าเท่าไหร่</t>
        </is>
      </c>
      <c r="C126" s="35" t="n"/>
      <c r="D126" s="34" t="inlineStr">
        <is>
          <t>140 mg/dL</t>
        </is>
      </c>
      <c r="E126" s="34" t="inlineStr">
        <is>
          <t>160 mg/dL</t>
        </is>
      </c>
      <c r="F126" s="34" t="inlineStr">
        <is>
          <t>180 mg/dL</t>
        </is>
      </c>
      <c r="G126" s="34" t="inlineStr">
        <is>
          <t>200 mg/dL</t>
        </is>
      </c>
      <c r="H126" s="34" t="inlineStr">
        <is>
          <t>220 mg/dL</t>
        </is>
      </c>
      <c r="I126" s="33" t="inlineStr">
        <is>
          <t>1</t>
        </is>
      </c>
      <c r="J126" s="34"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26" s="35" t="n"/>
      <c r="L126" s="34" t="inlineStr">
        <is>
          <t>Hypertension</t>
        </is>
      </c>
      <c r="M126" s="35" t="inlineStr">
        <is>
          <t>Clinic</t>
        </is>
      </c>
      <c r="N126" s="34" t="inlineStr">
        <is>
          <t>ข้อ 1 (PLE_CC1_Practice_Exam.md)</t>
        </is>
      </c>
      <c r="O126" s="35" t="inlineStr">
        <is>
          <t>ข้อสอบจริง</t>
        </is>
      </c>
      <c r="P126" s="35" t="inlineStr">
        <is>
          <t>ปี 2558</t>
        </is>
      </c>
    </row>
    <row r="127" ht="409.6" customHeight="1" s="49">
      <c r="A127" s="33" t="n">
        <v>125</v>
      </c>
      <c r="B127" s="34" t="inlineStr">
        <is>
          <t>ยา Simvastatin สามารถลดระดับไขมันในเลือดได้อย่างไร</t>
        </is>
      </c>
      <c r="C127" s="35" t="n"/>
      <c r="D127" s="34" t="inlineStr">
        <is>
          <t>ยับยั้งการดูดซึม cholesterol จากทางเดินอาหาร</t>
        </is>
      </c>
      <c r="E127" s="34" t="inlineStr">
        <is>
          <t>กระตุ้นการทำงานของเอนไซม์ lipolipase</t>
        </is>
      </c>
      <c r="F127" s="34" t="inlineStr">
        <is>
          <t>เพิ่มการสร้าง LDL receptor ที่ตับ</t>
        </is>
      </c>
      <c r="G127" s="34" t="inlineStr">
        <is>
          <t>ยับยั้งกระบวนการ gluconeogenesis ที่ตับ</t>
        </is>
      </c>
      <c r="H127" s="34" t="inlineStr">
        <is>
          <t>เพิ่มการสร้าง VLDL-C จากตับ</t>
        </is>
      </c>
      <c r="I127" s="33" t="inlineStr">
        <is>
          <t>1</t>
        </is>
      </c>
      <c r="J127" s="34"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27" s="35" t="n"/>
      <c r="L127" s="34" t="inlineStr">
        <is>
          <t>Hypertension</t>
        </is>
      </c>
      <c r="M127" s="35" t="inlineStr">
        <is>
          <t>Clinic</t>
        </is>
      </c>
      <c r="N127" s="34" t="inlineStr">
        <is>
          <t>ข้อ 3 (PLE_CC1_Practice_Exam.md)</t>
        </is>
      </c>
      <c r="O127" s="35" t="inlineStr">
        <is>
          <t>ข้อสอบจริง</t>
        </is>
      </c>
      <c r="P127" s="35" t="inlineStr">
        <is>
          <t>ปี 2558</t>
        </is>
      </c>
    </row>
    <row r="128" ht="409.6" customHeight="1" s="49">
      <c r="A128" s="33" t="n">
        <v>126</v>
      </c>
      <c r="B128" s="34" t="inlineStr">
        <is>
          <t>การรักษาผู้ป่วยรายนี้ต้องจะลดระดับ LDL-C ให้ได้เท่าไหร่ เพื่อป้องกัน Atherosclerosis</t>
        </is>
      </c>
      <c r="C128" s="35" t="n"/>
      <c r="D128" s="34" t="inlineStr">
        <is>
          <t>น้อยกว่า 70 mg/dL</t>
        </is>
      </c>
      <c r="E128" s="34" t="inlineStr">
        <is>
          <t>น้อยกว่า 100 mg/dL</t>
        </is>
      </c>
      <c r="F128" s="34" t="inlineStr">
        <is>
          <t>น้อยกว่า 130 mg/dL</t>
        </is>
      </c>
      <c r="G128" s="34" t="inlineStr">
        <is>
          <t>น้อยกว่า 160 mg/dL</t>
        </is>
      </c>
      <c r="H128" s="34" t="inlineStr">
        <is>
          <t>น้อยกว่า 190 mg/dL</t>
        </is>
      </c>
      <c r="I128" s="33" t="inlineStr">
        <is>
          <t>1</t>
        </is>
      </c>
      <c r="J128" s="34"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ขึ้นอยู่กับการแบ่งกลุ่มระดับความเสี่ยงของผู้ป่วยตามแนวทางเวชปฏิบัติสากล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28" s="35" t="n"/>
      <c r="L128" s="34" t="inlineStr">
        <is>
          <t>Hypertension</t>
        </is>
      </c>
      <c r="M128" s="35" t="inlineStr">
        <is>
          <t>Clinic</t>
        </is>
      </c>
      <c r="N128" s="34" t="inlineStr">
        <is>
          <t>ข้อ 5 (PLE_CC1_Practice_Exam.md)</t>
        </is>
      </c>
      <c r="O128" s="35" t="inlineStr">
        <is>
          <t>ข้อสอบจริง</t>
        </is>
      </c>
      <c r="P128" s="35" t="inlineStr">
        <is>
          <t>ปี 2558</t>
        </is>
      </c>
    </row>
    <row r="129" ht="409.6" customHeight="1" s="49">
      <c r="A129" s="33" t="n">
        <v>127</v>
      </c>
      <c r="B129" s="34"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29" s="35" t="n"/>
      <c r="D129" s="34" t="inlineStr">
        <is>
          <t>ปรับเพิ่มขนาดยา Simvastatin เป็น 40 mg ต่อวัน</t>
        </is>
      </c>
      <c r="E129" s="34" t="inlineStr">
        <is>
          <t>ปรับลดขนาดยา Simvastatin เป็น 10 mg ต่อวัน และเพิ่มยา Niacin</t>
        </is>
      </c>
      <c r="F129" s="34" t="inlineStr">
        <is>
          <t>ปรับลดขนาดยา Simvastatin เป็น 10 mg ต่อวัน และเพิ่มยา Ezetimibe</t>
        </is>
      </c>
      <c r="G129" s="34" t="inlineStr">
        <is>
          <t>ปรับลดขนาดยา Simvastatin เป็น 10 mg ต่อวัน และเพิ่ม Fish oil 1 g ต่อวัน</t>
        </is>
      </c>
      <c r="H129" s="34" t="inlineStr">
        <is>
          <t>เปลี่ยนยา Simvastatin เป็น Atorvastatin 40 mg ต่อวัน</t>
        </is>
      </c>
      <c r="I129" s="33" t="inlineStr">
        <is>
          <t>1</t>
        </is>
      </c>
      <c r="J129" s="34"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29" s="35" t="n"/>
      <c r="L129" s="34" t="inlineStr">
        <is>
          <t>Hypertension</t>
        </is>
      </c>
      <c r="M129" s="35" t="inlineStr">
        <is>
          <t>Clinic</t>
        </is>
      </c>
      <c r="N129" s="34" t="inlineStr">
        <is>
          <t>ข้อ 6 (PLE_CC1_Practice_Exam.md)</t>
        </is>
      </c>
      <c r="O129" s="35" t="inlineStr">
        <is>
          <t>ข้อสอบจริง</t>
        </is>
      </c>
      <c r="P129" s="35" t="inlineStr">
        <is>
          <t>ปี 2558</t>
        </is>
      </c>
    </row>
    <row r="130" ht="409.6" customHeight="1" s="49">
      <c r="A130" s="33" t="n">
        <v>128</v>
      </c>
      <c r="B130" s="34" t="inlineStr">
        <is>
          <t>หากผู้ป่วยมักลืมรับประทาน Simvastatin ตอนก่อนนอน การแก้ไขป็ญหาในข้อใดเหมาะสมที่สุด</t>
        </is>
      </c>
      <c r="C130" s="35" t="n"/>
      <c r="D130" s="34" t="inlineStr">
        <is>
          <t>รับประทานทันทีที่นึกขึ้นได้</t>
        </is>
      </c>
      <c r="E130" s="34" t="inlineStr">
        <is>
          <t>เปลี่ยนไปรับประทานตอนเช้า</t>
        </is>
      </c>
      <c r="F130" s="34" t="inlineStr">
        <is>
          <t>เปลี่ยนไปรับประทานตอนกลางวัน</t>
        </is>
      </c>
      <c r="G130" s="34" t="inlineStr">
        <is>
          <t>เปลี่ยนไปรับประทานตอนเย็น</t>
        </is>
      </c>
      <c r="H130" s="34" t="inlineStr">
        <is>
          <t>กำชับผู้ป่วยว่าไม่ควรลืม เนื่องจาก simvastatin ต้องรับประทานก่อนนอนเท่านั้น</t>
        </is>
      </c>
      <c r="I130" s="33" t="inlineStr">
        <is>
          <t>1</t>
        </is>
      </c>
      <c r="J130" s="34"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30" s="35" t="n"/>
      <c r="L130" s="34" t="inlineStr">
        <is>
          <t>Hypertension</t>
        </is>
      </c>
      <c r="M130" s="35" t="inlineStr">
        <is>
          <t>Clinic</t>
        </is>
      </c>
      <c r="N130" s="34" t="inlineStr">
        <is>
          <t>ข้อ 9 (PLE_CC1_Practice_Exam.md)</t>
        </is>
      </c>
      <c r="O130" s="35" t="inlineStr">
        <is>
          <t>ข้อสอบจริง</t>
        </is>
      </c>
      <c r="P130" s="35" t="inlineStr">
        <is>
          <t>ปี 2558</t>
        </is>
      </c>
    </row>
    <row r="131" ht="409.6" customHeight="1" s="49">
      <c r="A131" s="33" t="n">
        <v>129</v>
      </c>
      <c r="B131" s="34" t="inlineStr">
        <is>
          <t>ข้อใดกล่าวถึง Furosemide ได้อย่างถูกต้องในผู้ป่วยรายนี้</t>
        </is>
      </c>
      <c r="C131" s="35" t="n"/>
      <c r="D131" s="34" t="inlineStr">
        <is>
          <t>ช่วยลดอัตราการเสียชีวิต</t>
        </is>
      </c>
      <c r="E131" s="34" t="inlineStr">
        <is>
          <t>ไม่ควรใช้ร่วมกับ Enalapril</t>
        </is>
      </c>
      <c r="F131" s="34" t="inlineStr">
        <is>
          <t>การใช้ร่วมกับ HCTZ อาจทำให้เกิด Diuretic resistance</t>
        </is>
      </c>
      <c r="G131" s="34" t="inlineStr">
        <is>
          <t>มีประสิทธิภาพในการบรรเทาอาการโรคหัวใจล้มเหลวดีกว่า HCTZ</t>
        </is>
      </c>
      <c r="H131" s="34" t="inlineStr">
        <is>
          <t>ออกฤทธิ์ยับยั้งการดูดกลับ NaCl ที่ distal tubule</t>
        </is>
      </c>
      <c r="I131" s="33" t="inlineStr">
        <is>
          <t>1</t>
        </is>
      </c>
      <c r="J131" s="34"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31" s="35" t="n"/>
      <c r="L131" s="34" t="inlineStr">
        <is>
          <t>Hypertension</t>
        </is>
      </c>
      <c r="M131" s="35" t="inlineStr">
        <is>
          <t>Clinic</t>
        </is>
      </c>
      <c r="N131" s="34" t="inlineStr">
        <is>
          <t>ข้อ 3 (PLE_CC1_Practice_Exam.md)</t>
        </is>
      </c>
      <c r="O131" s="35" t="inlineStr">
        <is>
          <t>ข้อสอบจริง</t>
        </is>
      </c>
      <c r="P131" s="35" t="inlineStr">
        <is>
          <t>ปี 2558</t>
        </is>
      </c>
    </row>
    <row r="132" ht="409.6" customHeight="1" s="49">
      <c r="A132" s="33" t="n">
        <v>130</v>
      </c>
      <c r="B132" s="34" t="inlineStr">
        <is>
          <t>ยา Enalapril มี half-life เท่ากับ 11 ชั่วโมง ค่า Ke ของยานี้เท่ากับเท่าไหร่ (hr-1)</t>
        </is>
      </c>
      <c r="C132" s="35" t="n"/>
      <c r="D132" s="34" t="inlineStr">
        <is>
          <t>0.06</t>
        </is>
      </c>
      <c r="E132" s="34" t="inlineStr">
        <is>
          <t>0.063</t>
        </is>
      </c>
      <c r="F132" s="34" t="inlineStr">
        <is>
          <t>0.067</t>
        </is>
      </c>
      <c r="G132" s="34" t="inlineStr">
        <is>
          <t>0.07</t>
        </is>
      </c>
      <c r="H132" s="34" t="inlineStr">
        <is>
          <t>0.075</t>
        </is>
      </c>
      <c r="I132" s="33" t="inlineStr">
        <is>
          <t>1</t>
        </is>
      </c>
      <c r="J132" s="34"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32" s="35" t="n"/>
      <c r="L132" s="34" t="inlineStr">
        <is>
          <t>Hypertension</t>
        </is>
      </c>
      <c r="M132" s="35" t="inlineStr">
        <is>
          <t>Clinic</t>
        </is>
      </c>
      <c r="N132" s="34" t="inlineStr">
        <is>
          <t>ข้อ 5 (PLE_CC1_Practice_Exam.md)</t>
        </is>
      </c>
      <c r="O132" s="35" t="inlineStr">
        <is>
          <t>ข้อสอบจริง</t>
        </is>
      </c>
      <c r="P132" s="35" t="inlineStr">
        <is>
          <t>ปี 2558</t>
        </is>
      </c>
    </row>
    <row r="133" ht="409.6" customHeight="1" s="49">
      <c r="A133" s="33" t="n">
        <v>131</v>
      </c>
      <c r="B133" s="34" t="inlineStr">
        <is>
          <t>ยาใดที่ไม่มีผลลดอัตราการตายสำหรับผู้ป่วยหัวใจขาดเลือด</t>
        </is>
      </c>
      <c r="C133" s="35" t="n"/>
      <c r="D133" s="34" t="inlineStr">
        <is>
          <t>Simvastatin</t>
        </is>
      </c>
      <c r="E133" s="34" t="inlineStr">
        <is>
          <t>Enalapril</t>
        </is>
      </c>
      <c r="F133" s="34" t="inlineStr">
        <is>
          <t>Aspirin</t>
        </is>
      </c>
      <c r="G133" s="34" t="inlineStr">
        <is>
          <t>Clopidogrel</t>
        </is>
      </c>
      <c r="H133" s="34" t="inlineStr">
        <is>
          <t>Amlodipine</t>
        </is>
      </c>
      <c r="I133" s="33" t="inlineStr">
        <is>
          <t>1</t>
        </is>
      </c>
      <c r="J133" s="34"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33" s="35" t="n"/>
      <c r="L133" s="34" t="inlineStr">
        <is>
          <t>Hypertension</t>
        </is>
      </c>
      <c r="M133" s="35" t="inlineStr">
        <is>
          <t>Clinic</t>
        </is>
      </c>
      <c r="N133" s="34" t="inlineStr">
        <is>
          <t>ข้อ 1 (PLE_CC1_Practice_Exam.md)</t>
        </is>
      </c>
      <c r="O133" s="35" t="inlineStr">
        <is>
          <t>ข้อสอบจริง</t>
        </is>
      </c>
      <c r="P133" s="35" t="inlineStr">
        <is>
          <t>ปี 2558</t>
        </is>
      </c>
    </row>
    <row r="134" ht="409.6" customHeight="1" s="49">
      <c r="A134" s="33" t="n">
        <v>132</v>
      </c>
      <c r="B134" s="34" t="inlineStr">
        <is>
          <t>Aspirin และ Clopidogrel แตกต่างกันอย่างไร</t>
        </is>
      </c>
      <c r="C134" s="35" t="n"/>
      <c r="D134" s="34" t="inlineStr">
        <is>
          <t>มี site of action ที่แตกต่างกัน</t>
        </is>
      </c>
      <c r="E134" s="34" t="inlineStr">
        <is>
          <t>Aspirin เป็น Antiplatelets ส่วน Clopidogrel เป็น anticoagulants</t>
        </is>
      </c>
      <c r="F134" s="34" t="inlineStr">
        <is>
          <t>Aspirin เป็น Anticoagulants ส่วน Clopidogrel เป็น antiplatelet</t>
        </is>
      </c>
      <c r="G134" s="34" t="inlineStr">
        <is>
          <t>หวังผลการรักษาที่แตกต่างกัน</t>
        </is>
      </c>
      <c r="H134" s="34" t="inlineStr">
        <is>
          <t>ยาทั้งคู่ไม่แตกต่างกัน</t>
        </is>
      </c>
      <c r="I134" s="33" t="inlineStr">
        <is>
          <t>1</t>
        </is>
      </c>
      <c r="J134" s="34"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34" s="35" t="n"/>
      <c r="L134" s="34" t="inlineStr">
        <is>
          <t>Hypertension</t>
        </is>
      </c>
      <c r="M134" s="35" t="inlineStr">
        <is>
          <t>Clinic</t>
        </is>
      </c>
      <c r="N134" s="34" t="inlineStr">
        <is>
          <t>ข้อ 5 (PLE_CC1_Practice_Exam.md)</t>
        </is>
      </c>
      <c r="O134" s="35" t="inlineStr">
        <is>
          <t>ข้อสอบจริง</t>
        </is>
      </c>
      <c r="P134" s="35" t="inlineStr">
        <is>
          <t>ปี 2558</t>
        </is>
      </c>
    </row>
    <row r="135" ht="409.6" customHeight="1" s="49">
      <c r="A135" s="33" t="n">
        <v>133</v>
      </c>
      <c r="B135" s="34" t="inlineStr">
        <is>
          <t>ข้อใดผิดเกี่ยวกับยา Beta-blockers กับโรคหัวใจขาดเลือด</t>
        </is>
      </c>
      <c r="C135" s="35" t="n"/>
      <c r="D135" s="34" t="inlineStr">
        <is>
          <t>สำหรับผู้ป่วยภาวะหัวใจขาดเลือดเฉียบพลันทุกรายที่ไม่มีข้อห้ามใช้</t>
        </is>
      </c>
      <c r="E135" s="34" t="inlineStr">
        <is>
          <t>เป้าหมายการรักษาคือ HR ขณะพักอยู่ในช่วง 60-80 beats/min</t>
        </is>
      </c>
      <c r="F135" s="34" t="inlineStr">
        <is>
          <t>เพื่อควบคุมอาการเจ็บเค้นหน้าอก</t>
        </is>
      </c>
      <c r="G135" s="34" t="inlineStr">
        <is>
          <t>สามารถใช้ Propranolol ได้</t>
        </is>
      </c>
      <c r="H135" s="34" t="inlineStr">
        <is>
          <t>มีข้อห้ามใช้ในผู้ป่วยที่มีโรคหอบหืด หรือภาวะปอดอุดกั้นเรื้อรัง</t>
        </is>
      </c>
      <c r="I135" s="33" t="inlineStr">
        <is>
          <t>1</t>
        </is>
      </c>
      <c r="J135" s="34"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35" s="35" t="n"/>
      <c r="L135" s="34" t="inlineStr">
        <is>
          <t>Hypertension</t>
        </is>
      </c>
      <c r="M135" s="35" t="inlineStr">
        <is>
          <t>Clinic</t>
        </is>
      </c>
      <c r="N135" s="34" t="inlineStr">
        <is>
          <t>ข้อ 9 (PLE_CC1_Practice_Exam.md)</t>
        </is>
      </c>
      <c r="O135" s="35" t="inlineStr">
        <is>
          <t>Mock</t>
        </is>
      </c>
      <c r="P135" s="35" t="inlineStr">
        <is>
          <t>Mock Pharmtutor 2024</t>
        </is>
      </c>
    </row>
    <row r="136" ht="409.6" customHeight="1" s="49">
      <c r="A136" s="33" t="n">
        <v>134</v>
      </c>
      <c r="B136" s="34" t="inlineStr">
        <is>
          <t>โรคใดไม่ใช่ป็จจัยเสี่ยงในการเกิดโรคหัวใจขาดเลือด</t>
        </is>
      </c>
      <c r="C136" s="35" t="n"/>
      <c r="D136" s="34" t="inlineStr">
        <is>
          <t>โรคไต</t>
        </is>
      </c>
      <c r="E136" s="34" t="inlineStr">
        <is>
          <t>โรคความดันโลหิตสูง</t>
        </is>
      </c>
      <c r="F136" s="34" t="inlineStr">
        <is>
          <t>โรคเบาหวาน</t>
        </is>
      </c>
      <c r="G136" s="34" t="inlineStr">
        <is>
          <t>โรคอ้วน</t>
        </is>
      </c>
      <c r="H136" s="34" t="inlineStr">
        <is>
          <t>โรคไขมันในเลือดผิดปกติ</t>
        </is>
      </c>
      <c r="I136" s="33" t="inlineStr">
        <is>
          <t>3</t>
        </is>
      </c>
      <c r="J136" s="34"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36" s="35" t="n"/>
      <c r="L136" s="34" t="inlineStr">
        <is>
          <t>Hypertension</t>
        </is>
      </c>
      <c r="M136" s="35" t="inlineStr">
        <is>
          <t>Clinic</t>
        </is>
      </c>
      <c r="N136" s="34" t="inlineStr">
        <is>
          <t>ข้อ 10 (PLE_CC1_Practice_Exam.md)</t>
        </is>
      </c>
      <c r="O136" s="35" t="inlineStr">
        <is>
          <t>Mock</t>
        </is>
      </c>
      <c r="P136" s="35" t="inlineStr">
        <is>
          <t>Mock Pharmtutor 2024</t>
        </is>
      </c>
    </row>
    <row r="137" ht="409.6" customHeight="1" s="49">
      <c r="A137" s="33" t="n">
        <v>135</v>
      </c>
      <c r="B137" s="34" t="inlineStr">
        <is>
          <t>ยาตัวใดที่ใช้ร่วมกับ simvastatin แล้วทำให้เกิด rhabdomyolysis มากที่สุด</t>
        </is>
      </c>
      <c r="C137" s="35" t="n"/>
      <c r="D137" s="34" t="inlineStr">
        <is>
          <t>Fenofibrate</t>
        </is>
      </c>
      <c r="E137" s="34" t="inlineStr">
        <is>
          <t>Rifampin</t>
        </is>
      </c>
      <c r="F137" s="34" t="inlineStr">
        <is>
          <t>Gemfibrozil</t>
        </is>
      </c>
      <c r="G137" s="34" t="inlineStr">
        <is>
          <t>Captopril</t>
        </is>
      </c>
      <c r="H137" s="34" t="inlineStr">
        <is>
          <t>Ezetimibe</t>
        </is>
      </c>
      <c r="I137" s="33" t="inlineStr">
        <is>
          <t>1</t>
        </is>
      </c>
      <c r="J137" s="34"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37" s="35" t="n"/>
      <c r="L137" s="34" t="inlineStr">
        <is>
          <t>Hypertension</t>
        </is>
      </c>
      <c r="M137" s="35" t="inlineStr">
        <is>
          <t>Clinic</t>
        </is>
      </c>
      <c r="N137" s="34" t="inlineStr">
        <is>
          <t>ข้อ 1 (PLE_CC1_Practice_Exam.md)</t>
        </is>
      </c>
      <c r="O137" s="35" t="inlineStr">
        <is>
          <t>Mock</t>
        </is>
      </c>
      <c r="P137" s="35" t="inlineStr">
        <is>
          <t>Mock Pharmtutor 2024</t>
        </is>
      </c>
    </row>
    <row r="138" ht="409.6" customHeight="1" s="49">
      <c r="A138" s="33" t="n">
        <v>136</v>
      </c>
      <c r="B138" s="34"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38" s="35" t="n"/>
      <c r="D138" s="34" t="inlineStr">
        <is>
          <t>Furosemide ร่วมกับ Amlodipine</t>
        </is>
      </c>
      <c r="E138" s="34" t="inlineStr">
        <is>
          <t>Losartan 50 mg OD</t>
        </is>
      </c>
      <c r="F138" s="34" t="inlineStr">
        <is>
          <t>Enalapril 10 mg BID</t>
        </is>
      </c>
      <c r="G138" s="34" t="inlineStr">
        <is>
          <t>Hydrochlorothiazide 25 mg OD</t>
        </is>
      </c>
      <c r="H138" s="34" t="inlineStr">
        <is>
          <t>Atorvastatin 20 mg OD</t>
        </is>
      </c>
      <c r="I138" s="33" t="n">
        <v>1</v>
      </c>
      <c r="J138" s="34"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38" s="35" t="n"/>
      <c r="L138" s="34" t="inlineStr">
        <is>
          <t>Hypertension</t>
        </is>
      </c>
      <c r="M138" s="35" t="inlineStr">
        <is>
          <t>Clinic</t>
        </is>
      </c>
      <c r="N138" s="34" t="inlineStr">
        <is>
          <t>ข้อ 5 (PLE_CC1_Key_Rx20_UBU.md)</t>
        </is>
      </c>
      <c r="O138" s="35" t="inlineStr">
        <is>
          <t>Mock</t>
        </is>
      </c>
      <c r="P138" s="35" t="inlineStr">
        <is>
          <t>Mock Pharmtutor 2024</t>
        </is>
      </c>
    </row>
    <row r="139" ht="409.6" customHeight="1" s="49">
      <c r="A139" s="33" t="n">
        <v>137</v>
      </c>
      <c r="B139" s="34" t="inlineStr">
        <is>
          <t>หากระดับไขมันของผู$ป&amp;วยเปญนดังนี้ LDL 102 mg/dL, HDL 45 mg/dL, TG 500 mg/dL, Total cholesterol 220 mg/dL ผู$ป&amp;วยควรได$รับยาในข้อใดเพื่อเสริมฤทธิ์ในการลดไขมันกับยา simvastatin</t>
        </is>
      </c>
      <c r="C139" s="35" t="n"/>
      <c r="D139" s="34" t="inlineStr">
        <is>
          <t>Gemﬁbrozil</t>
        </is>
      </c>
      <c r="E139" s="34" t="inlineStr">
        <is>
          <t>Nicotinic acid</t>
        </is>
      </c>
      <c r="F139" s="34" t="inlineStr">
        <is>
          <t>Fish oil</t>
        </is>
      </c>
      <c r="G139" s="34" t="inlineStr">
        <is>
          <t>Cholestyramin</t>
        </is>
      </c>
      <c r="H139" s="34" t="inlineStr">
        <is>
          <t>Ezetimibe ตาม 2016 ACC guideline แนะนำให$เพิ่ม Ezetimibe ในผู$ป&amp;วยที่ได$รับ Statins แตGยังไมGสามารถควบคุม LDL ให$อยูGในชGวงเปนาหมายได$</t>
        </is>
      </c>
      <c r="I139" s="33" t="inlineStr">
        <is>
          <t>5</t>
        </is>
      </c>
      <c r="J139" s="34" t="inlineStr">
        <is>
          <t>✅ คำตอบที่ถูกต้อง: ข้อ จ. Ezetimibe ตาม 2016 ACC guideline แนะนำให$เพิ่ม Ezetimibe ในผู$ป&amp;วยที่ได$รับ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ตามแนวทางเวชปฏิบัติสากล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39" s="35" t="n"/>
      <c r="L139" s="34" t="inlineStr">
        <is>
          <t>Hypertension</t>
        </is>
      </c>
      <c r="M139" s="35" t="inlineStr">
        <is>
          <t>Clinic</t>
        </is>
      </c>
      <c r="N139" s="34" t="inlineStr">
        <is>
          <t>ข้อ 30 (PLE_CC1_Key_Rx20_UBU.md)</t>
        </is>
      </c>
      <c r="O139" s="35" t="inlineStr">
        <is>
          <t>Mock</t>
        </is>
      </c>
      <c r="P139" s="35" t="inlineStr">
        <is>
          <t>Mock Pharmtutor 2024</t>
        </is>
      </c>
    </row>
    <row r="140" ht="409.6" customHeight="1" s="49">
      <c r="A140" s="33" t="n">
        <v>138</v>
      </c>
      <c r="B140" s="34" t="inlineStr">
        <is>
          <t>NSAIDs อะไรที่สงผลเสียต่อหัวใจน้อยที่สุด</t>
        </is>
      </c>
      <c r="C140" s="35" t="n"/>
      <c r="D140" s="34" t="inlineStr">
        <is>
          <t>Indomethacin</t>
        </is>
      </c>
      <c r="E140" s="34" t="inlineStr">
        <is>
          <t>Diclofanac</t>
        </is>
      </c>
      <c r="F140" s="34" t="inlineStr">
        <is>
          <t>Ibuprofen</t>
        </is>
      </c>
      <c r="G140" s="34" t="inlineStr">
        <is>
          <t>Celecoxib</t>
        </is>
      </c>
      <c r="H140" s="34" t="inlineStr">
        <is>
          <t>Naproxen</t>
        </is>
      </c>
      <c r="I140" s="33" t="inlineStr">
        <is>
          <t>5</t>
        </is>
      </c>
      <c r="J140" s="34"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40" s="35" t="n"/>
      <c r="L140" s="34" t="inlineStr">
        <is>
          <t>Hypertension</t>
        </is>
      </c>
      <c r="M140" s="35" t="inlineStr">
        <is>
          <t>Clinic</t>
        </is>
      </c>
      <c r="N140" s="34" t="inlineStr">
        <is>
          <t>ข้อ 3 (PLE_CC1_Key_Rx20_UBU.md)</t>
        </is>
      </c>
      <c r="O140" s="35" t="inlineStr">
        <is>
          <t>Mock</t>
        </is>
      </c>
      <c r="P140" s="35" t="inlineStr">
        <is>
          <t>Mock Pharmtutor 2024</t>
        </is>
      </c>
    </row>
    <row r="141" ht="409.6" customHeight="1" s="49">
      <c r="A141" s="33" t="n">
        <v>139</v>
      </c>
      <c r="B141" s="34" t="inlineStr">
        <is>
          <t>หากเกิด Angioedema จาก Enalapril ควรทำอย่างไร</t>
        </is>
      </c>
      <c r="C141" s="35" t="n"/>
      <c r="D141" s="34" t="inlineStr">
        <is>
          <t>เปลี่ยนเป็น Lisinopril</t>
        </is>
      </c>
      <c r="E141" s="34" t="inlineStr">
        <is>
          <t>เปลี่ยนเป็น Candesartan</t>
        </is>
      </c>
      <c r="F141" s="34" t="inlineStr">
        <is>
          <t>ใช้ Enalapril ต่อไป อาการจะเริ่มดีขึ้น พร้อมติดตามอย่างใกล้ชิด</t>
        </is>
      </c>
      <c r="G141" s="34" t="inlineStr">
        <is>
          <t>ลดขนาดยา Enalapril</t>
        </is>
      </c>
      <c r="H141" s="34" t="inlineStr">
        <is>
          <t>หยุดยาจนหาย แล้วลองใช้อีกครั้ง ร่วมกับต้องติดตามอย่างใกล้ชิด</t>
        </is>
      </c>
      <c r="I141" s="33" t="inlineStr">
        <is>
          <t>2</t>
        </is>
      </c>
      <c r="J141" s="34"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41" s="35" t="n"/>
      <c r="L141" s="34" t="inlineStr">
        <is>
          <t>Hypertension</t>
        </is>
      </c>
      <c r="M141" s="35" t="inlineStr">
        <is>
          <t>Clinic</t>
        </is>
      </c>
      <c r="N141" s="34" t="inlineStr">
        <is>
          <t>ข้อ 40 (PLE_CC1_Key_Rx20_UBU.md)</t>
        </is>
      </c>
      <c r="O141" s="35" t="inlineStr">
        <is>
          <t>Mock</t>
        </is>
      </c>
      <c r="P141" s="35" t="inlineStr">
        <is>
          <t>Mock Pharmtutor 2024</t>
        </is>
      </c>
    </row>
    <row r="142" ht="409.6" customHeight="1" s="49">
      <c r="A142" s="33" t="n">
        <v>140</v>
      </c>
      <c r="B142" s="34" t="inlineStr">
        <is>
          <t>ข้อใด คืออาการไม่พึงประสงค์ของ Enalapril</t>
        </is>
      </c>
      <c r="C142" s="35" t="n"/>
      <c r="D142" s="34" t="inlineStr">
        <is>
          <t>Hyperkalemia</t>
        </is>
      </c>
      <c r="E142" s="34" t="inlineStr">
        <is>
          <t>Hepatotoxicity</t>
        </is>
      </c>
      <c r="F142" s="34" t="inlineStr">
        <is>
          <t>Pakinsonism</t>
        </is>
      </c>
      <c r="G142" s="34" t="inlineStr">
        <is>
          <t>Hypokalemia</t>
        </is>
      </c>
      <c r="H142" s="34" t="inlineStr">
        <is>
          <t>Hypertension</t>
        </is>
      </c>
      <c r="I142" s="33" t="inlineStr">
        <is>
          <t>1</t>
        </is>
      </c>
      <c r="J142" s="34"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42" s="35" t="n"/>
      <c r="L142" s="34" t="inlineStr">
        <is>
          <t>Hypertension</t>
        </is>
      </c>
      <c r="M142" s="35" t="inlineStr">
        <is>
          <t>Clinic</t>
        </is>
      </c>
      <c r="N142" s="34" t="inlineStr">
        <is>
          <t>ข้อ 41 (PLE_CC1_Key_Rx20_UBU.md)</t>
        </is>
      </c>
      <c r="O142" s="35" t="inlineStr">
        <is>
          <t>Mock</t>
        </is>
      </c>
      <c r="P142" s="35" t="inlineStr">
        <is>
          <t>Mock Pharmtutor 2024</t>
        </is>
      </c>
    </row>
    <row r="143" ht="409.6" customHeight="1" s="49">
      <c r="A143" s="33" t="n">
        <v>141</v>
      </c>
      <c r="B143" s="34" t="inlineStr">
        <is>
          <t>ยาใดทำให้เกิด Hyperkalemia</t>
        </is>
      </c>
      <c r="C143" s="35" t="n"/>
      <c r="D143" s="34" t="inlineStr">
        <is>
          <t>Aspirin</t>
        </is>
      </c>
      <c r="E143" s="34" t="inlineStr">
        <is>
          <t>Moduretic</t>
        </is>
      </c>
      <c r="F143" s="34" t="inlineStr">
        <is>
          <t>Glipizide</t>
        </is>
      </c>
      <c r="G143" s="34" t="inlineStr">
        <is>
          <t>Amlodipine</t>
        </is>
      </c>
      <c r="H143" s="34" t="inlineStr">
        <is>
          <t>Omeprazole</t>
        </is>
      </c>
      <c r="I143" s="33" t="inlineStr">
        <is>
          <t>2</t>
        </is>
      </c>
      <c r="J143" s="34"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43" s="35" t="n"/>
      <c r="L143" s="34" t="inlineStr">
        <is>
          <t>Hypertension</t>
        </is>
      </c>
      <c r="M143" s="35" t="inlineStr">
        <is>
          <t>Clinic</t>
        </is>
      </c>
      <c r="N143" s="34" t="inlineStr">
        <is>
          <t>ข้อ 56 (PLE_CC1_Key_Rx20_UBU.md)</t>
        </is>
      </c>
      <c r="O143" s="35" t="inlineStr">
        <is>
          <t>Mock</t>
        </is>
      </c>
      <c r="P143" s="35" t="inlineStr">
        <is>
          <t>Mock Pharmtutor 2024</t>
        </is>
      </c>
    </row>
    <row r="144" ht="409.6" customHeight="1" s="49">
      <c r="A144" s="33" t="n">
        <v>142</v>
      </c>
      <c r="B144" s="34" t="inlineStr">
        <is>
          <t>ผู้ป่วยรายนี้ควรรักษา hyperkalemia ด้วยวิธีใด</t>
        </is>
      </c>
      <c r="C144" s="35" t="n"/>
      <c r="D144" s="34" t="inlineStr">
        <is>
          <t>ฉีด Insulin+glucose</t>
        </is>
      </c>
      <c r="E144" s="34" t="inlineStr">
        <is>
          <t>พ่น Salbutamol</t>
        </is>
      </c>
      <c r="F144" s="34" t="inlineStr">
        <is>
          <t>ฉีด Calcium gluconate</t>
        </is>
      </c>
      <c r="G144" s="34" t="inlineStr">
        <is>
          <t>ฟอกไต</t>
        </is>
      </c>
      <c r="H144" s="34" t="inlineStr">
        <is>
          <t>ไม่ต้องให้การรักษา</t>
        </is>
      </c>
      <c r="I144" s="33" t="inlineStr">
        <is>
          <t>5</t>
        </is>
      </c>
      <c r="J144" s="34"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44" s="35" t="n"/>
      <c r="L144" s="34" t="inlineStr">
        <is>
          <t>Hypertension</t>
        </is>
      </c>
      <c r="M144" s="35" t="inlineStr">
        <is>
          <t>Clinic</t>
        </is>
      </c>
      <c r="N144" s="34" t="inlineStr">
        <is>
          <t>ข้อ 58 (PLE_CC1_Key_Rx20_UBU.md)</t>
        </is>
      </c>
      <c r="O144" s="35" t="inlineStr">
        <is>
          <t>Mock</t>
        </is>
      </c>
      <c r="P144" s="35" t="inlineStr">
        <is>
          <t>Mock Pharmtutor 2024</t>
        </is>
      </c>
    </row>
    <row r="145" ht="409.6" customHeight="1" s="49">
      <c r="A145" s="33" t="n">
        <v>143</v>
      </c>
      <c r="B145" s="34" t="inlineStr">
        <is>
          <t>อีก 3 เดือนต่อมาผู้ป่วยเป็น Acute kidney injury on top CKD และมีภาวะ Hyperkalemia ยาใดที่เป็น Ion exchange ในการรักษาภาวะ hyperkalemia นี้</t>
        </is>
      </c>
      <c r="C145" s="35" t="n"/>
      <c r="D145" s="34" t="inlineStr">
        <is>
          <t>Calcium polystyrene sulfonate</t>
        </is>
      </c>
      <c r="E145" s="34" t="inlineStr">
        <is>
          <t>Insulin</t>
        </is>
      </c>
      <c r="F145" s="34" t="inlineStr">
        <is>
          <t>Calcium gluconate</t>
        </is>
      </c>
      <c r="G145" s="34" t="inlineStr">
        <is>
          <t>Beta 2 agonist</t>
        </is>
      </c>
      <c r="H145" s="34" t="inlineStr">
        <is>
          <t>Sodium bicarbonate</t>
        </is>
      </c>
      <c r="I145" s="33" t="inlineStr">
        <is>
          <t>1</t>
        </is>
      </c>
      <c r="J145" s="34"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45" s="35" t="n"/>
      <c r="L145" s="34" t="inlineStr">
        <is>
          <t>Hypertension</t>
        </is>
      </c>
      <c r="M145" s="35" t="inlineStr">
        <is>
          <t>Clinic</t>
        </is>
      </c>
      <c r="N145" s="34" t="inlineStr">
        <is>
          <t>ข้อ 61 (PLE_CC1_Key_Rx20_UBU.md)</t>
        </is>
      </c>
      <c r="O145" s="35" t="inlineStr">
        <is>
          <t>Mock</t>
        </is>
      </c>
      <c r="P145" s="35" t="inlineStr">
        <is>
          <t>Mock Pharmtutor 2024</t>
        </is>
      </c>
    </row>
    <row r="146" ht="409.6" customHeight="1" s="49">
      <c r="A146" s="33" t="n">
        <v>144</v>
      </c>
      <c r="B146" s="34" t="inlineStr">
        <is>
          <t>ปัจจัยใดทำให้ผู้ป่วยได้รับ Aspirin</t>
        </is>
      </c>
      <c r="C146" s="35" t="n"/>
      <c r="D146" s="34" t="inlineStr">
        <is>
          <t>อายุ</t>
        </is>
      </c>
      <c r="E146" s="34" t="inlineStr">
        <is>
          <t>อ้วน</t>
        </is>
      </c>
      <c r="F146" s="34" t="inlineStr">
        <is>
          <t>แอลกอฮอล์</t>
        </is>
      </c>
      <c r="G146" s="34" t="inlineStr">
        <is>
          <t>ไม่ออกกาลังกาย</t>
        </is>
      </c>
      <c r="H146" s="34" t="inlineStr">
        <is>
          <t>เพศ</t>
        </is>
      </c>
      <c r="I146" s="33" t="inlineStr">
        <is>
          <t>1</t>
        </is>
      </c>
      <c r="J146" s="34"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46" s="35" t="n"/>
      <c r="L146" s="34" t="inlineStr">
        <is>
          <t>Hypertension</t>
        </is>
      </c>
      <c r="M146" s="35" t="inlineStr">
        <is>
          <t>Clinic</t>
        </is>
      </c>
      <c r="N146" s="34" t="inlineStr">
        <is>
          <t>ข้อ 76 (PLE_CC1_Key_Rx20_UBU.md)</t>
        </is>
      </c>
      <c r="O146" s="35" t="inlineStr">
        <is>
          <t>Mock</t>
        </is>
      </c>
      <c r="P146" s="35" t="inlineStr">
        <is>
          <t>Mock Pharmtutor 2024</t>
        </is>
      </c>
    </row>
    <row r="147" ht="409.6" customHeight="1" s="49">
      <c r="A147" s="33" t="n">
        <v>145</v>
      </c>
      <c r="B147" s="34" t="inlineStr">
        <is>
          <t>ต่อมาผู้ป่วยเป็น CKD, eGFR 28 ml/min, BP 150/90 ควรให้ยาลดความดันใด</t>
        </is>
      </c>
      <c r="C147" s="35" t="n"/>
      <c r="D147" s="34" t="inlineStr">
        <is>
          <t>Losartan</t>
        </is>
      </c>
      <c r="E147" s="34" t="inlineStr">
        <is>
          <t>HCTZ</t>
        </is>
      </c>
      <c r="F147" s="34" t="inlineStr">
        <is>
          <t>Furosemide</t>
        </is>
      </c>
      <c r="G147" s="34" t="inlineStr">
        <is>
          <t>Hydralazine</t>
        </is>
      </c>
      <c r="H147" s="34" t="inlineStr">
        <is>
          <t>Carvedilol หรือมีประวัติแพ้ยา(angioedema) Furosemide Hydralazine Carvedilol ไมไ่ด้เป็นทางเลือกแรกในการเลือกใช้ , HCTZ ไม่มี eff ใน pt. CrCL &lt; 30 ml/min</t>
        </is>
      </c>
      <c r="I147" s="33" t="inlineStr">
        <is>
          <t>1</t>
        </is>
      </c>
      <c r="J147" s="34"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47" s="35" t="n"/>
      <c r="L147" s="34" t="inlineStr">
        <is>
          <t>Hypertension</t>
        </is>
      </c>
      <c r="M147" s="35" t="inlineStr">
        <is>
          <t>Clinic</t>
        </is>
      </c>
      <c r="N147" s="34" t="inlineStr">
        <is>
          <t>ข้อ 22 (PLE_CC1_Key_Rx20_UBU.md)</t>
        </is>
      </c>
      <c r="O147" s="35" t="inlineStr">
        <is>
          <t>Mock</t>
        </is>
      </c>
      <c r="P147" s="35" t="inlineStr">
        <is>
          <t>Mock Pharmtutor 2024</t>
        </is>
      </c>
    </row>
    <row r="148" ht="409.6" customHeight="1" s="49">
      <c r="A148" s="33" t="n">
        <v>146</v>
      </c>
      <c r="B148" s="34" t="inlineStr">
        <is>
          <t>โครงสร้าง Simvastatin โครงสร้างส่วนใด เปลี่ยนเป็น Active form แล้วจับกับ Target</t>
        </is>
      </c>
      <c r="C148" s="35" t="n"/>
      <c r="D148" s="34" t="inlineStr">
        <is>
          <t>Six-membered lactone ring</t>
        </is>
      </c>
      <c r="E148" s="34" t="inlineStr">
        <is>
          <t>naphthalenyl ester</t>
        </is>
      </c>
      <c r="F148" s="34" t="inlineStr">
        <is>
          <t>3’</t>
        </is>
      </c>
      <c r="G148" s="34" t="inlineStr">
        <is>
          <t>8’</t>
        </is>
      </c>
      <c r="H148" s="34" t="inlineStr">
        <is>
          <t>2’-methyl group</t>
        </is>
      </c>
      <c r="I148" s="33" t="inlineStr">
        <is>
          <t>1</t>
        </is>
      </c>
      <c r="J148" s="34"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48" s="35" t="n"/>
      <c r="L148" s="34" t="inlineStr">
        <is>
          <t>Hypertension</t>
        </is>
      </c>
      <c r="M148" s="35" t="inlineStr">
        <is>
          <t>Clinic</t>
        </is>
      </c>
      <c r="N148" s="34" t="inlineStr">
        <is>
          <t>ข้อ 95 (PLE_CC1_Key_Rx20_UBU.md)</t>
        </is>
      </c>
      <c r="O148" s="35" t="inlineStr">
        <is>
          <t>Mock</t>
        </is>
      </c>
      <c r="P148" s="35" t="inlineStr">
        <is>
          <t>Mock Pharmtutor 2024</t>
        </is>
      </c>
    </row>
    <row r="149" ht="409.6" customHeight="1" s="49">
      <c r="A149" s="33" t="n">
        <v>147</v>
      </c>
      <c r="B149" s="34" t="inlineStr">
        <is>
          <t>โครงสร้าง Amlodipine ข้อใดผิด</t>
        </is>
      </c>
      <c r="C149" s="35" t="n"/>
      <c r="D149" s="34" t="inlineStr">
        <is>
          <t>เป็น amphoteric compount</t>
        </is>
      </c>
      <c r="E149" s="34" t="inlineStr">
        <is>
          <t>มีตำแหน่งที่ 4 เป็น chiral carbon</t>
        </is>
      </c>
      <c r="F149" s="34" t="inlineStr">
        <is>
          <t>ทำเป็น sodium salt เพื่อความคงตัว</t>
        </is>
      </c>
      <c r="G149" s="34" t="inlineStr">
        <is>
          <t>เป็น 1,4-Dihydropyridine calcium channel blocker</t>
        </is>
      </c>
      <c r="H149" s="34" t="inlineStr">
        <is>
          <t>pKa เท่ากับ 7.4</t>
        </is>
      </c>
      <c r="I149" s="33" t="inlineStr">
        <is>
          <t>5</t>
        </is>
      </c>
      <c r="J149" s="34"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49" s="35" t="n"/>
      <c r="L149" s="34" t="inlineStr">
        <is>
          <t>Hypertension</t>
        </is>
      </c>
      <c r="M149" s="35" t="inlineStr">
        <is>
          <t>Clinic</t>
        </is>
      </c>
      <c r="N149" s="34" t="inlineStr">
        <is>
          <t>ข้อ 96 (PLE_CC1_Key_Rx20_UBU.md)</t>
        </is>
      </c>
      <c r="O149" s="35" t="inlineStr">
        <is>
          <t>Mock</t>
        </is>
      </c>
      <c r="P149" s="35" t="inlineStr">
        <is>
          <t>Mock Pharmtutor 2024</t>
        </is>
      </c>
    </row>
    <row r="150" ht="409.6" customHeight="1" s="49">
      <c r="A150" s="33" t="n">
        <v>148</v>
      </c>
      <c r="B150" s="34" t="inlineStr">
        <is>
          <t>ยาตัวใดต่อไปนี้มีฤทธิ์ยับยั้งผลของ Angiotensin II ได้ดีและตรงจุดที่สุดที่ระดับตัวรับ (Receptor)</t>
        </is>
      </c>
      <c r="C150" s="35" t="n"/>
      <c r="D150" s="34" t="inlineStr">
        <is>
          <t>Aliskiren</t>
        </is>
      </c>
      <c r="E150" s="34" t="inlineStr">
        <is>
          <t>Enalapril</t>
        </is>
      </c>
      <c r="F150" s="34" t="inlineStr">
        <is>
          <t>Losartan</t>
        </is>
      </c>
      <c r="G150" s="34" t="inlineStr">
        <is>
          <t>Carvedilol</t>
        </is>
      </c>
      <c r="H150" s="34" t="inlineStr">
        <is>
          <t>Furosemide</t>
        </is>
      </c>
      <c r="I150" s="33" t="inlineStr">
        <is>
          <t>3</t>
        </is>
      </c>
      <c r="J150" s="34"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50" s="35" t="n"/>
      <c r="L150" s="34" t="inlineStr">
        <is>
          <t>Hypertension</t>
        </is>
      </c>
      <c r="M150" s="35" t="inlineStr">
        <is>
          <t>Clinic</t>
        </is>
      </c>
      <c r="N150" s="34" t="inlineStr">
        <is>
          <t>PLE_CC1_2567_Key ข้อ 1</t>
        </is>
      </c>
      <c r="O150" s="35" t="inlineStr">
        <is>
          <t>Mock</t>
        </is>
      </c>
      <c r="P150" s="35" t="inlineStr">
        <is>
          <t>Mock Pharmtutor 2024</t>
        </is>
      </c>
    </row>
    <row r="151" ht="409.6" customHeight="1" s="49">
      <c r="A151" s="33" t="n"/>
      <c r="B151" s="34" t="n"/>
      <c r="C151" s="35" t="n"/>
      <c r="D151" s="34" t="n"/>
      <c r="E151" s="34" t="n"/>
      <c r="F151" s="34" t="n"/>
      <c r="G151" s="34" t="n"/>
      <c r="H151" s="34" t="n"/>
      <c r="I151" s="33" t="n"/>
      <c r="J151"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1" s="35" t="n"/>
      <c r="L151" s="34" t="n"/>
      <c r="M151" s="35" t="n"/>
      <c r="N151" s="34" t="n"/>
      <c r="O151" s="35" t="inlineStr">
        <is>
          <t>Mock</t>
        </is>
      </c>
      <c r="P151" s="35" t="inlineStr">
        <is>
          <t>Mock Pharmtutor 2024</t>
        </is>
      </c>
    </row>
    <row r="152" ht="409.6" customHeight="1" s="49">
      <c r="A152" s="33" t="n"/>
      <c r="B152" s="34" t="n"/>
      <c r="C152" s="35" t="n"/>
      <c r="D152" s="34" t="n"/>
      <c r="E152" s="34" t="n"/>
      <c r="F152" s="34" t="n"/>
      <c r="G152" s="34" t="n"/>
      <c r="H152" s="34" t="n"/>
      <c r="I152" s="33" t="n"/>
      <c r="J152"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2" s="35" t="n"/>
      <c r="L152" s="34" t="n"/>
      <c r="M152" s="35" t="n"/>
      <c r="N152" s="34" t="n"/>
      <c r="O152" s="35" t="inlineStr">
        <is>
          <t>Mock</t>
        </is>
      </c>
      <c r="P152" s="35" t="inlineStr">
        <is>
          <t>Mock Pharmtutor 2024</t>
        </is>
      </c>
    </row>
    <row r="153" ht="409.6" customHeight="1" s="49">
      <c r="A153" s="33" t="n"/>
      <c r="B153" s="34" t="n"/>
      <c r="C153" s="35" t="n"/>
      <c r="D153" s="34" t="n"/>
      <c r="E153" s="34" t="n"/>
      <c r="F153" s="34" t="n"/>
      <c r="G153" s="34" t="n"/>
      <c r="H153" s="34" t="n"/>
      <c r="I153" s="33" t="n"/>
      <c r="J153"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3" s="35" t="n"/>
      <c r="L153" s="34" t="n"/>
      <c r="M153" s="35" t="n"/>
      <c r="N153" s="34" t="n"/>
      <c r="O153" s="35" t="inlineStr">
        <is>
          <t>Mock</t>
        </is>
      </c>
      <c r="P153" s="35" t="inlineStr">
        <is>
          <t>Mock Pharmtutor 2024</t>
        </is>
      </c>
    </row>
    <row r="154" ht="409.6" customHeight="1" s="49">
      <c r="A154" s="33" t="n"/>
      <c r="B154" s="34" t="n"/>
      <c r="C154" s="35" t="n"/>
      <c r="D154" s="34" t="n"/>
      <c r="E154" s="34" t="n"/>
      <c r="F154" s="34" t="n"/>
      <c r="G154" s="34" t="n"/>
      <c r="H154" s="34" t="n"/>
      <c r="I154" s="33" t="n"/>
      <c r="J154"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4" s="35" t="n"/>
      <c r="L154" s="34" t="n"/>
      <c r="M154" s="35" t="n"/>
      <c r="N154" s="34" t="n"/>
      <c r="O154" s="35" t="inlineStr">
        <is>
          <t>Mock</t>
        </is>
      </c>
      <c r="P154" s="35" t="inlineStr">
        <is>
          <t>Mock Pharmtutor 2024</t>
        </is>
      </c>
    </row>
    <row r="155" ht="409.6" customHeight="1" s="49">
      <c r="A155" s="33" t="n"/>
      <c r="B155" s="34" t="n"/>
      <c r="C155" s="35" t="n"/>
      <c r="D155" s="34" t="n"/>
      <c r="E155" s="34" t="n"/>
      <c r="F155" s="34" t="n"/>
      <c r="G155" s="34" t="n"/>
      <c r="H155" s="34" t="n"/>
      <c r="I155" s="33" t="n"/>
      <c r="J155"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5" s="35" t="n"/>
      <c r="L155" s="34" t="n"/>
      <c r="M155" s="35" t="n"/>
      <c r="N155" s="34" t="n"/>
      <c r="O155" s="35" t="inlineStr">
        <is>
          <t>Mock</t>
        </is>
      </c>
      <c r="P155" s="35" t="inlineStr">
        <is>
          <t>Mock Pharmtutor 2024</t>
        </is>
      </c>
    </row>
    <row r="156" ht="409.6" customHeight="1" s="49">
      <c r="A156" s="33" t="n"/>
      <c r="B156" s="34" t="n"/>
      <c r="C156" s="35" t="n"/>
      <c r="D156" s="34" t="n"/>
      <c r="E156" s="34" t="n"/>
      <c r="F156" s="34" t="n"/>
      <c r="G156" s="34" t="n"/>
      <c r="H156" s="34" t="n"/>
      <c r="I156" s="33" t="n"/>
      <c r="J156"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6" s="35" t="n"/>
      <c r="L156" s="34" t="n"/>
      <c r="M156" s="35" t="n"/>
      <c r="N156" s="34" t="n"/>
      <c r="O156" s="35" t="inlineStr">
        <is>
          <t>Mock</t>
        </is>
      </c>
      <c r="P156" s="35" t="inlineStr">
        <is>
          <t>Mock Pharmtutor 2024</t>
        </is>
      </c>
    </row>
    <row r="157" ht="409.6" customHeight="1" s="49">
      <c r="A157" s="33" t="n"/>
      <c r="B157" s="34" t="n"/>
      <c r="C157" s="35" t="n"/>
      <c r="D157" s="34" t="n"/>
      <c r="E157" s="34" t="n"/>
      <c r="F157" s="34" t="n"/>
      <c r="G157" s="34" t="n"/>
      <c r="H157" s="34" t="n"/>
      <c r="I157" s="33" t="n"/>
      <c r="J157"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7" s="35" t="n"/>
      <c r="L157" s="34" t="n"/>
      <c r="M157" s="35" t="n"/>
      <c r="N157" s="34" t="n"/>
      <c r="O157" s="35" t="inlineStr">
        <is>
          <t>Mock</t>
        </is>
      </c>
      <c r="P157" s="35" t="inlineStr">
        <is>
          <t>Mock Pharmtutor 2024</t>
        </is>
      </c>
    </row>
    <row r="158" ht="409.6" customHeight="1" s="49">
      <c r="A158" s="33" t="n"/>
      <c r="B158" s="34" t="n"/>
      <c r="C158" s="35" t="n"/>
      <c r="D158" s="34" t="n"/>
      <c r="E158" s="34" t="n"/>
      <c r="F158" s="34" t="n"/>
      <c r="G158" s="34" t="n"/>
      <c r="H158" s="34" t="n"/>
      <c r="I158" s="33" t="n"/>
      <c r="J158"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8" s="35" t="n"/>
      <c r="L158" s="34" t="n"/>
      <c r="M158" s="35" t="n"/>
      <c r="N158" s="34" t="n"/>
      <c r="O158" s="35" t="inlineStr">
        <is>
          <t>Mock</t>
        </is>
      </c>
      <c r="P158" s="35" t="inlineStr">
        <is>
          <t>Mock Pharmtutor 2024</t>
        </is>
      </c>
    </row>
    <row r="159" ht="409.6" customHeight="1" s="49">
      <c r="A159" s="33" t="n"/>
      <c r="B159" s="34" t="n"/>
      <c r="C159" s="35" t="n"/>
      <c r="D159" s="34" t="n"/>
      <c r="E159" s="34" t="n"/>
      <c r="F159" s="34" t="n"/>
      <c r="G159" s="34" t="n"/>
      <c r="H159" s="34" t="n"/>
      <c r="I159" s="33" t="n"/>
      <c r="J159"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9" s="35" t="n"/>
      <c r="L159" s="34" t="n"/>
      <c r="M159" s="35" t="n"/>
      <c r="N159" s="34" t="n"/>
      <c r="O159" s="35" t="inlineStr">
        <is>
          <t>Mock</t>
        </is>
      </c>
      <c r="P159" s="35" t="inlineStr">
        <is>
          <t>Mock Pharmtutor 2024</t>
        </is>
      </c>
    </row>
    <row r="160" ht="409.6" customHeight="1" s="49">
      <c r="A160" s="33" t="n"/>
      <c r="B160" s="34" t="n"/>
      <c r="C160" s="35" t="n"/>
      <c r="D160" s="34" t="n"/>
      <c r="E160" s="34" t="n"/>
      <c r="F160" s="34" t="n"/>
      <c r="G160" s="34" t="n"/>
      <c r="H160" s="34" t="n"/>
      <c r="I160" s="33" t="n"/>
      <c r="J160"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0" s="35" t="n"/>
      <c r="L160" s="34" t="n"/>
      <c r="M160" s="35" t="n"/>
      <c r="N160" s="34" t="n"/>
      <c r="O160" s="35" t="inlineStr">
        <is>
          <t>Mock</t>
        </is>
      </c>
      <c r="P160" s="35" t="inlineStr">
        <is>
          <t>Mock Pharmtutor 2024</t>
        </is>
      </c>
    </row>
    <row r="161" ht="409.6" customHeight="1" s="49">
      <c r="A161" s="33" t="n"/>
      <c r="B161" s="34" t="n"/>
      <c r="C161" s="35" t="n"/>
      <c r="D161" s="34" t="n"/>
      <c r="E161" s="34" t="n"/>
      <c r="F161" s="34" t="n"/>
      <c r="G161" s="34" t="n"/>
      <c r="H161" s="34" t="n"/>
      <c r="I161" s="33" t="n"/>
      <c r="J161"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1" s="35" t="n"/>
      <c r="L161" s="34" t="n"/>
      <c r="M161" s="35" t="n"/>
      <c r="N161" s="34" t="n"/>
      <c r="O161" s="35" t="inlineStr">
        <is>
          <t>Mock</t>
        </is>
      </c>
      <c r="P161" s="35" t="inlineStr">
        <is>
          <t>Mock Pharmtutor 2024</t>
        </is>
      </c>
    </row>
    <row r="162" ht="409.6" customHeight="1" s="49">
      <c r="A162" s="33" t="n"/>
      <c r="B162" s="34" t="n"/>
      <c r="C162" s="35" t="n"/>
      <c r="D162" s="34" t="n"/>
      <c r="E162" s="34" t="n"/>
      <c r="F162" s="34" t="n"/>
      <c r="G162" s="34" t="n"/>
      <c r="H162" s="34" t="n"/>
      <c r="I162" s="33" t="n"/>
      <c r="J162"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2" s="35" t="n"/>
      <c r="L162" s="34" t="n"/>
      <c r="M162" s="35" t="n"/>
      <c r="N162" s="34" t="n"/>
      <c r="O162" s="35" t="inlineStr">
        <is>
          <t>Mock</t>
        </is>
      </c>
      <c r="P162" s="35" t="inlineStr">
        <is>
          <t>Mock กฎหมาย CU71</t>
        </is>
      </c>
    </row>
    <row r="163" ht="409.6" customHeight="1" s="49">
      <c r="A163" s="33" t="n"/>
      <c r="B163" s="34" t="n"/>
      <c r="C163" s="35" t="n"/>
      <c r="D163" s="34" t="n"/>
      <c r="E163" s="34" t="n"/>
      <c r="F163" s="34" t="n"/>
      <c r="G163" s="34" t="n"/>
      <c r="H163" s="34" t="n"/>
      <c r="I163" s="33" t="n"/>
      <c r="J163"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3" s="35" t="n"/>
      <c r="L163" s="34" t="n"/>
      <c r="M163" s="35" t="n"/>
      <c r="N163" s="34" t="n"/>
      <c r="O163" s="35" t="inlineStr">
        <is>
          <t>ข้อสอบจริง</t>
        </is>
      </c>
      <c r="P163" s="35" t="inlineStr">
        <is>
          <t>ปี 2556</t>
        </is>
      </c>
    </row>
    <row r="164" ht="409.6" customHeight="1" s="49">
      <c r="A164" s="33" t="n"/>
      <c r="B164" s="34" t="n"/>
      <c r="C164" s="35" t="n"/>
      <c r="D164" s="34" t="n"/>
      <c r="E164" s="34" t="n"/>
      <c r="F164" s="34" t="n"/>
      <c r="G164" s="34" t="n"/>
      <c r="H164" s="34" t="n"/>
      <c r="I164" s="33" t="n"/>
      <c r="J164"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4" s="35" t="n"/>
      <c r="L164" s="34" t="n"/>
      <c r="M164" s="35" t="n"/>
      <c r="N164" s="34" t="n"/>
      <c r="O164" s="35" t="inlineStr">
        <is>
          <t>ข้อสอบจริง</t>
        </is>
      </c>
      <c r="P164" s="35" t="inlineStr">
        <is>
          <t>ปี 2556</t>
        </is>
      </c>
    </row>
    <row r="165" ht="409.6" customHeight="1" s="49">
      <c r="A165" s="33" t="n"/>
      <c r="B165" s="34" t="n"/>
      <c r="C165" s="35" t="n"/>
      <c r="D165" s="34" t="n"/>
      <c r="E165" s="34" t="n"/>
      <c r="F165" s="34" t="n"/>
      <c r="G165" s="34" t="n"/>
      <c r="H165" s="34" t="n"/>
      <c r="I165" s="33" t="n"/>
      <c r="J165"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5" s="35" t="n"/>
      <c r="L165" s="34" t="n"/>
      <c r="M165" s="35" t="n"/>
      <c r="N165" s="34" t="n"/>
      <c r="O165" s="35" t="inlineStr">
        <is>
          <t>ข้อสอบจริง</t>
        </is>
      </c>
      <c r="P165" s="35" t="inlineStr">
        <is>
          <t>ปี 2556</t>
        </is>
      </c>
    </row>
    <row r="166" ht="409.6" customHeight="1" s="49">
      <c r="A166" s="33" t="n"/>
      <c r="B166" s="34" t="n"/>
      <c r="C166" s="35" t="n"/>
      <c r="D166" s="34" t="n"/>
      <c r="E166" s="34" t="n"/>
      <c r="F166" s="34" t="n"/>
      <c r="G166" s="34" t="n"/>
      <c r="H166" s="34" t="n"/>
      <c r="I166" s="33" t="n"/>
      <c r="J166"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6" s="35" t="n"/>
      <c r="L166" s="34" t="n"/>
      <c r="M166" s="35" t="n"/>
      <c r="N166" s="34" t="n"/>
      <c r="O166" s="35" t="inlineStr">
        <is>
          <t>ข้อสอบจริง</t>
        </is>
      </c>
      <c r="P166" s="35" t="inlineStr">
        <is>
          <t>ปี 2556</t>
        </is>
      </c>
    </row>
    <row r="167" ht="409.6" customHeight="1" s="49">
      <c r="A167" s="33" t="n"/>
      <c r="B167" s="34" t="n"/>
      <c r="C167" s="35" t="n"/>
      <c r="D167" s="34" t="n"/>
      <c r="E167" s="34" t="n"/>
      <c r="F167" s="34" t="n"/>
      <c r="G167" s="34" t="n"/>
      <c r="H167" s="34" t="n"/>
      <c r="I167" s="33" t="n"/>
      <c r="J167"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7" s="35" t="n"/>
      <c r="L167" s="34" t="n"/>
      <c r="M167" s="35" t="n"/>
      <c r="N167" s="34" t="n"/>
      <c r="O167" s="35" t="inlineStr">
        <is>
          <t>ข้อสอบจริง</t>
        </is>
      </c>
      <c r="P167" s="35" t="inlineStr">
        <is>
          <t>ปี 2555</t>
        </is>
      </c>
    </row>
    <row r="168" ht="409.6" customHeight="1" s="49">
      <c r="A168" s="33" t="n"/>
      <c r="B168" s="34" t="n"/>
      <c r="C168" s="35" t="n"/>
      <c r="D168" s="34" t="n"/>
      <c r="E168" s="34" t="n"/>
      <c r="F168" s="34" t="n"/>
      <c r="G168" s="34" t="n"/>
      <c r="H168" s="34" t="n"/>
      <c r="I168" s="33" t="n"/>
      <c r="J168"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8" s="35" t="n"/>
      <c r="L168" s="34" t="n"/>
      <c r="M168" s="35" t="n"/>
      <c r="N168" s="34" t="n"/>
      <c r="O168" s="35" t="inlineStr">
        <is>
          <t>ข้อสอบจริง</t>
        </is>
      </c>
      <c r="P168" s="35" t="inlineStr">
        <is>
          <t>ปี 2555</t>
        </is>
      </c>
    </row>
    <row r="169" ht="409.6" customHeight="1" s="49">
      <c r="A169" s="33" t="n"/>
      <c r="B169" s="34" t="n"/>
      <c r="C169" s="35" t="n"/>
      <c r="D169" s="34" t="n"/>
      <c r="E169" s="34" t="n"/>
      <c r="F169" s="34" t="n"/>
      <c r="G169" s="34" t="n"/>
      <c r="H169" s="34" t="n"/>
      <c r="I169" s="33" t="n"/>
      <c r="J169"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9" s="35" t="n"/>
      <c r="L169" s="34" t="n"/>
      <c r="M169" s="35" t="n"/>
      <c r="N169" s="34" t="n"/>
      <c r="O169" s="35" t="inlineStr">
        <is>
          <t>ข้อสอบจริง</t>
        </is>
      </c>
      <c r="P169" s="35" t="inlineStr">
        <is>
          <t>ปี 2555</t>
        </is>
      </c>
    </row>
    <row r="170" ht="409.6" customHeight="1" s="49">
      <c r="A170" s="33" t="n"/>
      <c r="B170" s="34" t="n"/>
      <c r="C170" s="35" t="n"/>
      <c r="D170" s="34" t="n"/>
      <c r="E170" s="34" t="n"/>
      <c r="F170" s="34" t="n"/>
      <c r="G170" s="34" t="n"/>
      <c r="H170" s="34" t="n"/>
      <c r="I170" s="33" t="n"/>
      <c r="J170"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0" s="35" t="n"/>
      <c r="L170" s="34" t="n"/>
      <c r="M170" s="35" t="n"/>
      <c r="N170" s="34" t="n"/>
      <c r="O170" s="35" t="inlineStr">
        <is>
          <t>ข้อสอบจริง</t>
        </is>
      </c>
      <c r="P170" s="35" t="inlineStr">
        <is>
          <t>ปี 2555</t>
        </is>
      </c>
    </row>
    <row r="171" ht="409.6" customHeight="1" s="49">
      <c r="A171" s="33" t="n"/>
      <c r="B171" s="34" t="n"/>
      <c r="C171" s="35" t="n"/>
      <c r="D171" s="34" t="n"/>
      <c r="E171" s="34" t="n"/>
      <c r="F171" s="34" t="n"/>
      <c r="G171" s="34" t="n"/>
      <c r="H171" s="34" t="n"/>
      <c r="I171" s="33" t="n"/>
      <c r="J171"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1" s="35" t="n"/>
      <c r="L171" s="34" t="n"/>
      <c r="M171" s="35" t="n"/>
      <c r="N171" s="34" t="n"/>
      <c r="O171" s="35" t="inlineStr">
        <is>
          <t>ข้อสอบจริง</t>
        </is>
      </c>
      <c r="P171" s="35" t="inlineStr">
        <is>
          <t>ปี 2555</t>
        </is>
      </c>
    </row>
    <row r="172" ht="409.6" customHeight="1" s="49">
      <c r="A172" s="33" t="n"/>
      <c r="B172" s="34" t="n"/>
      <c r="C172" s="35" t="n"/>
      <c r="D172" s="34" t="n"/>
      <c r="E172" s="34" t="n"/>
      <c r="F172" s="34" t="n"/>
      <c r="G172" s="34" t="n"/>
      <c r="H172" s="34" t="n"/>
      <c r="I172" s="33" t="n"/>
      <c r="J172"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2" s="35" t="n"/>
      <c r="L172" s="34" t="n"/>
      <c r="M172" s="35" t="n"/>
      <c r="N172" s="34" t="n"/>
      <c r="O172" s="35" t="inlineStr">
        <is>
          <t>ข้อสอบจริง</t>
        </is>
      </c>
      <c r="P172" s="35" t="inlineStr">
        <is>
          <t>ปี 2554</t>
        </is>
      </c>
    </row>
    <row r="173" ht="409.6" customHeight="1" s="49">
      <c r="A173" s="33" t="n"/>
      <c r="B173" s="34" t="n"/>
      <c r="C173" s="35" t="n"/>
      <c r="D173" s="34" t="n"/>
      <c r="E173" s="34" t="n"/>
      <c r="F173" s="34" t="n"/>
      <c r="G173" s="34" t="n"/>
      <c r="H173" s="34" t="n"/>
      <c r="I173" s="33" t="n"/>
      <c r="J173"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3" s="35" t="n"/>
      <c r="L173" s="34" t="n"/>
      <c r="M173" s="35" t="n"/>
      <c r="N173" s="34" t="n"/>
      <c r="O173" s="35" t="inlineStr">
        <is>
          <t>ข้อสอบจริง</t>
        </is>
      </c>
      <c r="P173" s="35" t="inlineStr">
        <is>
          <t>ปี 2554</t>
        </is>
      </c>
    </row>
    <row r="174" ht="409.6" customHeight="1" s="49">
      <c r="A174" s="33" t="n"/>
      <c r="B174" s="34" t="n"/>
      <c r="C174" s="35" t="n"/>
      <c r="D174" s="34" t="n"/>
      <c r="E174" s="34" t="n"/>
      <c r="F174" s="34" t="n"/>
      <c r="G174" s="34" t="n"/>
      <c r="H174" s="34" t="n"/>
      <c r="I174" s="33" t="n"/>
      <c r="J174"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4" s="35" t="n"/>
      <c r="L174" s="34" t="n"/>
      <c r="M174" s="35" t="n"/>
      <c r="N174" s="34" t="n"/>
      <c r="O174" s="35" t="inlineStr">
        <is>
          <t>ข้อสอบจริง</t>
        </is>
      </c>
      <c r="P174" s="35" t="inlineStr">
        <is>
          <t>ปี 2554</t>
        </is>
      </c>
    </row>
    <row r="175" ht="409.6" customHeight="1" s="49">
      <c r="A175" s="33" t="n"/>
      <c r="B175" s="34" t="n"/>
      <c r="C175" s="35" t="n"/>
      <c r="D175" s="34" t="n"/>
      <c r="E175" s="34" t="n"/>
      <c r="F175" s="34" t="n"/>
      <c r="G175" s="34" t="n"/>
      <c r="H175" s="34" t="n"/>
      <c r="I175" s="33" t="n"/>
      <c r="J175"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5" s="35" t="n"/>
      <c r="L175" s="34" t="n"/>
      <c r="M175" s="35" t="n"/>
      <c r="N175" s="34" t="n"/>
      <c r="O175" s="35" t="inlineStr">
        <is>
          <t>ข้อสอบจริง</t>
        </is>
      </c>
      <c r="P175" s="35" t="inlineStr">
        <is>
          <t>ปี 2554</t>
        </is>
      </c>
    </row>
    <row r="176" ht="409.6" customHeight="1" s="49">
      <c r="A176" s="33" t="n"/>
      <c r="B176" s="34" t="n"/>
      <c r="C176" s="35" t="n"/>
      <c r="D176" s="34" t="n"/>
      <c r="E176" s="34" t="n"/>
      <c r="F176" s="34" t="n"/>
      <c r="G176" s="34" t="n"/>
      <c r="H176" s="34" t="n"/>
      <c r="I176" s="33" t="n"/>
      <c r="J176"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6" s="35" t="n"/>
      <c r="L176" s="34" t="n"/>
      <c r="M176" s="35" t="n"/>
      <c r="N176" s="34" t="n"/>
      <c r="O176" s="35" t="inlineStr">
        <is>
          <t>ข้อสอบจริง</t>
        </is>
      </c>
      <c r="P176" s="35" t="inlineStr">
        <is>
          <t>ปี 2554</t>
        </is>
      </c>
    </row>
    <row r="177" ht="409.6" customHeight="1" s="49">
      <c r="A177" s="33" t="n"/>
      <c r="B177" s="34" t="n"/>
      <c r="C177" s="35" t="n"/>
      <c r="D177" s="34" t="n"/>
      <c r="E177" s="34" t="n"/>
      <c r="F177" s="34" t="n"/>
      <c r="G177" s="34" t="n"/>
      <c r="H177" s="34" t="n"/>
      <c r="I177" s="33" t="n"/>
      <c r="J177"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7" s="35" t="n"/>
      <c r="L177" s="34" t="n"/>
      <c r="M177" s="35" t="n"/>
      <c r="N177" s="34" t="n"/>
      <c r="O177" s="35" t="inlineStr">
        <is>
          <t>ข้อสอบจริง</t>
        </is>
      </c>
      <c r="P177" s="35" t="inlineStr">
        <is>
          <t>ปี 2554</t>
        </is>
      </c>
    </row>
    <row r="178" ht="409.6" customHeight="1" s="49">
      <c r="A178" s="33" t="n"/>
      <c r="B178" s="34" t="n"/>
      <c r="C178" s="35" t="n"/>
      <c r="D178" s="34" t="n"/>
      <c r="E178" s="34" t="n"/>
      <c r="F178" s="34" t="n"/>
      <c r="G178" s="34" t="n"/>
      <c r="H178" s="34" t="n"/>
      <c r="I178" s="33" t="n"/>
      <c r="J178"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8" s="35" t="n"/>
      <c r="L178" s="34" t="n"/>
      <c r="M178" s="35" t="n"/>
      <c r="N178" s="34" t="n"/>
      <c r="O178" s="35" t="inlineStr">
        <is>
          <t>ข้อสอบจริง</t>
        </is>
      </c>
      <c r="P178" s="35" t="inlineStr">
        <is>
          <t>ปี 2554</t>
        </is>
      </c>
    </row>
    <row r="179" ht="409.6" customHeight="1" s="49">
      <c r="A179" s="33" t="n"/>
      <c r="B179" s="34" t="n"/>
      <c r="C179" s="35" t="n"/>
      <c r="D179" s="34" t="n"/>
      <c r="E179" s="34" t="n"/>
      <c r="F179" s="34" t="n"/>
      <c r="G179" s="34" t="n"/>
      <c r="H179" s="34" t="n"/>
      <c r="I179" s="33" t="n"/>
      <c r="J179"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9" s="35" t="n"/>
      <c r="L179" s="34" t="n"/>
      <c r="M179" s="35" t="n"/>
      <c r="N179" s="34" t="n"/>
      <c r="O179" s="35" t="inlineStr">
        <is>
          <t>ข้อสอบจริง</t>
        </is>
      </c>
      <c r="P179" s="35" t="inlineStr">
        <is>
          <t>ปี 2554</t>
        </is>
      </c>
    </row>
    <row r="180" ht="409.6" customHeight="1" s="49">
      <c r="A180" s="33" t="n"/>
      <c r="B180" s="34" t="n"/>
      <c r="C180" s="35" t="n"/>
      <c r="D180" s="34" t="n"/>
      <c r="E180" s="34" t="n"/>
      <c r="F180" s="34" t="n"/>
      <c r="G180" s="34" t="n"/>
      <c r="H180" s="34" t="n"/>
      <c r="I180" s="33" t="n"/>
      <c r="J180"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0" s="35" t="n"/>
      <c r="L180" s="34" t="n"/>
      <c r="M180" s="35" t="n"/>
      <c r="N180" s="34" t="n"/>
      <c r="O180" s="35" t="inlineStr">
        <is>
          <t>ข้อสอบจริง</t>
        </is>
      </c>
      <c r="P180" s="35" t="inlineStr">
        <is>
          <t>ปี 2554</t>
        </is>
      </c>
    </row>
    <row r="181" ht="409.6" customHeight="1" s="49">
      <c r="A181" s="33" t="n"/>
      <c r="B181" s="34" t="n"/>
      <c r="C181" s="35" t="n"/>
      <c r="D181" s="34" t="n"/>
      <c r="E181" s="34" t="n"/>
      <c r="F181" s="34" t="n"/>
      <c r="G181" s="34" t="n"/>
      <c r="H181" s="34" t="n"/>
      <c r="I181" s="33" t="n"/>
      <c r="J181"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1" s="35" t="n"/>
      <c r="L181" s="34" t="n"/>
      <c r="M181" s="35" t="n"/>
      <c r="N181" s="34" t="n"/>
      <c r="O181" s="35" t="inlineStr">
        <is>
          <t>ข้อสอบจริง</t>
        </is>
      </c>
      <c r="P181" s="35" t="inlineStr">
        <is>
          <t>ปี 2547</t>
        </is>
      </c>
    </row>
    <row r="182" ht="409.6" customHeight="1" s="49">
      <c r="A182" s="33" t="n"/>
      <c r="B182" s="34" t="n"/>
      <c r="C182" s="35" t="n"/>
      <c r="D182" s="34" t="n"/>
      <c r="E182" s="34" t="n"/>
      <c r="F182" s="34" t="n"/>
      <c r="G182" s="34" t="n"/>
      <c r="H182" s="34" t="n"/>
      <c r="I182" s="33" t="n"/>
      <c r="J182"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2" s="35" t="n"/>
      <c r="L182" s="34" t="n"/>
      <c r="M182" s="35" t="n"/>
      <c r="N182" s="34" t="n"/>
      <c r="O182" s="35" t="inlineStr">
        <is>
          <t>ข้อสอบจริง</t>
        </is>
      </c>
      <c r="P182" s="35" t="inlineStr">
        <is>
          <t>ปี 2547</t>
        </is>
      </c>
    </row>
    <row r="183" ht="409.6" customHeight="1" s="49">
      <c r="A183" s="33" t="n"/>
      <c r="B183" s="34" t="n"/>
      <c r="C183" s="35" t="n"/>
      <c r="D183" s="34" t="n"/>
      <c r="E183" s="34" t="n"/>
      <c r="F183" s="34" t="n"/>
      <c r="G183" s="34" t="n"/>
      <c r="H183" s="34" t="n"/>
      <c r="I183" s="33" t="n"/>
      <c r="J183"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3" s="35" t="n"/>
      <c r="L183" s="34" t="n"/>
      <c r="M183" s="35" t="n"/>
      <c r="N183" s="34" t="n"/>
      <c r="O183" s="35" t="inlineStr">
        <is>
          <t>ข้อสอบจริง</t>
        </is>
      </c>
      <c r="P183" s="35" t="inlineStr">
        <is>
          <t>ปี 2533</t>
        </is>
      </c>
    </row>
    <row r="184" ht="409.6" customHeight="1" s="49">
      <c r="A184" s="33" t="n"/>
      <c r="B184" s="34" t="n"/>
      <c r="C184" s="35" t="n"/>
      <c r="D184" s="34" t="n"/>
      <c r="E184" s="34" t="n"/>
      <c r="F184" s="34" t="n"/>
      <c r="G184" s="34" t="n"/>
      <c r="H184" s="34" t="n"/>
      <c r="I184" s="33" t="n"/>
      <c r="J184"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4" s="35" t="n"/>
      <c r="L184" s="34" t="n"/>
      <c r="M184" s="35" t="n"/>
      <c r="N184" s="34" t="n"/>
      <c r="O184" s="35" t="inlineStr">
        <is>
          <t>ข้อสอบจริง</t>
        </is>
      </c>
      <c r="P184" s="35" t="inlineStr">
        <is>
          <t>ปี 2533</t>
        </is>
      </c>
    </row>
    <row r="185" ht="409.6" customHeight="1" s="49">
      <c r="A185" s="33" t="n"/>
      <c r="B185" s="34" t="n"/>
      <c r="C185" s="35" t="n"/>
      <c r="D185" s="34" t="n"/>
      <c r="E185" s="34" t="n"/>
      <c r="F185" s="34" t="n"/>
      <c r="G185" s="34" t="n"/>
      <c r="H185" s="34" t="n"/>
      <c r="I185" s="33" t="n"/>
      <c r="J185"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5" s="35" t="n"/>
      <c r="L185" s="34" t="n"/>
      <c r="M185" s="35" t="n"/>
      <c r="N185" s="34" t="n"/>
      <c r="O185" s="35" t="inlineStr">
        <is>
          <t>Mock</t>
        </is>
      </c>
      <c r="P185" s="35" t="inlineStr">
        <is>
          <t>Mock สภาเภสัชฯ Practice</t>
        </is>
      </c>
    </row>
    <row r="186" ht="409.6" customHeight="1" s="49">
      <c r="A186" s="33" t="n"/>
      <c r="B186" s="34" t="n"/>
      <c r="C186" s="35" t="n"/>
      <c r="D186" s="34" t="n"/>
      <c r="E186" s="34" t="n"/>
      <c r="F186" s="34" t="n"/>
      <c r="G186" s="34" t="n"/>
      <c r="H186" s="34" t="n"/>
      <c r="I186" s="33" t="n"/>
      <c r="J186"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6" s="35" t="n"/>
      <c r="L186" s="34" t="n"/>
      <c r="M186" s="35" t="n"/>
      <c r="N186" s="34" t="n"/>
      <c r="O186" s="35" t="inlineStr">
        <is>
          <t>Mock</t>
        </is>
      </c>
      <c r="P186" s="35" t="inlineStr">
        <is>
          <t>Mock สภาเภสัชฯ Practice</t>
        </is>
      </c>
    </row>
    <row r="187" ht="409.6" customHeight="1" s="49">
      <c r="A187" s="33" t="n"/>
      <c r="B187" s="34" t="n"/>
      <c r="C187" s="35" t="n"/>
      <c r="D187" s="34" t="n"/>
      <c r="E187" s="34" t="n"/>
      <c r="F187" s="34" t="n"/>
      <c r="G187" s="34" t="n"/>
      <c r="H187" s="34" t="n"/>
      <c r="I187" s="33" t="n"/>
      <c r="J187"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7" s="35" t="n"/>
      <c r="L187" s="34" t="n"/>
      <c r="M187" s="35" t="n"/>
      <c r="N187" s="34" t="n"/>
      <c r="O187" s="35" t="inlineStr">
        <is>
          <t>Mock</t>
        </is>
      </c>
      <c r="P187" s="35" t="inlineStr">
        <is>
          <t>Mock สภาเภสัชฯ Practice</t>
        </is>
      </c>
    </row>
    <row r="188" ht="409.6" customHeight="1" s="49">
      <c r="A188" s="33" t="n"/>
      <c r="B188" s="34" t="n"/>
      <c r="C188" s="35" t="n"/>
      <c r="D188" s="34" t="n"/>
      <c r="E188" s="34" t="n"/>
      <c r="F188" s="34" t="n"/>
      <c r="G188" s="34" t="n"/>
      <c r="H188" s="34" t="n"/>
      <c r="I188" s="33" t="n"/>
      <c r="J188"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8" s="35" t="n"/>
      <c r="L188" s="34" t="n"/>
      <c r="M188" s="35" t="n"/>
      <c r="N188" s="34" t="n"/>
      <c r="O188" s="35" t="inlineStr">
        <is>
          <t>Mock</t>
        </is>
      </c>
      <c r="P188" s="35" t="inlineStr">
        <is>
          <t>Mock สภาเภสัชฯ Practice</t>
        </is>
      </c>
    </row>
    <row r="189" ht="409.6" customHeight="1" s="49">
      <c r="A189" s="33" t="n"/>
      <c r="B189" s="34" t="n"/>
      <c r="C189" s="35" t="n"/>
      <c r="D189" s="34" t="n"/>
      <c r="E189" s="34" t="n"/>
      <c r="F189" s="34" t="n"/>
      <c r="G189" s="34" t="n"/>
      <c r="H189" s="34" t="n"/>
      <c r="I189" s="33" t="n"/>
      <c r="J189"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9" s="35" t="n"/>
      <c r="L189" s="34" t="n"/>
      <c r="M189" s="35" t="n"/>
      <c r="N189" s="34" t="n"/>
      <c r="O189" s="35" t="inlineStr">
        <is>
          <t>Mock</t>
        </is>
      </c>
      <c r="P189" s="35" t="inlineStr">
        <is>
          <t>Mock สภาเภสัชฯ Practice</t>
        </is>
      </c>
    </row>
    <row r="190" ht="409.6" customHeight="1" s="49">
      <c r="A190" s="33" t="n"/>
      <c r="B190" s="34" t="n"/>
      <c r="C190" s="35" t="n"/>
      <c r="D190" s="34" t="n"/>
      <c r="E190" s="34" t="n"/>
      <c r="F190" s="34" t="n"/>
      <c r="G190" s="34" t="n"/>
      <c r="H190" s="34" t="n"/>
      <c r="I190" s="33" t="n"/>
      <c r="J190"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0" s="35" t="n"/>
      <c r="L190" s="34" t="n"/>
      <c r="M190" s="35" t="n"/>
      <c r="N190" s="34" t="n"/>
      <c r="O190" s="35" t="inlineStr">
        <is>
          <t>Mock</t>
        </is>
      </c>
      <c r="P190" s="35" t="inlineStr">
        <is>
          <t>Mock สภาเภสัชฯ Practice</t>
        </is>
      </c>
    </row>
    <row r="191" ht="409.6" customHeight="1" s="49">
      <c r="A191" s="33" t="n"/>
      <c r="B191" s="34" t="n"/>
      <c r="C191" s="35" t="n"/>
      <c r="D191" s="34" t="n"/>
      <c r="E191" s="34" t="n"/>
      <c r="F191" s="34" t="n"/>
      <c r="G191" s="34" t="n"/>
      <c r="H191" s="34" t="n"/>
      <c r="I191" s="33" t="n"/>
      <c r="J191"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1" s="35" t="n"/>
      <c r="L191" s="34" t="n"/>
      <c r="M191" s="35" t="n"/>
      <c r="N191" s="34" t="n"/>
      <c r="O191" s="35" t="inlineStr">
        <is>
          <t>Mock</t>
        </is>
      </c>
      <c r="P191" s="35" t="inlineStr">
        <is>
          <t>Mock สภาเภสัชฯ Practice</t>
        </is>
      </c>
    </row>
    <row r="192" ht="409.6" customHeight="1" s="49">
      <c r="A192" s="33" t="n"/>
      <c r="B192" s="34" t="n"/>
      <c r="C192" s="35" t="n"/>
      <c r="D192" s="34" t="n"/>
      <c r="E192" s="34" t="n"/>
      <c r="F192" s="34" t="n"/>
      <c r="G192" s="34" t="n"/>
      <c r="H192" s="34" t="n"/>
      <c r="I192" s="33" t="n"/>
      <c r="J192"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2" s="35" t="n"/>
      <c r="L192" s="34" t="n"/>
      <c r="M192" s="35" t="n"/>
      <c r="N192" s="34" t="n"/>
      <c r="O192" s="35" t="inlineStr">
        <is>
          <t>Mock</t>
        </is>
      </c>
      <c r="P192" s="35" t="inlineStr">
        <is>
          <t>Mock สภาเภสัชฯ Practice</t>
        </is>
      </c>
    </row>
    <row r="193" ht="409.6" customHeight="1" s="49">
      <c r="A193" s="33" t="n"/>
      <c r="B193" s="34" t="n"/>
      <c r="C193" s="35" t="n"/>
      <c r="D193" s="34" t="n"/>
      <c r="E193" s="34" t="n"/>
      <c r="F193" s="34" t="n"/>
      <c r="G193" s="34" t="n"/>
      <c r="H193" s="34" t="n"/>
      <c r="I193" s="33" t="n"/>
      <c r="J193"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3" s="35" t="n"/>
      <c r="L193" s="34" t="n"/>
      <c r="M193" s="35" t="n"/>
      <c r="N193" s="34" t="n"/>
      <c r="O193" s="35" t="inlineStr">
        <is>
          <t>Mock</t>
        </is>
      </c>
      <c r="P193" s="35" t="inlineStr">
        <is>
          <t>Mock สภาเภสัชฯ Practice</t>
        </is>
      </c>
    </row>
    <row r="194" ht="409.6" customHeight="1" s="49">
      <c r="A194" s="33" t="n"/>
      <c r="B194" s="34" t="n"/>
      <c r="C194" s="35" t="n"/>
      <c r="D194" s="34" t="n"/>
      <c r="E194" s="34" t="n"/>
      <c r="F194" s="34" t="n"/>
      <c r="G194" s="34" t="n"/>
      <c r="H194" s="34" t="n"/>
      <c r="I194" s="33" t="n"/>
      <c r="J194"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4" s="35" t="n"/>
      <c r="L194" s="34" t="n"/>
      <c r="M194" s="35" t="n"/>
      <c r="N194" s="34" t="n"/>
      <c r="O194" s="35" t="inlineStr">
        <is>
          <t>Mock</t>
        </is>
      </c>
      <c r="P194" s="35" t="inlineStr">
        <is>
          <t>Mock สภาเภสัชฯ Practice</t>
        </is>
      </c>
    </row>
    <row r="195" ht="409.6" customHeight="1" s="49">
      <c r="A195" s="33" t="n"/>
      <c r="B195" s="34" t="n"/>
      <c r="C195" s="35" t="n"/>
      <c r="D195" s="34" t="n"/>
      <c r="E195" s="34" t="n"/>
      <c r="F195" s="34" t="n"/>
      <c r="G195" s="34" t="n"/>
      <c r="H195" s="34" t="n"/>
      <c r="I195" s="33" t="n"/>
      <c r="J195"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5" s="35" t="n"/>
      <c r="L195" s="34" t="n"/>
      <c r="M195" s="35" t="n"/>
      <c r="N195" s="34" t="n"/>
      <c r="O195" s="35" t="inlineStr">
        <is>
          <t>Mock</t>
        </is>
      </c>
      <c r="P195" s="35" t="inlineStr">
        <is>
          <t>Mock สภาเภสัชฯ Practice</t>
        </is>
      </c>
    </row>
    <row r="196" ht="409.6" customHeight="1" s="49">
      <c r="A196" s="33" t="n"/>
      <c r="B196" s="34" t="n"/>
      <c r="C196" s="35" t="n"/>
      <c r="D196" s="34" t="n"/>
      <c r="E196" s="34" t="n"/>
      <c r="F196" s="34" t="n"/>
      <c r="G196" s="34" t="n"/>
      <c r="H196" s="34" t="n"/>
      <c r="I196" s="33" t="n"/>
      <c r="J196"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6" s="35" t="n"/>
      <c r="L196" s="34" t="n"/>
      <c r="M196" s="35" t="n"/>
      <c r="N196" s="34" t="n"/>
      <c r="O196" s="35" t="inlineStr">
        <is>
          <t>Mock</t>
        </is>
      </c>
      <c r="P196" s="35" t="inlineStr">
        <is>
          <t>Mock สภาเภสัชฯ Practice</t>
        </is>
      </c>
    </row>
    <row r="197" ht="409.6" customHeight="1" s="49">
      <c r="A197" s="33" t="n"/>
      <c r="B197" s="34" t="n"/>
      <c r="C197" s="35" t="n"/>
      <c r="D197" s="34" t="n"/>
      <c r="E197" s="34" t="n"/>
      <c r="F197" s="34" t="n"/>
      <c r="G197" s="34" t="n"/>
      <c r="H197" s="34" t="n"/>
      <c r="I197" s="33" t="n"/>
      <c r="J197"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7" s="35" t="n"/>
      <c r="L197" s="34" t="n"/>
      <c r="M197" s="35" t="n"/>
      <c r="N197" s="34" t="n"/>
      <c r="O197" s="35" t="inlineStr">
        <is>
          <t>Mock</t>
        </is>
      </c>
      <c r="P197" s="35" t="inlineStr">
        <is>
          <t>Mock สภาเภสัชฯ Practice</t>
        </is>
      </c>
    </row>
    <row r="198" ht="409.6" customHeight="1" s="49">
      <c r="A198" s="33" t="n"/>
      <c r="B198" s="34" t="n"/>
      <c r="C198" s="35" t="n"/>
      <c r="D198" s="34" t="n"/>
      <c r="E198" s="34" t="n"/>
      <c r="F198" s="34" t="n"/>
      <c r="G198" s="34" t="n"/>
      <c r="H198" s="34" t="n"/>
      <c r="I198" s="33" t="n"/>
      <c r="J198"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8" s="35" t="n"/>
      <c r="L198" s="34" t="n"/>
      <c r="M198" s="35" t="n"/>
      <c r="N198" s="34" t="n"/>
      <c r="O198" s="35" t="inlineStr">
        <is>
          <t>Mock</t>
        </is>
      </c>
      <c r="P198" s="35" t="inlineStr">
        <is>
          <t>Mock สภาเภสัชฯ Practice</t>
        </is>
      </c>
    </row>
    <row r="199" ht="409.6" customHeight="1" s="49">
      <c r="A199" s="33" t="n"/>
      <c r="B199" s="34" t="n"/>
      <c r="C199" s="35" t="n"/>
      <c r="D199" s="34" t="n"/>
      <c r="E199" s="34" t="n"/>
      <c r="F199" s="34" t="n"/>
      <c r="G199" s="34" t="n"/>
      <c r="H199" s="34" t="n"/>
      <c r="I199" s="33" t="n"/>
      <c r="J199"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9" s="35" t="n"/>
      <c r="L199" s="34" t="n"/>
      <c r="M199" s="35" t="n"/>
      <c r="N199" s="34" t="n"/>
      <c r="O199" s="35" t="inlineStr">
        <is>
          <t>Mock</t>
        </is>
      </c>
      <c r="P199" s="35" t="inlineStr">
        <is>
          <t>Mock สภาเภสัชฯ Practice</t>
        </is>
      </c>
    </row>
    <row r="200" ht="409.6" customHeight="1" s="49">
      <c r="A200" s="33" t="n"/>
      <c r="B200" s="34" t="n"/>
      <c r="C200" s="35" t="n"/>
      <c r="D200" s="34" t="n"/>
      <c r="E200" s="34" t="n"/>
      <c r="F200" s="34" t="n"/>
      <c r="G200" s="34" t="n"/>
      <c r="H200" s="34" t="n"/>
      <c r="I200" s="33" t="n"/>
      <c r="J200"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0" s="35" t="n"/>
      <c r="L200" s="34" t="n"/>
      <c r="M200" s="35" t="n"/>
      <c r="N200" s="34" t="n"/>
      <c r="O200" s="35" t="inlineStr">
        <is>
          <t>Mock</t>
        </is>
      </c>
      <c r="P200" s="35" t="inlineStr">
        <is>
          <t>Mock สภาเภสัชฯ Practice</t>
        </is>
      </c>
    </row>
    <row r="201" ht="409.6" customHeight="1" s="49">
      <c r="A201" s="33" t="n"/>
      <c r="B201" s="34" t="n"/>
      <c r="C201" s="35" t="n"/>
      <c r="D201" s="34" t="n"/>
      <c r="E201" s="34" t="n"/>
      <c r="F201" s="34" t="n"/>
      <c r="G201" s="34" t="n"/>
      <c r="H201" s="34" t="n"/>
      <c r="I201" s="33" t="n"/>
      <c r="J201"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1" s="35" t="n"/>
      <c r="L201" s="34" t="n"/>
      <c r="M201" s="35" t="n"/>
      <c r="N201" s="34" t="n"/>
      <c r="O201" s="35" t="inlineStr">
        <is>
          <t>Mock</t>
        </is>
      </c>
      <c r="P201" s="35" t="inlineStr">
        <is>
          <t>Mock สภาเภสัชฯ Practice</t>
        </is>
      </c>
    </row>
    <row r="202" ht="409.6" customHeight="1" s="49">
      <c r="A202" s="33" t="n"/>
      <c r="B202" s="34" t="n"/>
      <c r="C202" s="35" t="n"/>
      <c r="D202" s="34" t="n"/>
      <c r="E202" s="34" t="n"/>
      <c r="F202" s="34" t="n"/>
      <c r="G202" s="34" t="n"/>
      <c r="H202" s="34" t="n"/>
      <c r="I202" s="33" t="n"/>
      <c r="J202"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2" s="35" t="n"/>
      <c r="L202" s="34" t="n"/>
      <c r="M202" s="35" t="n"/>
      <c r="N202" s="34" t="n"/>
      <c r="O202" s="35" t="inlineStr">
        <is>
          <t>Mock</t>
        </is>
      </c>
      <c r="P202" s="35" t="inlineStr">
        <is>
          <t>Mock สภาเภสัชฯ Practice</t>
        </is>
      </c>
    </row>
    <row r="203" ht="409.6" customHeight="1" s="49">
      <c r="A203" s="33" t="n"/>
      <c r="B203" s="34" t="n"/>
      <c r="C203" s="35" t="n"/>
      <c r="D203" s="34" t="n"/>
      <c r="E203" s="34" t="n"/>
      <c r="F203" s="34" t="n"/>
      <c r="G203" s="34" t="n"/>
      <c r="H203" s="34" t="n"/>
      <c r="I203" s="33" t="n"/>
      <c r="J203"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3" s="35" t="n"/>
      <c r="L203" s="34" t="n"/>
      <c r="M203" s="35" t="n"/>
      <c r="N203" s="34" t="n"/>
      <c r="O203" s="35" t="inlineStr">
        <is>
          <t>Mock</t>
        </is>
      </c>
      <c r="P203" s="35" t="inlineStr">
        <is>
          <t>Mock สภาเภสัชฯ Practice</t>
        </is>
      </c>
    </row>
    <row r="204" ht="409.6" customHeight="1" s="49">
      <c r="A204" s="33" t="n"/>
      <c r="B204" s="34" t="n"/>
      <c r="C204" s="35" t="n"/>
      <c r="D204" s="34" t="n"/>
      <c r="E204" s="34" t="n"/>
      <c r="F204" s="34" t="n"/>
      <c r="G204" s="34" t="n"/>
      <c r="H204" s="34" t="n"/>
      <c r="I204" s="33" t="n"/>
      <c r="J204"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4" s="35" t="n"/>
      <c r="L204" s="34" t="n"/>
      <c r="M204" s="35" t="n"/>
      <c r="N204" s="34" t="n"/>
      <c r="O204" s="35" t="inlineStr">
        <is>
          <t>Mock</t>
        </is>
      </c>
      <c r="P204" s="35" t="inlineStr">
        <is>
          <t>Mock สภาเภสัชฯ Practice</t>
        </is>
      </c>
    </row>
    <row r="205" ht="409.6" customHeight="1" s="49">
      <c r="A205" s="33" t="n"/>
      <c r="B205" s="34" t="n"/>
      <c r="C205" s="35" t="n"/>
      <c r="D205" s="34" t="n"/>
      <c r="E205" s="34" t="n"/>
      <c r="F205" s="34" t="n"/>
      <c r="G205" s="34" t="n"/>
      <c r="H205" s="34" t="n"/>
      <c r="I205" s="33" t="n"/>
      <c r="J205"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5" s="35" t="n"/>
      <c r="L205" s="34" t="n"/>
      <c r="M205" s="35" t="n"/>
      <c r="N205" s="34" t="n"/>
      <c r="O205" s="35" t="inlineStr">
        <is>
          <t>Mock</t>
        </is>
      </c>
      <c r="P205" s="35" t="inlineStr">
        <is>
          <t>Mock สภาเภสัชฯ Practice</t>
        </is>
      </c>
    </row>
    <row r="206" ht="409.6" customHeight="1" s="49">
      <c r="A206" s="33" t="n"/>
      <c r="B206" s="34" t="n"/>
      <c r="C206" s="35" t="n"/>
      <c r="D206" s="34" t="n"/>
      <c r="E206" s="34" t="n"/>
      <c r="F206" s="34" t="n"/>
      <c r="G206" s="34" t="n"/>
      <c r="H206" s="34" t="n"/>
      <c r="I206" s="33" t="n"/>
      <c r="J206"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6" s="35" t="n"/>
      <c r="L206" s="34" t="n"/>
      <c r="M206" s="35" t="n"/>
      <c r="N206" s="34" t="n"/>
      <c r="O206" s="35" t="inlineStr">
        <is>
          <t>Mock</t>
        </is>
      </c>
      <c r="P206" s="35" t="inlineStr">
        <is>
          <t>Mock สภาเภสัชฯ Practice</t>
        </is>
      </c>
    </row>
    <row r="207" ht="409.6" customHeight="1" s="49">
      <c r="A207" s="33" t="n"/>
      <c r="B207" s="34" t="n"/>
      <c r="C207" s="35" t="n"/>
      <c r="D207" s="34" t="n"/>
      <c r="E207" s="34" t="n"/>
      <c r="F207" s="34" t="n"/>
      <c r="G207" s="34" t="n"/>
      <c r="H207" s="34" t="n"/>
      <c r="I207" s="33" t="n"/>
      <c r="J207"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7" s="35" t="n"/>
      <c r="L207" s="34" t="n"/>
      <c r="M207" s="35" t="n"/>
      <c r="N207" s="34" t="n"/>
      <c r="O207" s="35" t="inlineStr">
        <is>
          <t>Mock</t>
        </is>
      </c>
      <c r="P207" s="35" t="inlineStr">
        <is>
          <t>Mock สภาเภสัชฯ Practice</t>
        </is>
      </c>
    </row>
    <row r="208" ht="409.6" customHeight="1" s="49">
      <c r="A208" s="33" t="n"/>
      <c r="B208" s="34" t="n"/>
      <c r="C208" s="35" t="n"/>
      <c r="D208" s="34" t="n"/>
      <c r="E208" s="34" t="n"/>
      <c r="F208" s="34" t="n"/>
      <c r="G208" s="34" t="n"/>
      <c r="H208" s="34" t="n"/>
      <c r="I208" s="33" t="n"/>
      <c r="J208"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8" s="35" t="n"/>
      <c r="L208" s="34" t="n"/>
      <c r="M208" s="35" t="n"/>
      <c r="N208" s="34" t="n"/>
      <c r="O208" s="35" t="inlineStr">
        <is>
          <t>Mock</t>
        </is>
      </c>
      <c r="P208" s="35" t="inlineStr">
        <is>
          <t>Mock สภาเภสัชฯ Practice</t>
        </is>
      </c>
    </row>
    <row r="209" ht="409.6" customHeight="1" s="49">
      <c r="A209" s="33" t="n"/>
      <c r="B209" s="34" t="n"/>
      <c r="C209" s="35" t="n"/>
      <c r="D209" s="34" t="n"/>
      <c r="E209" s="34" t="n"/>
      <c r="F209" s="34" t="n"/>
      <c r="G209" s="34" t="n"/>
      <c r="H209" s="34" t="n"/>
      <c r="I209" s="33" t="n"/>
      <c r="J209"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9" s="35" t="n"/>
      <c r="L209" s="34" t="n"/>
      <c r="M209" s="35" t="n"/>
      <c r="N209" s="34" t="n"/>
      <c r="O209" s="35" t="inlineStr">
        <is>
          <t>Mock</t>
        </is>
      </c>
      <c r="P209" s="35" t="inlineStr">
        <is>
          <t>Mock สภาเภสัชฯ Practice</t>
        </is>
      </c>
    </row>
    <row r="210" ht="409.6" customHeight="1" s="49">
      <c r="A210" s="33" t="n"/>
      <c r="B210" s="34" t="n"/>
      <c r="C210" s="35" t="n"/>
      <c r="D210" s="34" t="n"/>
      <c r="E210" s="34" t="n"/>
      <c r="F210" s="34" t="n"/>
      <c r="G210" s="34" t="n"/>
      <c r="H210" s="34" t="n"/>
      <c r="I210" s="33" t="n"/>
      <c r="J210"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0" s="35" t="n"/>
      <c r="L210" s="34" t="n"/>
      <c r="M210" s="35" t="n"/>
      <c r="N210" s="34" t="n"/>
      <c r="O210" s="35" t="inlineStr">
        <is>
          <t>Mock</t>
        </is>
      </c>
      <c r="P210" s="35" t="inlineStr">
        <is>
          <t>Mock สภาเภสัชฯ Practice</t>
        </is>
      </c>
    </row>
    <row r="211" ht="409.6" customHeight="1" s="49">
      <c r="A211" s="33" t="n"/>
      <c r="B211" s="34" t="n"/>
      <c r="C211" s="35" t="n"/>
      <c r="D211" s="34" t="n"/>
      <c r="E211" s="34" t="n"/>
      <c r="F211" s="34" t="n"/>
      <c r="G211" s="34" t="n"/>
      <c r="H211" s="34" t="n"/>
      <c r="I211" s="33" t="n"/>
      <c r="J211"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1" s="35" t="n"/>
      <c r="L211" s="34" t="n"/>
      <c r="M211" s="35" t="n"/>
      <c r="N211" s="34" t="n"/>
      <c r="O211" s="35" t="inlineStr">
        <is>
          <t>Mock</t>
        </is>
      </c>
      <c r="P211" s="35" t="inlineStr">
        <is>
          <t>Mock สภาเภสัชฯ Practice</t>
        </is>
      </c>
    </row>
    <row r="212" ht="409.6" customHeight="1" s="49">
      <c r="A212" s="33" t="n"/>
      <c r="B212" s="34" t="n"/>
      <c r="C212" s="35" t="n"/>
      <c r="D212" s="34" t="n"/>
      <c r="E212" s="34" t="n"/>
      <c r="F212" s="34" t="n"/>
      <c r="G212" s="34" t="n"/>
      <c r="H212" s="34" t="n"/>
      <c r="I212" s="33" t="n"/>
      <c r="J212"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2" s="35" t="n"/>
      <c r="L212" s="34" t="n"/>
      <c r="M212" s="35" t="n"/>
      <c r="N212" s="34" t="n"/>
      <c r="O212" s="35" t="inlineStr">
        <is>
          <t>Mock</t>
        </is>
      </c>
      <c r="P212" s="35" t="inlineStr">
        <is>
          <t>Mock สภาเภสัชฯ Practice</t>
        </is>
      </c>
    </row>
    <row r="213" ht="409.6" customHeight="1" s="49">
      <c r="A213" s="33" t="n"/>
      <c r="B213" s="34" t="n"/>
      <c r="C213" s="35" t="n"/>
      <c r="D213" s="34" t="n"/>
      <c r="E213" s="34" t="n"/>
      <c r="F213" s="34" t="n"/>
      <c r="G213" s="34" t="n"/>
      <c r="H213" s="34" t="n"/>
      <c r="I213" s="33" t="n"/>
      <c r="J213"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3" s="35" t="n"/>
      <c r="L213" s="34" t="n"/>
      <c r="M213" s="35" t="n"/>
      <c r="N213" s="34" t="n"/>
      <c r="O213" s="35" t="inlineStr">
        <is>
          <t>Mock</t>
        </is>
      </c>
      <c r="P213" s="35" t="inlineStr">
        <is>
          <t>Mock สภาเภสัชฯ Practice</t>
        </is>
      </c>
    </row>
    <row r="214" ht="409.6" customHeight="1" s="49">
      <c r="A214" s="33" t="n"/>
      <c r="B214" s="34" t="n"/>
      <c r="C214" s="35" t="n"/>
      <c r="D214" s="34" t="n"/>
      <c r="E214" s="34" t="n"/>
      <c r="F214" s="34" t="n"/>
      <c r="G214" s="34" t="n"/>
      <c r="H214" s="34" t="n"/>
      <c r="I214" s="33" t="n"/>
      <c r="J214"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4" s="35" t="n"/>
      <c r="L214" s="34" t="n"/>
      <c r="M214" s="35" t="n"/>
      <c r="N214" s="34" t="n"/>
      <c r="O214" s="35" t="inlineStr">
        <is>
          <t>Mock</t>
        </is>
      </c>
      <c r="P214" s="35" t="inlineStr">
        <is>
          <t>Mock สภาเภสัชฯ Practice</t>
        </is>
      </c>
    </row>
    <row r="215" ht="409.6" customHeight="1" s="49">
      <c r="A215" s="33" t="n"/>
      <c r="B215" s="34" t="n"/>
      <c r="C215" s="35" t="n"/>
      <c r="D215" s="34" t="n"/>
      <c r="E215" s="34" t="n"/>
      <c r="F215" s="34" t="n"/>
      <c r="G215" s="34" t="n"/>
      <c r="H215" s="34" t="n"/>
      <c r="I215" s="33" t="n"/>
      <c r="J215"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5" s="35" t="n"/>
      <c r="L215" s="34" t="n"/>
      <c r="M215" s="35" t="n"/>
      <c r="N215" s="34" t="n"/>
      <c r="O215" s="35" t="inlineStr">
        <is>
          <t>Mock</t>
        </is>
      </c>
      <c r="P215" s="35" t="inlineStr">
        <is>
          <t>Mock สภาเภสัชฯ Practice</t>
        </is>
      </c>
    </row>
    <row r="216" ht="409.6" customHeight="1" s="49">
      <c r="A216" s="33" t="n"/>
      <c r="B216" s="34" t="n"/>
      <c r="C216" s="35" t="n"/>
      <c r="D216" s="34" t="n"/>
      <c r="E216" s="34" t="n"/>
      <c r="F216" s="34" t="n"/>
      <c r="G216" s="34" t="n"/>
      <c r="H216" s="34" t="n"/>
      <c r="I216" s="33" t="n"/>
      <c r="J216"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6" s="35" t="n"/>
      <c r="L216" s="34" t="n"/>
      <c r="M216" s="35" t="n"/>
      <c r="N216" s="34" t="n"/>
      <c r="O216" s="35" t="inlineStr">
        <is>
          <t>Mock</t>
        </is>
      </c>
      <c r="P216" s="35" t="inlineStr">
        <is>
          <t>Mock สภาเภสัชฯ Practice</t>
        </is>
      </c>
    </row>
    <row r="217" ht="409.6" customHeight="1" s="49">
      <c r="A217" s="33" t="n"/>
      <c r="B217" s="34" t="n"/>
      <c r="C217" s="35" t="n"/>
      <c r="D217" s="34" t="n"/>
      <c r="E217" s="34" t="n"/>
      <c r="F217" s="34" t="n"/>
      <c r="G217" s="34" t="n"/>
      <c r="H217" s="34" t="n"/>
      <c r="I217" s="33" t="n"/>
      <c r="J217"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7" s="35" t="n"/>
      <c r="L217" s="34" t="n"/>
      <c r="M217" s="35" t="n"/>
      <c r="N217" s="34" t="n"/>
      <c r="O217" s="35" t="inlineStr">
        <is>
          <t>Mock</t>
        </is>
      </c>
      <c r="P217" s="35" t="inlineStr">
        <is>
          <t>Mock สภาเภสัชฯ Practice</t>
        </is>
      </c>
    </row>
    <row r="218" ht="409.6" customHeight="1" s="49">
      <c r="A218" s="33" t="n"/>
      <c r="B218" s="34" t="n"/>
      <c r="C218" s="35" t="n"/>
      <c r="D218" s="34" t="n"/>
      <c r="E218" s="34" t="n"/>
      <c r="F218" s="34" t="n"/>
      <c r="G218" s="34" t="n"/>
      <c r="H218" s="34" t="n"/>
      <c r="I218" s="33" t="n"/>
      <c r="J218"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8" s="35" t="n"/>
      <c r="L218" s="34" t="n"/>
      <c r="M218" s="35" t="n"/>
      <c r="N218" s="34" t="n"/>
      <c r="O218" s="35" t="inlineStr">
        <is>
          <t>Mock</t>
        </is>
      </c>
      <c r="P218" s="35" t="inlineStr">
        <is>
          <t>Mock สภาเภสัชฯ Practice</t>
        </is>
      </c>
    </row>
    <row r="219" ht="409.6" customHeight="1" s="49">
      <c r="A219" s="33" t="n"/>
      <c r="B219" s="34" t="n"/>
      <c r="C219" s="35" t="n"/>
      <c r="D219" s="34" t="n"/>
      <c r="E219" s="34" t="n"/>
      <c r="F219" s="34" t="n"/>
      <c r="G219" s="34" t="n"/>
      <c r="H219" s="34" t="n"/>
      <c r="I219" s="33" t="n"/>
      <c r="J219"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9" s="35" t="n"/>
      <c r="L219" s="34" t="n"/>
      <c r="M219" s="35" t="n"/>
      <c r="N219" s="34" t="n"/>
      <c r="O219" s="35" t="inlineStr">
        <is>
          <t>Mock</t>
        </is>
      </c>
      <c r="P219" s="35" t="inlineStr">
        <is>
          <t>Mock Rx20 UBU</t>
        </is>
      </c>
    </row>
    <row r="220" ht="409.6" customHeight="1" s="49">
      <c r="A220" s="33" t="n"/>
      <c r="B220" s="34" t="n"/>
      <c r="C220" s="35" t="n"/>
      <c r="D220" s="34" t="n"/>
      <c r="E220" s="34" t="n"/>
      <c r="F220" s="34" t="n"/>
      <c r="G220" s="34" t="n"/>
      <c r="H220" s="34" t="n"/>
      <c r="I220" s="33" t="n"/>
      <c r="J220"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0" s="35" t="n"/>
      <c r="L220" s="34" t="n"/>
      <c r="M220" s="35" t="n"/>
      <c r="N220" s="34" t="n"/>
      <c r="O220" s="35" t="inlineStr">
        <is>
          <t>Mock</t>
        </is>
      </c>
      <c r="P220" s="35" t="inlineStr">
        <is>
          <t>Mock Rx20 UBU</t>
        </is>
      </c>
    </row>
    <row r="221" ht="409.6" customHeight="1" s="49">
      <c r="A221" s="33" t="n"/>
      <c r="B221" s="34" t="n"/>
      <c r="C221" s="35" t="n"/>
      <c r="D221" s="34" t="n"/>
      <c r="E221" s="34" t="n"/>
      <c r="F221" s="34" t="n"/>
      <c r="G221" s="34" t="n"/>
      <c r="H221" s="34" t="n"/>
      <c r="I221" s="33" t="n"/>
      <c r="J221"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1" s="35" t="n"/>
      <c r="L221" s="34" t="n"/>
      <c r="M221" s="35" t="n"/>
      <c r="N221" s="34" t="n"/>
      <c r="O221" s="35" t="inlineStr">
        <is>
          <t>Mock</t>
        </is>
      </c>
      <c r="P221" s="35" t="inlineStr">
        <is>
          <t>Mock Rx20 UBU</t>
        </is>
      </c>
    </row>
    <row r="222" ht="409.6" customHeight="1" s="49">
      <c r="A222" s="33" t="n"/>
      <c r="B222" s="34" t="n"/>
      <c r="C222" s="35" t="n"/>
      <c r="D222" s="34" t="n"/>
      <c r="E222" s="34" t="n"/>
      <c r="F222" s="34" t="n"/>
      <c r="G222" s="34" t="n"/>
      <c r="H222" s="34" t="n"/>
      <c r="I222" s="33" t="n"/>
      <c r="J222"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2" s="35" t="n"/>
      <c r="L222" s="34" t="n"/>
      <c r="M222" s="35" t="n"/>
      <c r="N222" s="34" t="n"/>
      <c r="O222" s="35" t="inlineStr">
        <is>
          <t>Mock</t>
        </is>
      </c>
      <c r="P222" s="35" t="inlineStr">
        <is>
          <t>Mock Rx20 UBU</t>
        </is>
      </c>
    </row>
    <row r="223" ht="409.6" customHeight="1" s="49">
      <c r="A223" s="33" t="n"/>
      <c r="B223" s="34" t="n"/>
      <c r="C223" s="35" t="n"/>
      <c r="D223" s="34" t="n"/>
      <c r="E223" s="34" t="n"/>
      <c r="F223" s="34" t="n"/>
      <c r="G223" s="34" t="n"/>
      <c r="H223" s="34" t="n"/>
      <c r="I223" s="33" t="n"/>
      <c r="J223"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3" s="35" t="n"/>
      <c r="L223" s="34" t="n"/>
      <c r="M223" s="35" t="n"/>
      <c r="N223" s="34" t="n"/>
      <c r="O223" s="35" t="inlineStr">
        <is>
          <t>Mock</t>
        </is>
      </c>
      <c r="P223" s="35" t="inlineStr">
        <is>
          <t>Mock Rx20 UBU</t>
        </is>
      </c>
    </row>
    <row r="224" ht="409.6" customHeight="1" s="49">
      <c r="A224" s="33" t="n"/>
      <c r="B224" s="34" t="n"/>
      <c r="C224" s="35" t="n"/>
      <c r="D224" s="34" t="n"/>
      <c r="E224" s="34" t="n"/>
      <c r="F224" s="34" t="n"/>
      <c r="G224" s="34" t="n"/>
      <c r="H224" s="34" t="n"/>
      <c r="I224" s="33" t="n"/>
      <c r="J224"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4" s="35" t="n"/>
      <c r="L224" s="34" t="n"/>
      <c r="M224" s="35" t="n"/>
      <c r="N224" s="34" t="n"/>
      <c r="O224" s="35" t="inlineStr">
        <is>
          <t>Mock</t>
        </is>
      </c>
      <c r="P224" s="35" t="inlineStr">
        <is>
          <t>Mock Rx20 UBU</t>
        </is>
      </c>
    </row>
    <row r="225" ht="409.6" customHeight="1" s="49">
      <c r="A225" s="33" t="n"/>
      <c r="B225" s="34" t="n"/>
      <c r="C225" s="35" t="n"/>
      <c r="D225" s="34" t="n"/>
      <c r="E225" s="34" t="n"/>
      <c r="F225" s="34" t="n"/>
      <c r="G225" s="34" t="n"/>
      <c r="H225" s="34" t="n"/>
      <c r="I225" s="33" t="n"/>
      <c r="J225"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5" s="35" t="n"/>
      <c r="L225" s="34" t="n"/>
      <c r="M225" s="35" t="n"/>
      <c r="N225" s="34" t="n"/>
      <c r="O225" s="35" t="inlineStr">
        <is>
          <t>Mock</t>
        </is>
      </c>
      <c r="P225" s="35" t="inlineStr">
        <is>
          <t>Mock Rx20 UBU</t>
        </is>
      </c>
    </row>
    <row r="226" ht="409.6" customHeight="1" s="49">
      <c r="A226" s="33" t="n"/>
      <c r="B226" s="34" t="n"/>
      <c r="C226" s="35" t="n"/>
      <c r="D226" s="34" t="n"/>
      <c r="E226" s="34" t="n"/>
      <c r="F226" s="34" t="n"/>
      <c r="G226" s="34" t="n"/>
      <c r="H226" s="34" t="n"/>
      <c r="I226" s="33" t="n"/>
      <c r="J226"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6" s="35" t="n"/>
      <c r="L226" s="34" t="n"/>
      <c r="M226" s="35" t="n"/>
      <c r="N226" s="34" t="n"/>
      <c r="O226" s="35" t="inlineStr">
        <is>
          <t>Mock</t>
        </is>
      </c>
      <c r="P226" s="35" t="inlineStr">
        <is>
          <t>Mock Rx20 UBU</t>
        </is>
      </c>
    </row>
    <row r="227" ht="409.6" customHeight="1" s="49">
      <c r="A227" s="33" t="n"/>
      <c r="B227" s="34" t="n"/>
      <c r="C227" s="35" t="n"/>
      <c r="D227" s="34" t="n"/>
      <c r="E227" s="34" t="n"/>
      <c r="F227" s="34" t="n"/>
      <c r="G227" s="34" t="n"/>
      <c r="H227" s="34" t="n"/>
      <c r="I227" s="33" t="n"/>
      <c r="J227"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7" s="35" t="n"/>
      <c r="L227" s="34" t="n"/>
      <c r="M227" s="35" t="n"/>
      <c r="N227" s="34" t="n"/>
      <c r="O227" s="35" t="inlineStr">
        <is>
          <t>Mock</t>
        </is>
      </c>
      <c r="P227" s="35" t="inlineStr">
        <is>
          <t>Mock Rx20 UBU</t>
        </is>
      </c>
    </row>
    <row r="228" ht="409.6" customHeight="1" s="49">
      <c r="A228" s="33" t="n"/>
      <c r="B228" s="34" t="n"/>
      <c r="C228" s="35" t="n"/>
      <c r="D228" s="34" t="n"/>
      <c r="E228" s="34" t="n"/>
      <c r="F228" s="34" t="n"/>
      <c r="G228" s="34" t="n"/>
      <c r="H228" s="34" t="n"/>
      <c r="I228" s="33" t="n"/>
      <c r="J228"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8" s="35" t="n"/>
      <c r="L228" s="34" t="n"/>
      <c r="M228" s="35" t="n"/>
      <c r="N228" s="34" t="n"/>
      <c r="O228" s="35" t="inlineStr">
        <is>
          <t>Mock</t>
        </is>
      </c>
      <c r="P228" s="35" t="inlineStr">
        <is>
          <t>Mock Rx20 UBU</t>
        </is>
      </c>
    </row>
    <row r="229" ht="409.6" customHeight="1" s="49">
      <c r="A229" s="33" t="n"/>
      <c r="B229" s="34" t="n"/>
      <c r="C229" s="35" t="n"/>
      <c r="D229" s="34" t="n"/>
      <c r="E229" s="34" t="n"/>
      <c r="F229" s="34" t="n"/>
      <c r="G229" s="34" t="n"/>
      <c r="H229" s="34" t="n"/>
      <c r="I229" s="33" t="n"/>
      <c r="J229"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9" s="35" t="n"/>
      <c r="L229" s="34" t="n"/>
      <c r="M229" s="35" t="n"/>
      <c r="N229" s="34" t="n"/>
      <c r="O229" s="35" t="inlineStr">
        <is>
          <t>Mock</t>
        </is>
      </c>
      <c r="P229" s="35" t="inlineStr">
        <is>
          <t>Mock Rx20 UBU</t>
        </is>
      </c>
    </row>
    <row r="230" ht="409.6" customHeight="1" s="49">
      <c r="A230" s="33" t="n"/>
      <c r="B230" s="34" t="n"/>
      <c r="C230" s="35" t="n"/>
      <c r="D230" s="34" t="n"/>
      <c r="E230" s="34" t="n"/>
      <c r="F230" s="34" t="n"/>
      <c r="G230" s="34" t="n"/>
      <c r="H230" s="34" t="n"/>
      <c r="I230" s="33" t="n"/>
      <c r="J230"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0" s="35" t="n"/>
      <c r="L230" s="34" t="n"/>
      <c r="M230" s="35" t="n"/>
      <c r="N230" s="34" t="n"/>
      <c r="O230" s="35" t="inlineStr">
        <is>
          <t>Mock</t>
        </is>
      </c>
      <c r="P230" s="35" t="inlineStr">
        <is>
          <t>Mock Rx20 UBU</t>
        </is>
      </c>
    </row>
    <row r="231" ht="409.6" customHeight="1" s="49">
      <c r="A231" s="33" t="n"/>
      <c r="B231" s="34" t="n"/>
      <c r="C231" s="35" t="n"/>
      <c r="D231" s="34" t="n"/>
      <c r="E231" s="34" t="n"/>
      <c r="F231" s="34" t="n"/>
      <c r="G231" s="34" t="n"/>
      <c r="H231" s="34" t="n"/>
      <c r="I231" s="33" t="n"/>
      <c r="J231"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1" s="35" t="n"/>
      <c r="L231" s="34" t="n"/>
      <c r="M231" s="35" t="n"/>
      <c r="N231" s="34" t="n"/>
      <c r="O231" s="35" t="inlineStr">
        <is>
          <t>Mock</t>
        </is>
      </c>
      <c r="P231" s="35" t="inlineStr">
        <is>
          <t>Mock Rx20 UBU</t>
        </is>
      </c>
    </row>
    <row r="232" ht="409.6" customHeight="1" s="49">
      <c r="A232" s="33" t="n"/>
      <c r="B232" s="34" t="n"/>
      <c r="C232" s="35" t="n"/>
      <c r="D232" s="34" t="n"/>
      <c r="E232" s="34" t="n"/>
      <c r="F232" s="34" t="n"/>
      <c r="G232" s="34" t="n"/>
      <c r="H232" s="34" t="n"/>
      <c r="I232" s="33" t="n"/>
      <c r="J232"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2" s="35" t="n"/>
      <c r="L232" s="34" t="n"/>
      <c r="M232" s="35" t="n"/>
      <c r="N232" s="34" t="n"/>
      <c r="O232" s="35" t="inlineStr">
        <is>
          <t>Mock</t>
        </is>
      </c>
      <c r="P232" s="35" t="inlineStr">
        <is>
          <t>Mock Rx20 UBU</t>
        </is>
      </c>
    </row>
    <row r="233" ht="409.6" customHeight="1" s="49">
      <c r="A233" s="33" t="n"/>
      <c r="B233" s="34" t="n"/>
      <c r="C233" s="35" t="n"/>
      <c r="D233" s="34" t="n"/>
      <c r="E233" s="34" t="n"/>
      <c r="F233" s="34" t="n"/>
      <c r="G233" s="34" t="n"/>
      <c r="H233" s="34" t="n"/>
      <c r="I233" s="33" t="n"/>
      <c r="J233"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3" s="35" t="n"/>
      <c r="L233" s="34" t="n"/>
      <c r="M233" s="35" t="n"/>
      <c r="N233" s="34" t="n"/>
      <c r="O233" s="35" t="inlineStr">
        <is>
          <t>Mock</t>
        </is>
      </c>
      <c r="P233" s="35" t="inlineStr">
        <is>
          <t>Mock Rx20 UBU</t>
        </is>
      </c>
    </row>
    <row r="234" ht="409.6" customHeight="1" s="49">
      <c r="A234" s="33" t="n"/>
      <c r="B234" s="34" t="n"/>
      <c r="C234" s="35" t="n"/>
      <c r="D234" s="34" t="n"/>
      <c r="E234" s="34" t="n"/>
      <c r="F234" s="34" t="n"/>
      <c r="G234" s="34" t="n"/>
      <c r="H234" s="34" t="n"/>
      <c r="I234" s="33" t="n"/>
      <c r="J234"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4" s="35" t="n"/>
      <c r="L234" s="34" t="n"/>
      <c r="M234" s="35" t="n"/>
      <c r="N234" s="34" t="n"/>
      <c r="O234" s="35" t="inlineStr">
        <is>
          <t>Mock</t>
        </is>
      </c>
      <c r="P234" s="35" t="inlineStr">
        <is>
          <t>Mock Rx20 UBU</t>
        </is>
      </c>
    </row>
    <row r="235" ht="409.6" customHeight="1" s="49">
      <c r="A235" s="33" t="n"/>
      <c r="B235" s="34" t="n"/>
      <c r="C235" s="35" t="n"/>
      <c r="D235" s="34" t="n"/>
      <c r="E235" s="34" t="n"/>
      <c r="F235" s="34" t="n"/>
      <c r="G235" s="34" t="n"/>
      <c r="H235" s="34" t="n"/>
      <c r="I235" s="33" t="n"/>
      <c r="J235"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5" s="35" t="n"/>
      <c r="L235" s="34" t="n"/>
      <c r="M235" s="35" t="n"/>
      <c r="N235" s="34" t="n"/>
      <c r="O235" s="35" t="inlineStr">
        <is>
          <t>Mock</t>
        </is>
      </c>
      <c r="P235" s="35" t="inlineStr">
        <is>
          <t>Mock Rx20 UBU</t>
        </is>
      </c>
    </row>
    <row r="236" ht="409.6" customHeight="1" s="49">
      <c r="A236" s="33" t="n"/>
      <c r="B236" s="34" t="n"/>
      <c r="C236" s="35" t="n"/>
      <c r="D236" s="34" t="n"/>
      <c r="E236" s="34" t="n"/>
      <c r="F236" s="34" t="n"/>
      <c r="G236" s="34" t="n"/>
      <c r="H236" s="34" t="n"/>
      <c r="I236" s="33" t="n"/>
      <c r="J236"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6" s="35" t="n"/>
      <c r="L236" s="34" t="n"/>
      <c r="M236" s="35" t="n"/>
      <c r="N236" s="34" t="n"/>
      <c r="O236" s="35" t="inlineStr">
        <is>
          <t>Mock</t>
        </is>
      </c>
      <c r="P236" s="35" t="inlineStr">
        <is>
          <t>Mock Rx20 UBU</t>
        </is>
      </c>
    </row>
    <row r="237" ht="409.6" customHeight="1" s="49">
      <c r="A237" s="33" t="n"/>
      <c r="B237" s="34" t="n"/>
      <c r="C237" s="35" t="n"/>
      <c r="D237" s="34" t="n"/>
      <c r="E237" s="34" t="n"/>
      <c r="F237" s="34" t="n"/>
      <c r="G237" s="34" t="n"/>
      <c r="H237" s="34" t="n"/>
      <c r="I237" s="33" t="n"/>
      <c r="J237"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7" s="35" t="n"/>
      <c r="L237" s="34" t="n"/>
      <c r="M237" s="35" t="n"/>
      <c r="N237" s="34" t="n"/>
      <c r="O237" s="35" t="inlineStr">
        <is>
          <t>Mock</t>
        </is>
      </c>
      <c r="P237" s="35" t="inlineStr">
        <is>
          <t>Mock Rx20 UBU</t>
        </is>
      </c>
    </row>
    <row r="238" ht="409.6" customHeight="1" s="49">
      <c r="A238" s="33" t="n"/>
      <c r="B238" s="34" t="n"/>
      <c r="C238" s="35" t="n"/>
      <c r="D238" s="34" t="n"/>
      <c r="E238" s="34" t="n"/>
      <c r="F238" s="34" t="n"/>
      <c r="G238" s="34" t="n"/>
      <c r="H238" s="34" t="n"/>
      <c r="I238" s="33" t="n"/>
      <c r="J238"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8" s="35" t="n"/>
      <c r="L238" s="34" t="n"/>
      <c r="M238" s="35" t="n"/>
      <c r="N238" s="34" t="n"/>
      <c r="O238" s="35" t="inlineStr">
        <is>
          <t>Mock</t>
        </is>
      </c>
      <c r="P238" s="35" t="inlineStr">
        <is>
          <t>Mock Rx20 UBU</t>
        </is>
      </c>
    </row>
    <row r="239" ht="409.6" customHeight="1" s="49">
      <c r="A239" s="33" t="n"/>
      <c r="B239" s="34" t="n"/>
      <c r="C239" s="35" t="n"/>
      <c r="D239" s="34" t="n"/>
      <c r="E239" s="34" t="n"/>
      <c r="F239" s="34" t="n"/>
      <c r="G239" s="34" t="n"/>
      <c r="H239" s="34" t="n"/>
      <c r="I239" s="33" t="n"/>
      <c r="J239"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9" s="35" t="n"/>
      <c r="L239" s="34" t="n"/>
      <c r="M239" s="35" t="n"/>
      <c r="N239" s="34" t="n"/>
      <c r="O239" s="35" t="inlineStr">
        <is>
          <t>Mock</t>
        </is>
      </c>
      <c r="P239" s="35" t="inlineStr">
        <is>
          <t>Mock Rx20 UBU</t>
        </is>
      </c>
    </row>
    <row r="240" ht="409.6" customHeight="1" s="49">
      <c r="A240" s="33" t="n"/>
      <c r="B240" s="34" t="n"/>
      <c r="C240" s="35" t="n"/>
      <c r="D240" s="34" t="n"/>
      <c r="E240" s="34" t="n"/>
      <c r="F240" s="34" t="n"/>
      <c r="G240" s="34" t="n"/>
      <c r="H240" s="34" t="n"/>
      <c r="I240" s="33" t="n"/>
      <c r="J240"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0" s="35" t="n"/>
      <c r="L240" s="34" t="n"/>
      <c r="M240" s="35" t="n"/>
      <c r="N240" s="34" t="n"/>
      <c r="O240" s="35" t="inlineStr">
        <is>
          <t>Mock</t>
        </is>
      </c>
      <c r="P240" s="35" t="inlineStr">
        <is>
          <t>Mock Rx20 UBU</t>
        </is>
      </c>
    </row>
    <row r="241" ht="409.6" customHeight="1" s="49">
      <c r="A241" s="33" t="n"/>
      <c r="B241" s="34" t="n"/>
      <c r="C241" s="35" t="n"/>
      <c r="D241" s="34" t="n"/>
      <c r="E241" s="34" t="n"/>
      <c r="F241" s="34" t="n"/>
      <c r="G241" s="34" t="n"/>
      <c r="H241" s="34" t="n"/>
      <c r="I241" s="33" t="n"/>
      <c r="J241"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1" s="35" t="n"/>
      <c r="L241" s="34" t="n"/>
      <c r="M241" s="35" t="n"/>
      <c r="N241" s="34" t="n"/>
      <c r="O241" s="35" t="inlineStr">
        <is>
          <t>Mock</t>
        </is>
      </c>
      <c r="P241" s="35" t="inlineStr">
        <is>
          <t>Mock Rx20 UBU</t>
        </is>
      </c>
    </row>
    <row r="242" ht="409.6" customHeight="1" s="49">
      <c r="A242" s="33" t="n"/>
      <c r="B242" s="34" t="n"/>
      <c r="C242" s="35" t="n"/>
      <c r="D242" s="34" t="n"/>
      <c r="E242" s="34" t="n"/>
      <c r="F242" s="34" t="n"/>
      <c r="G242" s="34" t="n"/>
      <c r="H242" s="34" t="n"/>
      <c r="I242" s="33" t="n"/>
      <c r="J242"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2" s="35" t="n"/>
      <c r="L242" s="34" t="n"/>
      <c r="M242" s="35" t="n"/>
      <c r="N242" s="34" t="n"/>
      <c r="O242" s="35" t="inlineStr">
        <is>
          <t>Mock</t>
        </is>
      </c>
      <c r="P242" s="35" t="inlineStr">
        <is>
          <t>Mock Rx20 UBU</t>
        </is>
      </c>
    </row>
    <row r="243" ht="409.6" customHeight="1" s="49">
      <c r="A243" s="33" t="n"/>
      <c r="B243" s="34" t="n"/>
      <c r="C243" s="35" t="n"/>
      <c r="D243" s="34" t="n"/>
      <c r="E243" s="34" t="n"/>
      <c r="F243" s="34" t="n"/>
      <c r="G243" s="34" t="n"/>
      <c r="H243" s="34" t="n"/>
      <c r="I243" s="33" t="n"/>
      <c r="J243"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3" s="35" t="n"/>
      <c r="L243" s="34" t="n"/>
      <c r="M243" s="35" t="n"/>
      <c r="N243" s="34" t="n"/>
      <c r="O243" s="35" t="inlineStr">
        <is>
          <t>Mock</t>
        </is>
      </c>
      <c r="P243" s="35" t="inlineStr">
        <is>
          <t>Mock Rx20 UBU</t>
        </is>
      </c>
    </row>
    <row r="244" ht="409.6" customHeight="1" s="49">
      <c r="A244" s="33" t="n"/>
      <c r="B244" s="34" t="n"/>
      <c r="C244" s="35" t="n"/>
      <c r="D244" s="34" t="n"/>
      <c r="E244" s="34" t="n"/>
      <c r="F244" s="34" t="n"/>
      <c r="G244" s="34" t="n"/>
      <c r="H244" s="34" t="n"/>
      <c r="I244" s="33" t="n"/>
      <c r="J244"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4" s="35" t="n"/>
      <c r="L244" s="34" t="n"/>
      <c r="M244" s="35" t="n"/>
      <c r="N244" s="34" t="n"/>
      <c r="O244" s="35" t="inlineStr">
        <is>
          <t>Mock</t>
        </is>
      </c>
      <c r="P244" s="35" t="inlineStr">
        <is>
          <t>Mock Rx20 UBU</t>
        </is>
      </c>
    </row>
    <row r="245" ht="409.6" customHeight="1" s="49">
      <c r="A245" s="33" t="n"/>
      <c r="B245" s="34" t="n"/>
      <c r="C245" s="35" t="n"/>
      <c r="D245" s="34" t="n"/>
      <c r="E245" s="34" t="n"/>
      <c r="F245" s="34" t="n"/>
      <c r="G245" s="34" t="n"/>
      <c r="H245" s="34" t="n"/>
      <c r="I245" s="33" t="n"/>
      <c r="J245"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5" s="35" t="n"/>
      <c r="L245" s="34" t="n"/>
      <c r="M245" s="35" t="n"/>
      <c r="N245" s="34" t="n"/>
      <c r="O245" s="35" t="inlineStr">
        <is>
          <t>Mock</t>
        </is>
      </c>
      <c r="P245" s="35" t="inlineStr">
        <is>
          <t>Mock Rx20 UBU</t>
        </is>
      </c>
    </row>
    <row r="246" ht="409.6" customHeight="1" s="49">
      <c r="A246" s="33" t="n"/>
      <c r="B246" s="34" t="n"/>
      <c r="C246" s="35" t="n"/>
      <c r="D246" s="34" t="n"/>
      <c r="E246" s="34" t="n"/>
      <c r="F246" s="34" t="n"/>
      <c r="G246" s="34" t="n"/>
      <c r="H246" s="34" t="n"/>
      <c r="I246" s="33" t="n"/>
      <c r="J246"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6" s="35" t="n"/>
      <c r="L246" s="34" t="n"/>
      <c r="M246" s="35" t="n"/>
      <c r="N246" s="34" t="n"/>
      <c r="O246" s="35" t="inlineStr">
        <is>
          <t>Mock</t>
        </is>
      </c>
      <c r="P246" s="35" t="inlineStr">
        <is>
          <t>Mock Rx20 UBU</t>
        </is>
      </c>
    </row>
    <row r="247" ht="409.6" customHeight="1" s="49">
      <c r="A247" s="33" t="n"/>
      <c r="B247" s="34" t="n"/>
      <c r="C247" s="35" t="n"/>
      <c r="D247" s="34" t="n"/>
      <c r="E247" s="34" t="n"/>
      <c r="F247" s="34" t="n"/>
      <c r="G247" s="34" t="n"/>
      <c r="H247" s="34" t="n"/>
      <c r="I247" s="33" t="n"/>
      <c r="J247"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7" s="35" t="n"/>
      <c r="L247" s="34" t="n"/>
      <c r="M247" s="35" t="n"/>
      <c r="N247" s="34" t="n"/>
      <c r="O247" s="35" t="inlineStr">
        <is>
          <t>Mock</t>
        </is>
      </c>
      <c r="P247" s="35" t="inlineStr">
        <is>
          <t>Mock Rx20 UBU</t>
        </is>
      </c>
    </row>
    <row r="248" ht="409.6" customHeight="1" s="49">
      <c r="A248" s="33" t="n"/>
      <c r="B248" s="34" t="n"/>
      <c r="C248" s="35" t="n"/>
      <c r="D248" s="34" t="n"/>
      <c r="E248" s="34" t="n"/>
      <c r="F248" s="34" t="n"/>
      <c r="G248" s="34" t="n"/>
      <c r="H248" s="34" t="n"/>
      <c r="I248" s="33" t="n"/>
      <c r="J248" s="34"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และเป้าหมายความดันโลหิตตามแนวทางเวชปฏิบัติสากล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8" s="35" t="n"/>
      <c r="L248" s="34" t="n"/>
      <c r="M248" s="35" t="n"/>
      <c r="N248" s="34" t="n"/>
      <c r="O248" s="35" t="inlineStr">
        <is>
          <t>ข้อสอบจริง</t>
        </is>
      </c>
      <c r="P248" s="35" t="inlineStr">
        <is>
          <t>ปี 2567</t>
        </is>
      </c>
    </row>
    <row r="249" ht="409.6" customHeight="1" s="49"/>
    <row r="250" ht="409.6" customHeight="1" s="49"/>
    <row r="251" ht="409.6" customHeight="1" s="49"/>
    <row r="252" ht="409.6" customHeight="1" s="49"/>
    <row r="253" ht="409.6" customHeight="1" s="49"/>
    <row r="254" ht="409.6" customHeight="1" s="49"/>
    <row r="255" ht="409.6" customHeight="1" s="49"/>
    <row r="256" ht="409.6" customHeight="1" s="49"/>
    <row r="257" ht="409.6" customHeight="1" s="49"/>
    <row r="258" ht="409.6" customHeight="1" s="49"/>
    <row r="259" ht="409.6" customHeight="1" s="49"/>
    <row r="260" ht="409.6" customHeight="1" s="49"/>
    <row r="261" ht="409.6" customHeight="1" s="49"/>
    <row r="262" ht="409.6" customHeight="1" s="49"/>
    <row r="263" ht="409.6" customHeight="1" s="49"/>
    <row r="264" ht="409.6" customHeight="1" s="49"/>
    <row r="265" ht="409.6"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Q225"/>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35" t="n"/>
      <c r="D3" s="34" t="inlineStr">
        <is>
          <t>เคยใช้ยารักษาสิวใดมาก่อนหรือไม่</t>
        </is>
      </c>
      <c r="E3" s="34" t="inlineStr">
        <is>
          <t>รับประทานยาคุมกำเนิดอยู่หรือไม่</t>
        </is>
      </c>
      <c r="F3" s="34" t="inlineStr">
        <is>
          <t>ออกกำลังกายโดยวิธีใด</t>
        </is>
      </c>
      <c r="G3" s="34" t="inlineStr">
        <is>
          <t>เคยมีประวัติแพ้หรือเครื่องสำอางใดมาก่อนหรือไม่</t>
        </is>
      </c>
      <c r="H3" s="34" t="inlineStr">
        <is>
          <t>กำลังตั้งครรภ์อยู่หรือไม่ หรือวางแผนจะมีบุตรในช่วงนี้หรือไม่</t>
        </is>
      </c>
      <c r="I3" s="33" t="n">
        <v>5</v>
      </c>
      <c r="J3" s="34" t="inlineStr">
        <is>
          <t>✅ คำตอบที่ถูกต้อง: ข้อ ค. ออกกำลังกายโดยวิธีใด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ออกกำลังกายโดยวิธีใด คำถามข้อนี้เน้น safety เรื่อง Teratogenicity จากยาในกลุ่ม Retinoids (เช่น isotretinoin) และยากินอื่นๆ ที่อาจส่งผลต่อทารกในครรภ์ การตั้งครรภ์จึงเป็นข้อห้ามสำคัญที่สุดในการเลือกใช้ยาบางชนิด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35" t="n"/>
      <c r="L3" s="34" t="inlineStr">
        <is>
          <t>Acne</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35" t="n"/>
      <c r="D4" s="34" t="inlineStr">
        <is>
          <t>Chloramphenicol</t>
        </is>
      </c>
      <c r="E4" s="34" t="inlineStr">
        <is>
          <t>Tetracycline</t>
        </is>
      </c>
      <c r="F4" s="34" t="inlineStr">
        <is>
          <t>Roxithromycin</t>
        </is>
      </c>
      <c r="G4" s="34" t="inlineStr">
        <is>
          <t>Norfloxacin</t>
        </is>
      </c>
      <c r="H4" s="34" t="inlineStr">
        <is>
          <t>Azithromycin</t>
        </is>
      </c>
      <c r="I4" s="33" t="inlineStr">
        <is>
          <t>2</t>
        </is>
      </c>
      <c r="J4" s="34"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35" t="n"/>
      <c r="L4" s="34" t="inlineStr">
        <is>
          <t>Acne</t>
        </is>
      </c>
      <c r="M4" s="35" t="inlineStr">
        <is>
          <t>Clinic</t>
        </is>
      </c>
      <c r="N4" s="34" t="inlineStr">
        <is>
          <t>ข้อ 2 Pharma Plus เล่มม่วง (เฉลยข้อ ข)</t>
        </is>
      </c>
      <c r="O4" s="35" t="inlineStr">
        <is>
          <t>Mock</t>
        </is>
      </c>
      <c r="P4" s="35" t="inlineStr">
        <is>
          <t>Pharma Plus เล่มม่วง</t>
        </is>
      </c>
    </row>
    <row r="5" ht="13.2" customHeight="1" s="49">
      <c r="A5" s="33" t="n">
        <v>3</v>
      </c>
      <c r="B5" s="34" t="inlineStr">
        <is>
          <t>กลไกการออกฤทธิ์ของยาในข้อ 2 เป็นอย่างไร</t>
        </is>
      </c>
      <c r="C5" s="35" t="n"/>
      <c r="D5" s="34" t="inlineStr">
        <is>
          <t>ขัดขวางการสร้างผนังเซลล์ของเชื้อแบคทีเรีย ทำให้เซลล์แตกง่าย</t>
        </is>
      </c>
      <c r="E5" s="34" t="inlineStr">
        <is>
          <t>ยับยั้งการสร้าง folate ซึ่งจำเป็นต่อการสร้าง DNA ของเชื้อแบคทีเรีย</t>
        </is>
      </c>
      <c r="F5" s="34" t="inlineStr">
        <is>
          <t>ยับยั้งการสร้างไขมันของเชื้อ</t>
        </is>
      </c>
      <c r="G5" s="34" t="inlineStr">
        <is>
          <t>ยับยั้งการสร้างโปรตีนที่ 30S</t>
        </is>
      </c>
      <c r="H5" s="34" t="inlineStr">
        <is>
          <t>ยับยั้งการสร้างโปรตีนที่ 50S</t>
        </is>
      </c>
      <c r="I5" s="33" t="n">
        <v>4</v>
      </c>
      <c r="J5" s="34" t="inlineStr">
        <is>
          <t>✅ คำตอบที่ถูกต้อง: ข้อ จ. ยับยั้งการสร้างโปรตีนที่ 50S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ยับยั้งการสร้างโปรตีนที่ 50S ยาในกลุ่ม Tetracycline มีกลไกการออกฤทธิ์โดยการจับกับหน่วยย่อย 30S ribosomal subunit ของแบคทีเรีย ทำให้ยับยั้งการสังเคราะห์โปรตีน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Acne</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ยาทา (topical) ใดที่ไม่มีฤทธิ์ antibacterial</t>
        </is>
      </c>
      <c r="C6" s="35" t="n"/>
      <c r="D6" s="34" t="inlineStr">
        <is>
          <t>Erythromycin cream</t>
        </is>
      </c>
      <c r="E6" s="34" t="inlineStr">
        <is>
          <t>Benzoyl peroxide gel</t>
        </is>
      </c>
      <c r="F6" s="34" t="inlineStr">
        <is>
          <t>Adapalene gel</t>
        </is>
      </c>
      <c r="G6" s="34" t="inlineStr">
        <is>
          <t>Azelaic acid cream</t>
        </is>
      </c>
      <c r="H6" s="34" t="inlineStr">
        <is>
          <t>Clindamycin gel</t>
        </is>
      </c>
      <c r="I6" s="33" t="inlineStr">
        <is>
          <t>3</t>
        </is>
      </c>
      <c r="J6" s="34"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35" t="n"/>
      <c r="L6" s="34" t="inlineStr">
        <is>
          <t>Acne</t>
        </is>
      </c>
      <c r="M6" s="35" t="inlineStr">
        <is>
          <t>Clinic</t>
        </is>
      </c>
      <c r="N6" s="34" t="inlineStr">
        <is>
          <t>ข้อ 4 Pharma Plus เล่มม่วง (เฉลยข้อ ค)</t>
        </is>
      </c>
      <c r="O6" s="35" t="inlineStr">
        <is>
          <t>Mock</t>
        </is>
      </c>
      <c r="P6" s="35" t="inlineStr">
        <is>
          <t>Pharma Plus เล่มม่วง</t>
        </is>
      </c>
    </row>
    <row r="7" ht="13.2" customHeight="1" s="49">
      <c r="A7" s="33" t="n">
        <v>5</v>
      </c>
      <c r="B7" s="34" t="inlineStr">
        <is>
          <t>คำแนะนำเกี่ยวกับยา ATB ชนิดกินเพื่อรักษาสิวในผู้ป่วยรายนี้ ข้อใดผิด</t>
        </is>
      </c>
      <c r="C7" s="35" t="n"/>
      <c r="D7" s="34" t="inlineStr">
        <is>
          <t>ควรกินต่อเนื่อง 3-4 เดือน</t>
        </is>
      </c>
      <c r="E7" s="34" t="inlineStr">
        <is>
          <t>ผลข้างเคียงที่พบได้บ่อยคือ N/V</t>
        </is>
      </c>
      <c r="F7" s="34" t="inlineStr">
        <is>
          <t>จะเริ่มเห็นผลของยาในเวลา 3-4 weeks</t>
        </is>
      </c>
      <c r="G7" s="34" t="inlineStr">
        <is>
          <t>การใช้ยาจะเริ่มขนาดต่ำ ๆ แล้วค่อยเพิ่มขนาดสูงขึ้น</t>
        </is>
      </c>
      <c r="H7" s="34" t="inlineStr">
        <is>
          <t>อาจทำให้การคุมกำเนิดด้วย OC ไม่ได้ผล</t>
        </is>
      </c>
      <c r="I7" s="33" t="n">
        <v>4</v>
      </c>
      <c r="J7" s="34"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35" t="n"/>
      <c r="L7" s="34" t="inlineStr">
        <is>
          <t>Acne</t>
        </is>
      </c>
      <c r="M7" s="35" t="inlineStr">
        <is>
          <t>Clinic</t>
        </is>
      </c>
      <c r="N7" s="34" t="inlineStr">
        <is>
          <t>ข้อ 5 Pharma Plus เล่มม่วง (เฉลยข้อ ง)</t>
        </is>
      </c>
      <c r="O7" s="35" t="inlineStr">
        <is>
          <t>Mock</t>
        </is>
      </c>
      <c r="P7" s="35" t="inlineStr">
        <is>
          <t>Pharma Plus เล่มม่วง</t>
        </is>
      </c>
    </row>
    <row r="8" ht="13.2" customHeight="1" s="49">
      <c r="A8" s="33" t="n">
        <v>6</v>
      </c>
      <c r="B8" s="34" t="inlineStr">
        <is>
          <t>เภสัชกรจ่ายยาทา isotretinoin ให้กับผู้ป่วย ข้อแนะนำใดที่ให้กับผู้ป่วยไม่ถูกต้อง</t>
        </is>
      </c>
      <c r="C8" s="35" t="n"/>
      <c r="D8" s="34" t="inlineStr">
        <is>
          <t>ทายาวันละ 1 ครั้ง ตอนเช้าโดยไม่ให้ใช้ร่วมกับครีมกันแดด</t>
        </is>
      </c>
      <c r="E8" s="34" t="inlineStr">
        <is>
          <t>อาจทำให้สิวมากขึ้นในช่วง 3-4 สัปดาห์แรกที่ใช้ยา</t>
        </is>
      </c>
      <c r="F8" s="34" t="inlineStr">
        <is>
          <t>ทายาทั่วหน้า ระวังอย่าให้เข้าตา</t>
        </is>
      </c>
      <c r="G8" s="34" t="inlineStr">
        <is>
          <t>อาจเกิดอาการข้างเคียง คือ หน้าแดง แสบ แห้งและลอก</t>
        </is>
      </c>
      <c r="H8" s="34" t="inlineStr">
        <is>
          <t>ยาจะได้ผลดีเมื่อใช้ประมาณ 3-4 เดือน</t>
        </is>
      </c>
      <c r="I8" s="33" t="inlineStr">
        <is>
          <t>1</t>
        </is>
      </c>
      <c r="J8" s="34"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35" t="n"/>
      <c r="L8" s="34" t="inlineStr">
        <is>
          <t>Acne</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ยา isotretinoin มีข้อควรระวังที่สำคัญในผู้ป่วยรายนี้คือข้อใด</t>
        </is>
      </c>
      <c r="C9" s="35" t="n"/>
      <c r="D9" s="34" t="inlineStr">
        <is>
          <t>Cardiac arrhythmia</t>
        </is>
      </c>
      <c r="E9" s="34" t="inlineStr">
        <is>
          <t>Rhabdomyolysis</t>
        </is>
      </c>
      <c r="F9" s="34" t="inlineStr">
        <is>
          <t>Hemorrhagic stroke</t>
        </is>
      </c>
      <c r="G9" s="34" t="inlineStr">
        <is>
          <t>Teratogenic effect</t>
        </is>
      </c>
      <c r="H9" s="34" t="inlineStr">
        <is>
          <t>Subarachnoid hemorrhage</t>
        </is>
      </c>
      <c r="I9" s="33" t="inlineStr">
        <is>
          <t>4</t>
        </is>
      </c>
      <c r="J9" s="34"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35" t="n"/>
      <c r="L9" s="34" t="inlineStr">
        <is>
          <t>Acne</t>
        </is>
      </c>
      <c r="M9" s="35" t="inlineStr">
        <is>
          <t>Clinic</t>
        </is>
      </c>
      <c r="N9" s="34" t="inlineStr">
        <is>
          <t>ข้อ 7 Pharma Plus เล่มม่วง (เฉลยข้อ ง)</t>
        </is>
      </c>
      <c r="O9" s="35" t="inlineStr">
        <is>
          <t>Mock</t>
        </is>
      </c>
      <c r="P9" s="35" t="inlineStr">
        <is>
          <t>Pharma Plus เล่มม่วง</t>
        </is>
      </c>
    </row>
    <row r="10" ht="13.2" customHeight="1" s="49">
      <c r="A10" s="33" t="n">
        <v>8</v>
      </c>
      <c r="B10" s="34" t="inlineStr">
        <is>
          <t>ผู้ป่วยหญิงไทย อายุ 28 ปี มาพบเภสัชกรที่ร้านยา เพื่อซื้อยารักษาสิว ข้อใดสัมพันธ์กับการเกิดสิวน้อยที่สุด</t>
        </is>
      </c>
      <c r="C10" s="35" t="n"/>
      <c r="D10" s="34" t="inlineStr">
        <is>
          <t>พันธุกรรม</t>
        </is>
      </c>
      <c r="E10" s="34" t="inlineStr">
        <is>
          <t>ยา steroid</t>
        </is>
      </c>
      <c r="F10" s="34" t="inlineStr">
        <is>
          <t>ฮอร์โมนเพศไม่สมดุล</t>
        </is>
      </c>
      <c r="G10" s="34" t="inlineStr">
        <is>
          <t>ภาวะเครียด</t>
        </is>
      </c>
      <c r="H10" s="34" t="inlineStr">
        <is>
          <t>อาหารประเภทโปรตีนสูง</t>
        </is>
      </c>
      <c r="I10" s="33" t="inlineStr">
        <is>
          <t>5</t>
        </is>
      </c>
      <c r="J10" s="34"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35" t="n"/>
      <c r="L10" s="34" t="inlineStr">
        <is>
          <t>Acne</t>
        </is>
      </c>
      <c r="M10" s="35" t="inlineStr">
        <is>
          <t>Clinic</t>
        </is>
      </c>
      <c r="N10" s="34" t="inlineStr">
        <is>
          <t>ข้อ 8 Pharma Plus เล่มม่วง (เฉลยข้อ จ)</t>
        </is>
      </c>
      <c r="O10" s="35" t="inlineStr">
        <is>
          <t>Mock</t>
        </is>
      </c>
      <c r="P10" s="35" t="inlineStr">
        <is>
          <t>Pharma Plus เล่มม่วง</t>
        </is>
      </c>
    </row>
    <row r="11" ht="13.2" customHeight="1" s="49">
      <c r="A11" s="33" t="n">
        <v>9</v>
      </c>
      <c r="B11" s="34" t="inlineStr">
        <is>
          <t>ข้อใดผิดเกี่ยวกับวิธีการรักษาสิว</t>
        </is>
      </c>
      <c r="C11" s="35" t="n"/>
      <c r="D11" s="34" t="inlineStr">
        <is>
          <t>การลดการทำงานของต่อมไขมัน</t>
        </is>
      </c>
      <c r="E11" s="34" t="inlineStr">
        <is>
          <t>สิวอักเสบและสิวไม่อักเสบ มีวิธีการรักษาแตกต่างกัน</t>
        </is>
      </c>
      <c r="F11" s="34" t="inlineStr">
        <is>
          <t>การรักษาสิวที่ดีต้องเริ่มต้นด้วย systemic antibiotic เท่านั้น</t>
        </is>
      </c>
      <c r="G11" s="34" t="inlineStr">
        <is>
          <t>มีฮอร์โมนบางชนิดใช้รักษาสิวได้</t>
        </is>
      </c>
      <c r="H11" s="34" t="inlineStr">
        <is>
          <t>การใช้ antibiotic รักษาต้องใช้ติดต่อกันเป็นระยะยาว</t>
        </is>
      </c>
      <c r="I11" s="33" t="inlineStr">
        <is>
          <t>3</t>
        </is>
      </c>
      <c r="J11" s="34"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35" t="n"/>
      <c r="L11" s="34" t="inlineStr">
        <is>
          <t>Acne</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ข้อใดผิดเกี่ยวกับ Isotretinoin ชนิดรับประทาน</t>
        </is>
      </c>
      <c r="C12" s="35" t="n"/>
      <c r="D12" s="34" t="inlineStr">
        <is>
          <t>เป็นอนุพันธ์ของ vitamin A ที่ดูดซึมได้ในทางเดินอาหาร</t>
        </is>
      </c>
      <c r="E12" s="34" t="inlineStr">
        <is>
          <t>จัดเป็น drug of choice สำหรับการรักษาสิว</t>
        </is>
      </c>
      <c r="F12" s="34" t="inlineStr">
        <is>
          <t>ใช้ได้กับสิวที่ไม่ตอบสนองต่อการรักษาด้วยวิธีอื่น</t>
        </is>
      </c>
      <c r="G12" s="34" t="inlineStr">
        <is>
          <t>ห้ามใช้ในคนไข้ที่ตั้งครรภ์</t>
        </is>
      </c>
      <c r="H12" s="34" t="inlineStr">
        <is>
          <t>ทำให้ระดับ serum triglyceride สูงขึ้น</t>
        </is>
      </c>
      <c r="I12" s="33" t="inlineStr">
        <is>
          <t>2</t>
        </is>
      </c>
      <c r="J12" s="34"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35" t="n"/>
      <c r="L12" s="34" t="inlineStr">
        <is>
          <t>Acne</t>
        </is>
      </c>
      <c r="M12" s="35" t="inlineStr">
        <is>
          <t>Clinic</t>
        </is>
      </c>
      <c r="N12" s="34" t="inlineStr">
        <is>
          <t>ข้อ 10 Pharma Plus เล่มม่วง (เฉลยข้อ ข)</t>
        </is>
      </c>
      <c r="O12" s="35" t="inlineStr">
        <is>
          <t>Mock</t>
        </is>
      </c>
      <c r="P12" s="35" t="inlineStr">
        <is>
          <t>Pharma Plus เล่มม่วง</t>
        </is>
      </c>
    </row>
    <row r="13" ht="13.2" customHeight="1" s="49">
      <c r="A13" s="33" t="n">
        <v>11</v>
      </c>
      <c r="B13" s="34" t="inlineStr">
        <is>
          <t>ข้อใดผิดเกี่ยวกับการใช้ฮอร์โมนรักษาสิว</t>
        </is>
      </c>
      <c r="C13" s="35" t="n"/>
      <c r="D13" s="34" t="inlineStr">
        <is>
          <t>ใช้ยาคุมกำเนิดที่มี cyproterone เป็นส่วนประกอบ เช่น Yasmin</t>
        </is>
      </c>
      <c r="E13" s="34" t="inlineStr">
        <is>
          <t>Spironolactone ออกฤทธิ์ต้าน androgen ซึ่งจะทำให้ขนาดของต่อมไขมันและปริมาณของไขมันลดลง</t>
        </is>
      </c>
      <c r="F13" s="34" t="inlineStr">
        <is>
          <t>Spironolactone ไม่ควรใช้ในผู้ชาย เนื่องจากทำให้เกิดอาการ loss of libido และ gynecomastia</t>
        </is>
      </c>
      <c r="G13" s="34" t="inlineStr">
        <is>
          <t>การใช้ฮอร์โมนรักษาสิวควรพิจารณาในผู้หญิงที่มีสิวและมีภาวะอื่นของ hyperandrogen เช่น hirsutism</t>
        </is>
      </c>
      <c r="H13" s="34" t="inlineStr">
        <is>
          <t>ปริมาณของ ethinyl estradiol (EE) ที่ใช้คือ 0.02-0.035 mg</t>
        </is>
      </c>
      <c r="I13" s="33" t="n">
        <v>1</v>
      </c>
      <c r="J13" s="34"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35" t="n"/>
      <c r="L13" s="34" t="inlineStr">
        <is>
          <t>Acne</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ถ้าเภสัชกรพิจารณาให้ยา tetracycline แก่ผู้ป่วยข้อใดคือคำแนะนำที่ไม่ถูกต้อง</t>
        </is>
      </c>
      <c r="C14" s="35" t="n"/>
      <c r="D14" s="34" t="inlineStr">
        <is>
          <t>ควรหลีกเลี่ยงแสงแดด</t>
        </is>
      </c>
      <c r="E14" s="34" t="inlineStr">
        <is>
          <t>ไม่ควรรับประทานพร้อมนมหรือยาลดกรด</t>
        </is>
      </c>
      <c r="F14" s="34" t="inlineStr">
        <is>
          <t>ถ้าเป็นผู้หญิงที่รับประทานยาคุมกำเนิด ควรแนะนำให้คุมกำเนิดวิธีอื่นร่วมด้วย</t>
        </is>
      </c>
      <c r="G14" s="34" t="inlineStr">
        <is>
          <t>แนะนำให้ใช้ครีมกันแดด</t>
        </is>
      </c>
      <c r="H14" s="34" t="inlineStr">
        <is>
          <t>สามารถใช้ในหญิงมีครรภ์และหญิงให้นมบุตรได้</t>
        </is>
      </c>
      <c r="I14" s="33" t="n">
        <v>5</v>
      </c>
      <c r="J14" s="34"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Acne</t>
        </is>
      </c>
      <c r="M14" s="35" t="inlineStr">
        <is>
          <t>Clinic</t>
        </is>
      </c>
      <c r="N14" s="34" t="inlineStr">
        <is>
          <t>ข้อ 12 Pharma Plus เล่มม่วง (เฉลยข้อ จ)</t>
        </is>
      </c>
      <c r="O14" s="35" t="inlineStr">
        <is>
          <t>Mock</t>
        </is>
      </c>
      <c r="P14" s="35" t="inlineStr">
        <is>
          <t>Pharma Plus เล่มม่วง</t>
        </is>
      </c>
    </row>
    <row r="15" ht="13.2" customHeight="1" s="49">
      <c r="A15" s="33" t="n">
        <v>13</v>
      </c>
      <c r="B15" s="34" t="inlineStr">
        <is>
          <t>ยาครีม isotretinoin 0.05% cream จัดเป็นยาประเภทใดตาม พรบ.ยา</t>
        </is>
      </c>
      <c r="C15" s="35" t="n"/>
      <c r="D15" s="34" t="inlineStr">
        <is>
          <t>ยาใช้ภายนอกที่ไม่ใช่ยาอันตราย</t>
        </is>
      </c>
      <c r="E15" s="34" t="inlineStr">
        <is>
          <t>ยาใช้ภายนอกและยาอันตราย</t>
        </is>
      </c>
      <c r="F15" s="34" t="inlineStr">
        <is>
          <t>ยาใช้ภายนอกและยาควบคุมพิเศษ</t>
        </is>
      </c>
      <c r="G15" s="34" t="inlineStr">
        <is>
          <t>ยาใช้เฉพาะที่และยาอันตราย</t>
        </is>
      </c>
      <c r="H15" s="34" t="inlineStr">
        <is>
          <t>ยาใช้เฉพาะที่และยาควบคุมพิเศษ</t>
        </is>
      </c>
      <c r="I15" s="33" t="inlineStr">
        <is>
          <t>2</t>
        </is>
      </c>
      <c r="J15" s="34"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35" t="n"/>
      <c r="L15" s="34" t="inlineStr">
        <is>
          <t>Acne</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35" t="n"/>
      <c r="D16" s="34" t="inlineStr">
        <is>
          <t>Alkaloid</t>
        </is>
      </c>
      <c r="E16" s="34" t="inlineStr">
        <is>
          <t>Flavonoid</t>
        </is>
      </c>
      <c r="F16" s="34" t="inlineStr">
        <is>
          <t>Glycoside</t>
        </is>
      </c>
      <c r="G16" s="34" t="inlineStr">
        <is>
          <t>Retinoid</t>
        </is>
      </c>
      <c r="H16" s="34" t="inlineStr">
        <is>
          <t>Terpenoid</t>
        </is>
      </c>
      <c r="I16" s="33" t="inlineStr">
        <is>
          <t>4</t>
        </is>
      </c>
      <c r="J16" s="34"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35" t="n"/>
      <c r="L16" s="34" t="inlineStr">
        <is>
          <t>Acne</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35" t="n"/>
      <c r="D17" s="34" t="inlineStr">
        <is>
          <t>Isotretinoin ออกฤทธิ์ลดการหลั่ง sebum</t>
        </is>
      </c>
      <c r="E17" s="34" t="inlineStr">
        <is>
          <t>Benzoyl peroxide ออกฤทธิ์โดยไปย่อย comedone และเร่งการแบ่งตัวของepithelial cell จึงลดการอุดตันของสิว</t>
        </is>
      </c>
      <c r="F17" s="34" t="inlineStr">
        <is>
          <t>Doxycycline ออกฤทธิ์โดยฆ่าเชื้อ P. acnes แต่ไม่มีฤทธิ์ต้านการทำงานของฮอร์โมนเพศชาย</t>
        </is>
      </c>
      <c r="G17" s="34" t="inlineStr">
        <is>
          <t>Isotretinoin สามารถเสริมฤทธิ์ต้านการอักเสบของ benzoyl peroxide</t>
        </is>
      </c>
      <c r="H17" s="34" t="inlineStr">
        <is>
          <t>Clindamycin ออกฤทธิ์ยับยั้งการสร้างไขมัน</t>
        </is>
      </c>
      <c r="I17" s="33" t="n">
        <v>3</v>
      </c>
      <c r="J17" s="34"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35" t="n"/>
      <c r="L17" s="34" t="inlineStr">
        <is>
          <t>Acne</t>
        </is>
      </c>
      <c r="M17" s="35" t="inlineStr">
        <is>
          <t>Clinic</t>
        </is>
      </c>
      <c r="N17" s="34" t="inlineStr">
        <is>
          <t>ข้อ 15 Pharma Plus เล่มม่วง (เฉลยข้อ ค)</t>
        </is>
      </c>
      <c r="O17" s="35" t="inlineStr">
        <is>
          <t>Mock</t>
        </is>
      </c>
      <c r="P17" s="35" t="inlineStr">
        <is>
          <t>Pharma Plus เล่มม่วง</t>
        </is>
      </c>
    </row>
    <row r="18" ht="13.2" customHeight="1" s="49">
      <c r="A18" s="33" t="n">
        <v>16</v>
      </c>
      <c r="B18"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35" t="n"/>
      <c r="D18" s="34" t="inlineStr">
        <is>
          <t>Anti-inflammation</t>
        </is>
      </c>
      <c r="E18" s="34" t="inlineStr">
        <is>
          <t>Antimicrobial</t>
        </is>
      </c>
      <c r="F18" s="34" t="inlineStr">
        <is>
          <t>Antioxidant</t>
        </is>
      </c>
      <c r="G18" s="34" t="inlineStr">
        <is>
          <t>Astringent</t>
        </is>
      </c>
      <c r="H18" s="34" t="inlineStr">
        <is>
          <t>Comedolytic</t>
        </is>
      </c>
      <c r="I18" s="33" t="inlineStr">
        <is>
          <t>5</t>
        </is>
      </c>
      <c r="J18" s="34"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35" t="n"/>
      <c r="L18" s="34" t="inlineStr">
        <is>
          <t>Acne</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35" t="n"/>
      <c r="D19" s="34" t="inlineStr">
        <is>
          <t>Comedonal acne</t>
        </is>
      </c>
      <c r="E19" s="34" t="inlineStr">
        <is>
          <t>Non-inflammatory acne</t>
        </is>
      </c>
      <c r="F19" s="34" t="inlineStr">
        <is>
          <t>Papular acne</t>
        </is>
      </c>
      <c r="G19" s="34" t="inlineStr">
        <is>
          <t>Pustule acne</t>
        </is>
      </c>
      <c r="H19" s="34" t="inlineStr">
        <is>
          <t>Nodulocystic acne</t>
        </is>
      </c>
      <c r="I19" s="33" t="inlineStr">
        <is>
          <t>5</t>
        </is>
      </c>
      <c r="J19" s="34"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35" t="n"/>
      <c r="L19" s="34" t="inlineStr">
        <is>
          <t>Acne</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35" t="n"/>
      <c r="D20" s="34" t="inlineStr">
        <is>
          <t>ขนาดยารวมในผู้ป่วยปกติคือ 120-150 มก./กก.</t>
        </is>
      </c>
      <c r="E20" s="34" t="inlineStr">
        <is>
          <t>ผู้หญิงที่รับประทานยานี้ต้องคุมกำเนิดโดยวิธีอื่น ๆ ยกเว้นการรับประทานยาคุมกำเนิด</t>
        </is>
      </c>
      <c r="F20" s="34" t="inlineStr">
        <is>
          <t>ผู้ป่วยควรหลีกเลี่ยงการถูกแสงแดด เนื่องจากอาจเกิดภาวะผิวหนังไวต่อแสง</t>
        </is>
      </c>
      <c r="G20" s="34" t="inlineStr">
        <is>
          <t>อาการข้างเคียงที่พบได้บ่อยได้แก่ หน้าแห้ง ริมฝีปากลอก</t>
        </is>
      </c>
      <c r="H20" s="34" t="inlineStr">
        <is>
          <t>อาจมีระดับไตรกลีเซอไรด์ในเลือดสูง</t>
        </is>
      </c>
      <c r="I20" s="33" t="n">
        <v>2</v>
      </c>
      <c r="J20" s="34"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35" t="n"/>
      <c r="L20" s="34" t="inlineStr">
        <is>
          <t>Acne</t>
        </is>
      </c>
      <c r="M20" s="35" t="inlineStr">
        <is>
          <t>Clinic</t>
        </is>
      </c>
      <c r="N20" s="34" t="inlineStr">
        <is>
          <t>ข้อ 18 Pharma Plus เล่มม่วง (เฉลยข้อ ข)</t>
        </is>
      </c>
      <c r="O20" s="35" t="inlineStr">
        <is>
          <t>Mock</t>
        </is>
      </c>
      <c r="P20" s="35" t="inlineStr">
        <is>
          <t>Pharma Plus เล่มม่วง</t>
        </is>
      </c>
    </row>
    <row r="21" ht="13.2" customHeight="1" s="49">
      <c r="A21" s="33" t="n">
        <v>19</v>
      </c>
      <c r="B21" s="34"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35" t="n"/>
      <c r="D21" s="34" t="inlineStr">
        <is>
          <t>Chloramphenicol gel</t>
        </is>
      </c>
      <c r="E21" s="34" t="inlineStr">
        <is>
          <t>Erythromycin cream</t>
        </is>
      </c>
      <c r="F21" s="34" t="inlineStr">
        <is>
          <t>Benzoyl peroxide cream</t>
        </is>
      </c>
      <c r="G21" s="34" t="inlineStr">
        <is>
          <t>Benzoyl peroxide hydrophase gel</t>
        </is>
      </c>
      <c r="H21" s="34" t="inlineStr">
        <is>
          <t>Isotretinoin cream</t>
        </is>
      </c>
      <c r="I21" s="33" t="inlineStr">
        <is>
          <t>2</t>
        </is>
      </c>
      <c r="J21" s="34"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35" t="n"/>
      <c r="L21" s="34" t="inlineStr">
        <is>
          <t>Acne</t>
        </is>
      </c>
      <c r="M21" s="35" t="inlineStr">
        <is>
          <t>Clinic</t>
        </is>
      </c>
      <c r="N21" s="34" t="inlineStr">
        <is>
          <t>ข้อ 19 Pharma Plus เล่มม่วง (เฉลยข้อ ข)</t>
        </is>
      </c>
      <c r="O21" s="35" t="inlineStr">
        <is>
          <t>Mock</t>
        </is>
      </c>
      <c r="P21" s="35" t="inlineStr">
        <is>
          <t>Pharma Plus เล่มม่วง</t>
        </is>
      </c>
    </row>
    <row r="22" ht="13.2" customHeight="1" s="49">
      <c r="A22" s="33" t="n">
        <v>20</v>
      </c>
      <c r="B22"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35" t="n"/>
      <c r="D22" s="34" t="inlineStr">
        <is>
          <t>สิวเป็นความผิดปกติของผิวหนังที่พบการอักเสบของรูขุมขนและต่อมไขมัน (Pilosebaceous unit)</t>
        </is>
      </c>
      <c r="E22" s="34" t="inlineStr">
        <is>
          <t>ภาวะที่ร่างกายมีฮอร์โมน estrogen สูงขึ้นจะทำให้การหลั่ง chemotactic factors สำหรับ PMN เพิ่มขึ้น</t>
        </is>
      </c>
      <c r="F22" s="34" t="inlineStr">
        <is>
          <t>P. acnes จะย่อยสลาย sebum ให้เป็น glycerol และ free fatty acid ซึ่ง glycerol จะระคายเคืองและทำให้เกิดการอักเสบของผิวหนัง</t>
        </is>
      </c>
      <c r="G22" s="34" t="inlineStr">
        <is>
          <t>ส่วนประกอบสำคัญในยาคุมกำเนิดที่กระตุ้นทำให้เกิดสิวคือ ฮอร์โมน progesterone</t>
        </is>
      </c>
      <c r="H22" s="34" t="inlineStr">
        <is>
          <t>กรณีที่ follicular canal มีการขยายตัว จะเป็นสิวชนิด open comedone ซึ่งมักมีการอักเสbร่วมด้วย</t>
        </is>
      </c>
      <c r="I22" s="33" t="n">
        <v>1</v>
      </c>
      <c r="J22" s="34"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35" t="n"/>
      <c r="L22" s="34" t="inlineStr">
        <is>
          <t>Acne</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35" t="n"/>
      <c r="D23" s="34" t="inlineStr">
        <is>
          <t>การรับประทานยาฆ่าเชื้อ</t>
        </is>
      </c>
      <c r="E23" s="34" t="inlineStr">
        <is>
          <t>การอดนอน</t>
        </is>
      </c>
      <c r="F23" s="34" t="inlineStr">
        <is>
          <t>การดื่มน้ำอัดลม</t>
        </is>
      </c>
      <c r="G23" s="34" t="inlineStr">
        <is>
          <t>มีฮอร์โมน androgen</t>
        </is>
      </c>
      <c r="H23" s="34" t="inlineStr">
        <is>
          <t>การที่ประจำเดือนมาไม่สม่ำเสมอ</t>
        </is>
      </c>
      <c r="I23" s="33" t="inlineStr">
        <is>
          <t>4</t>
        </is>
      </c>
      <c r="J23" s="34"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35" t="n"/>
      <c r="L23" s="34" t="inlineStr">
        <is>
          <t>Acne</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ข้อใดถูกต้องเกี่ยวกับการรักษาสิว</t>
        </is>
      </c>
      <c r="C24" s="35" t="n"/>
      <c r="D24" s="34" t="inlineStr">
        <is>
          <t>เป้าหมายของการรักษาคือเพื่อรักษาสิวและป้องกันการเกิดสิวขึ้นเพิ่ม</t>
        </is>
      </c>
      <c r="E24" s="34" t="inlineStr">
        <is>
          <t>หลักการรักษาคือ การกำจัดความมันบนใบหน้าให้หมดไปโดยสิ้นเชิง</t>
        </is>
      </c>
      <c r="F24" s="34" t="inlineStr">
        <is>
          <t>ผู้ป่วยทุกรายที่เป็นสิวควรได้รับยาต้านจุลชีพชนิดรับประทาน</t>
        </is>
      </c>
      <c r="G24" s="34" t="inlineStr">
        <is>
          <t>การใช้ยาเฉพาะที่ต้องให้เพียงชนิดใดชนิดหนึ่งเพียงอย่างเดียว</t>
        </is>
      </c>
      <c r="H24" s="34" t="inlineStr">
        <is>
          <t>ผู้ป่วยหญิงที่เป็นสิวทุกรายควรได้รับยาที่มีฤทธิ์ต้านฮอร์โมนโครโดเจน</t>
        </is>
      </c>
      <c r="I24" s="33" t="inlineStr">
        <is>
          <t>1</t>
        </is>
      </c>
      <c r="J24" s="34"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35" t="n"/>
      <c r="L24" s="34" t="inlineStr">
        <is>
          <t>Acne</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ผู้ป่วยรายนี้ควรได้รับยาใดในการรักษาสิว จึงจะเหมาะสมที่สุด</t>
        </is>
      </c>
      <c r="C25" s="35" t="n"/>
      <c r="D25" s="34" t="inlineStr">
        <is>
          <t>รับประทานยา antibacterial ร่วมกับทายา isotretinoin</t>
        </is>
      </c>
      <c r="E25" s="34" t="inlineStr">
        <is>
          <t>รับประทานยา antibacterial ร่วมกับทายา benzoyl peroxide</t>
        </is>
      </c>
      <c r="F25" s="34" t="inlineStr">
        <is>
          <t>รับประทานยา tretinoin ร่วมกับทายา antibacterial</t>
        </is>
      </c>
      <c r="G25" s="34" t="inlineStr">
        <is>
          <t>ทายา isotretinoin ร่วมกับทายา antibacterial</t>
        </is>
      </c>
      <c r="H25" s="34" t="inlineStr">
        <is>
          <t>ทายา isotretinoin ร่วมกับทายา benzoyl peroxide</t>
        </is>
      </c>
      <c r="I25" s="33" t="n">
        <v>2</v>
      </c>
      <c r="J25" s="34" t="inlineStr">
        <is>
          <t>✅ คำตอบที่ถูกต้อง: ข้อ ก. รับประทานยา antibacterial ร่วมกับทายา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รับประทานยา antibacterial ร่วมกับทายา isotretinoin ผู้ป่วยมีอาการปานกลางถึงรุนแรง (มี papule และ pustule กระจายหลายบริเวณ) แนวทางการรักษาตาม Guidelines แนะนำการใช้ยาทาเฉพาะที่ร่วมกัน เช่น Benzoyl peroxide ร่วมกับ topical retinoid หรือพิจารณาให้ oral antibiotic ร่วมด้วยตามความรุนแรง แต่ในตัวเลือกที่เหมาะสมสำหรับยาทาคือ Benzoyl peroxide ร่วมกับยากลุ่มอื่น หรือหากเป็นสิวอักเสบปานกลางควรพิจารณาการใช้ยาทาร่วมกับยารับประทาน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จะเป็นสูตรมาตรฐานตามหลักสากล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35" t="n"/>
      <c r="L25" s="34" t="inlineStr">
        <is>
          <t>Acne</t>
        </is>
      </c>
      <c r="M25" s="35" t="inlineStr">
        <is>
          <t>Clinic</t>
        </is>
      </c>
      <c r="N25" s="34" t="inlineStr">
        <is>
          <t>ข้อ 23 Pharma Plus เล่มม่วง (เฉลยข้อ ก ข)</t>
        </is>
      </c>
      <c r="O25" s="35" t="inlineStr">
        <is>
          <t>Mock</t>
        </is>
      </c>
      <c r="P25" s="35" t="inlineStr">
        <is>
          <t>Pharma Plus เล่มม่วง</t>
        </is>
      </c>
    </row>
    <row r="26" ht="13.2" customHeight="1" s="49">
      <c r="A26" s="33" t="n">
        <v>24</v>
      </c>
      <c r="B26" s="34" t="inlineStr">
        <is>
          <t>ข้อใดไม่ถูกต้องเกี่ยวกับรักษาสิว</t>
        </is>
      </c>
      <c r="C26" s="35" t="n"/>
      <c r="D26" s="34" t="inlineStr">
        <is>
          <t>Benzoyl peroxide เป็นยาที่มี antibacterial effect เป็นหลัก ฤทธิ์รองลงมาเป็น comedolytic และ exfoliative effect</t>
        </is>
      </c>
      <c r="E26" s="34" t="inlineStr">
        <is>
          <t>Isotretinoin และ tretinoin เป็นอนุพันธ์ของ retinoid ที่มี comedolytic effect</t>
        </is>
      </c>
      <c r="F26" s="34" t="inlineStr">
        <is>
          <t>Systemic antibacterial ที่ได้ผลดีในการรักษาสิวอักเสบคือ tetracycline, erythromycin และ clindamycin</t>
        </is>
      </c>
      <c r="G26" s="34" t="inlineStr">
        <is>
          <t>การใช้ benzoyl peroxide ร่วมกับ tretinoin จะช่วยเสริมฤทธิ์กันได้ดี</t>
        </is>
      </c>
      <c r="H26" s="34" t="inlineStr">
        <is>
          <t>Cyproterone acetate เป็น progesterone ที่มี anti-androgenic effect เนื่องจากไปแย่งจับตัวรับของ dihydrotestosterone</t>
        </is>
      </c>
      <c r="I26" s="33" t="inlineStr">
        <is>
          <t>4</t>
        </is>
      </c>
      <c r="J26" s="34"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35" t="n"/>
      <c r="L26" s="34" t="inlineStr">
        <is>
          <t>Acne</t>
        </is>
      </c>
      <c r="M26" s="35" t="inlineStr">
        <is>
          <t>Clinic</t>
        </is>
      </c>
      <c r="N26" s="34" t="inlineStr">
        <is>
          <t>ข้อ 24 Pharma Plus เล่มม่วง (เฉลยข้อ ง)</t>
        </is>
      </c>
      <c r="O26" s="35" t="inlineStr">
        <is>
          <t>Mock</t>
        </is>
      </c>
      <c r="P26" s="35" t="inlineStr">
        <is>
          <t>Pharma Plus เล่มม่วง</t>
        </is>
      </c>
    </row>
    <row r="27" ht="13.2" customHeight="1" s="49">
      <c r="A27" s="33" t="n">
        <v>25</v>
      </c>
      <c r="B27" s="34" t="inlineStr">
        <is>
          <t>คำแนะนำในการรักษาสิวที่ไม่เหมาะสมคือ</t>
        </is>
      </c>
      <c r="C27" s="35" t="n"/>
      <c r="D27" s="34" t="inlineStr">
        <is>
          <t>การทา benzoyl peroxide ในขณะที่ยังล้างหน้าไม่แห้งสนิทจะช่วยเพิ่มการระคายเคือง</t>
        </is>
      </c>
      <c r="E27" s="34" t="inlineStr">
        <is>
          <t>ควรทา antibacterial agent หลังล้างหน้าเพื่อให้สามารถดูดซึมเข้าสู่ผิวหนังได้ดี</t>
        </is>
      </c>
      <c r="F27" s="34" t="inlineStr">
        <is>
          <t>ควรทา tretinoin ในขณะผิวแห้ง โดยกรณีที่ผู้ป่วยมีผิวมัน ควรเลือกใช้ผลิตภัณฑ์ที่เป็นครีม</t>
        </is>
      </c>
      <c r="G27" s="34" t="inlineStr">
        <is>
          <t>ไม่ควรให้สตรีมีครรภ์รับประทานยา isotretinoin เนื่องจากอาจมีผลเสียต่อทารกในครรภ์</t>
        </is>
      </c>
      <c r="H27" s="34" t="inlineStr">
        <is>
          <t>ผู้ป่วยที่ทายา adapalene ควรหลีกเลี่ยงแสงแดด และไม่ควรใช้ยานี้ในสตรีมีครรภ์หรือให้นมบุตร</t>
        </is>
      </c>
      <c r="I27" s="33" t="n">
        <v>3</v>
      </c>
      <c r="J27" s="34" t="inlineStr">
        <is>
          <t>✅ คำตอบที่ถูกต้อง: ข้อ ข. ควรทา antibacterial agent หลังล้างหน้าเพื่อให้สามารถดูดซึมเข้าสู่ผิวหนังได้ดี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ควรทา antibacterial agent หลังล้างหน้าเพื่อให้สามารถดูดซึมเข้าสู่ผิวหนังได้ดี ข้อ 3 ไม่เหมาะสมเนื่องจากผู้ป่วยที่มีผิวมันควรเลือกใช้ผลิตภัณฑ์ในรูปแบบเจลหรือโลชั่น (gel/lotion) มากกว่าครีม เพื่อป้องกันการอุดตันและลดความมันส่วนเกิน ส่วน benzoyl peroxide แบบ wash formulation สามารถทาทิ้งไว้ 15 นาทีก่อนล้างออกเพื่อลดการระคายเคืองได้ และ isotretinoin มีฤทธิ์ teratogenic สูงห้ามใช้ในสตรีมีครรภ์เด็ดขาด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35" t="n"/>
      <c r="L27" s="34" t="inlineStr">
        <is>
          <t>Acne</t>
        </is>
      </c>
      <c r="M27" s="35" t="inlineStr">
        <is>
          <t>Clinic</t>
        </is>
      </c>
      <c r="N27" s="34" t="inlineStr">
        <is>
          <t>ข้อ 25 Pharma Plus เล่มม่วง (เฉลยข้อ ข)</t>
        </is>
      </c>
      <c r="O27" s="35" t="inlineStr">
        <is>
          <t>Mock</t>
        </is>
      </c>
      <c r="P27" s="35" t="inlineStr">
        <is>
          <t>Pharma Plus เล่มม่วง</t>
        </is>
      </c>
    </row>
    <row r="28" ht="13.2" customHeight="1" s="49">
      <c r="A28" s="33" t="n">
        <v>26</v>
      </c>
      <c r="B28" s="34"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35" t="n"/>
      <c r="D28" s="34" t="inlineStr">
        <is>
          <t>บัวบก</t>
        </is>
      </c>
      <c r="E28" s="34" t="inlineStr">
        <is>
          <t>ขมิ้นชัน</t>
        </is>
      </c>
      <c r="F28" s="34" t="inlineStr">
        <is>
          <t>ว่านหางจระเข้</t>
        </is>
      </c>
      <c r="G28" s="34" t="inlineStr">
        <is>
          <t>หม่อน</t>
        </is>
      </c>
      <c r="H28" s="34" t="inlineStr">
        <is>
          <t>แตงกวา</t>
        </is>
      </c>
      <c r="I28" s="33" t="inlineStr">
        <is>
          <t>1</t>
        </is>
      </c>
      <c r="J28" s="34"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35" t="n"/>
      <c r="L28" s="34" t="inlineStr">
        <is>
          <t>Acne</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อาหารประเภทใดที่ต้องแนะนำให้ผู้ป่วยรายนี้งดหรือบริโภคให้น้อยลง</t>
        </is>
      </c>
      <c r="C29" s="35" t="n"/>
      <c r="D29" s="34" t="inlineStr">
        <is>
          <t>อาหารที่มีไขมันและคาร์โบไฮเดรตสูง</t>
        </is>
      </c>
      <c r="E29" s="34" t="inlineStr">
        <is>
          <t>อาหารที่มีโปรตีนและไฟเบอร์สูง</t>
        </is>
      </c>
      <c r="F29" s="34" t="inlineStr">
        <is>
          <t>อาหารที่มีวิตามิน และ แร่ธาตุสูง</t>
        </is>
      </c>
      <c r="G29" s="34" t="inlineStr">
        <is>
          <t>อาหารที่มีเกลือและวิตามินสูง</t>
        </is>
      </c>
      <c r="H29" s="34" t="inlineStr">
        <is>
          <t>อาหารที่มีรสเผ็ดและรสเปรี้ยว</t>
        </is>
      </c>
      <c r="I29" s="33" t="inlineStr">
        <is>
          <t>1</t>
        </is>
      </c>
      <c r="J29" s="34"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35" t="n"/>
      <c r="L29" s="34" t="inlineStr">
        <is>
          <t>Acne</t>
        </is>
      </c>
      <c r="M29" s="35" t="inlineStr">
        <is>
          <t>Clinic</t>
        </is>
      </c>
      <c r="N29" s="34" t="inlineStr">
        <is>
          <t>ข้อ 27 Pharma Plus เล่มม่วง (เฉลยข้อ ก)</t>
        </is>
      </c>
      <c r="O29" s="35" t="inlineStr">
        <is>
          <t>Mock</t>
        </is>
      </c>
      <c r="P29" s="35" t="inlineStr">
        <is>
          <t>Pharma Plus เล่มม่วง</t>
        </is>
      </c>
    </row>
    <row r="30" ht="13.2" customHeight="1" s="49">
      <c r="A30" s="33" t="n">
        <v>28</v>
      </c>
      <c r="B30" s="34"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35" t="n"/>
      <c r="D30" s="34" t="inlineStr">
        <is>
          <t>Norethindrone acetate 3 mg &amp; ethinylestradiol 0.05 mg</t>
        </is>
      </c>
      <c r="E30" s="34" t="inlineStr">
        <is>
          <t>Desogestrel 0.15 mg &amp; ethinylestradiol 0.03 mg</t>
        </is>
      </c>
      <c r="F30" s="34" t="inlineStr">
        <is>
          <t>Ethynodiol diacetate 1 mg &amp; ethinylestradiol 0.045 mg</t>
        </is>
      </c>
      <c r="G30" s="34" t="inlineStr">
        <is>
          <t>Cyproterone acetate 2 mg &amp; ethinylestradiol 0.035 mg</t>
        </is>
      </c>
      <c r="H30" s="34" t="inlineStr">
        <is>
          <t>Levonorgestrel 0.15 mg &amp; ethinylestradiol 0.025 mg</t>
        </is>
      </c>
      <c r="I30" s="33" t="inlineStr">
        <is>
          <t>4</t>
        </is>
      </c>
      <c r="J30" s="34"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35" t="n"/>
      <c r="L30" s="34" t="inlineStr">
        <is>
          <t>Acne</t>
        </is>
      </c>
      <c r="M30" s="35" t="inlineStr">
        <is>
          <t>Clinic</t>
        </is>
      </c>
      <c r="N30" s="34" t="inlineStr">
        <is>
          <t>ข้อ 28 Pharma Plus เล่มม่วง (เฉลยข้อ ง)</t>
        </is>
      </c>
      <c r="O30" s="35" t="inlineStr">
        <is>
          <t>Mock</t>
        </is>
      </c>
      <c r="P30" s="35" t="inlineStr">
        <is>
          <t>Pharma Plus เล่มม่วง</t>
        </is>
      </c>
    </row>
    <row r="31" ht="13.2" customHeight="1" s="49">
      <c r="A31" s="33" t="n">
        <v>29</v>
      </c>
      <c r="B31" s="34"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35" t="n"/>
      <c r="D31" s="34" t="inlineStr">
        <is>
          <t>Aloe vera gel</t>
        </is>
      </c>
      <c r="E31" s="34" t="inlineStr">
        <is>
          <t>Capsaicin gel</t>
        </is>
      </c>
      <c r="F31" s="34" t="inlineStr">
        <is>
          <t>Mupirocin ointment</t>
        </is>
      </c>
      <c r="G31" s="34" t="inlineStr">
        <is>
          <t>Gentamicin cream</t>
        </is>
      </c>
      <c r="H31" s="34" t="inlineStr">
        <is>
          <t>Silver sulfadiazine cream</t>
        </is>
      </c>
      <c r="I31" s="33" t="n">
        <v>5</v>
      </c>
      <c r="J31" s="34"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35" t="n"/>
      <c r="L31" s="34" t="inlineStr">
        <is>
          <t>Wound</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Mupirocin ointment มีข้อดีกว่า gentamicin cream อย่างไร</t>
        </is>
      </c>
      <c r="C32" s="35" t="n"/>
      <c r="D32" s="34" t="inlineStr">
        <is>
          <t>มีคุณสมบัติครอบคลุมเชื้อกลุ่ม anaerobic</t>
        </is>
      </c>
      <c r="E32" s="34" t="inlineStr">
        <is>
          <t>มีคุณสมบัติครอบคลุมเชื้อ MRSA</t>
        </is>
      </c>
      <c r="F32" s="34" t="inlineStr">
        <is>
          <t>มีคุณสมบัติครอบคลุมเชื้อ Pseudomonas aeruginosa</t>
        </is>
      </c>
      <c r="G32" s="34" t="inlineStr">
        <is>
          <t>ระคายเคืองน้อยกว่าและหายเร็วกว่า</t>
        </is>
      </c>
      <c r="H32" s="34" t="inlineStr">
        <is>
          <t>ดูดซึมเข้าผิวหนังได้ดี ใช้ในการติดเชื้อที่บริเวณผิวหนัง</t>
        </is>
      </c>
      <c r="I32" s="33" t="n">
        <v>2</v>
      </c>
      <c r="J32" s="34"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Wound</t>
        </is>
      </c>
      <c r="M32" s="35" t="inlineStr">
        <is>
          <t>Clinic</t>
        </is>
      </c>
      <c r="N32" s="34" t="inlineStr">
        <is>
          <t>ข้อ 30 Pharma Plus เล่มม่วง (เฉลยข้อ ข)</t>
        </is>
      </c>
      <c r="O32" s="35" t="inlineStr">
        <is>
          <t>Mock</t>
        </is>
      </c>
      <c r="P32" s="35" t="inlineStr">
        <is>
          <t>Pharma Plus เล่มม่วง</t>
        </is>
      </c>
    </row>
    <row r="33" ht="13.2" customHeight="1" s="49">
      <c r="A33" s="33" t="n">
        <v>31</v>
      </c>
      <c r="B33" s="34" t="inlineStr">
        <is>
          <t>สมุนไพรใดนำมาใช้รักษาแผลเป็น</t>
        </is>
      </c>
      <c r="C33" s="35" t="n"/>
      <c r="D33" s="34" t="inlineStr">
        <is>
          <t>หอมหัวใหญ่</t>
        </is>
      </c>
      <c r="E33" s="34" t="inlineStr">
        <is>
          <t>กระเทียม</t>
        </is>
      </c>
      <c r="F33" s="34" t="inlineStr">
        <is>
          <t>พริกไทย</t>
        </is>
      </c>
      <c r="G33" s="34" t="inlineStr">
        <is>
          <t>มะกรูด</t>
        </is>
      </c>
      <c r="H33" s="34" t="inlineStr">
        <is>
          <t>ข่า</t>
        </is>
      </c>
      <c r="I33" s="33" t="inlineStr">
        <is>
          <t>1</t>
        </is>
      </c>
      <c r="J33" s="34"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Wound</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สมุนไพรใดที่นำมาใช้เพื่อสมานแผล</t>
        </is>
      </c>
      <c r="C34" s="35" t="n"/>
      <c r="D34" s="34" t="inlineStr">
        <is>
          <t>ขมิ้น</t>
        </is>
      </c>
      <c r="E34" s="34" t="inlineStr">
        <is>
          <t>บัวบก</t>
        </is>
      </c>
      <c r="F34" s="34" t="inlineStr">
        <is>
          <t>พญายอ</t>
        </is>
      </c>
      <c r="G34" s="34" t="inlineStr">
        <is>
          <t>ทองพันชั่ง</t>
        </is>
      </c>
      <c r="H34" s="34" t="inlineStr">
        <is>
          <t>สะระแหน่</t>
        </is>
      </c>
      <c r="I34" s="33" t="inlineStr">
        <is>
          <t>2</t>
        </is>
      </c>
      <c r="J34" s="34"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35" t="n"/>
      <c r="L34" s="34" t="inlineStr">
        <is>
          <t>Wound</t>
        </is>
      </c>
      <c r="M34" s="35" t="inlineStr">
        <is>
          <t>Clinic</t>
        </is>
      </c>
      <c r="N34" s="34" t="inlineStr">
        <is>
          <t>ข้อ 32 Pharma Plus เล่มม่วง (เฉลยข้อ ข)</t>
        </is>
      </c>
      <c r="O34" s="35" t="inlineStr">
        <is>
          <t>Mock</t>
        </is>
      </c>
      <c r="P34" s="35" t="inlineStr">
        <is>
          <t>Pharma Plus เล่มม่วง</t>
        </is>
      </c>
    </row>
    <row r="35" ht="13.2" customHeight="1" s="49">
      <c r="A35" s="33" t="n">
        <v>33</v>
      </c>
      <c r="B35" s="34" t="inlineStr">
        <is>
          <t>อีก 1 สัปดาห์ต่อมา ผู้ป่วยมีภาวะแทรกซ้อน คือ cellulitis ได้เข้ารับการรักษาที่โรงพยาบาล ผู้ป่วยควรได้รับยาใด</t>
        </is>
      </c>
      <c r="C35" s="35" t="n"/>
      <c r="D35" s="34" t="inlineStr">
        <is>
          <t>Amoxicillin รับประทาน</t>
        </is>
      </c>
      <c r="E35" s="34" t="inlineStr">
        <is>
          <t>Cefdinir รับประทาน</t>
        </is>
      </c>
      <c r="F35" s="34" t="inlineStr">
        <is>
          <t>Ceftriaxone ฉีด</t>
        </is>
      </c>
      <c r="G35" s="34" t="inlineStr">
        <is>
          <t>Cloxacillin รับประทาน</t>
        </is>
      </c>
      <c r="H35" s="34" t="inlineStr">
        <is>
          <t>Penicillin G ฉีด</t>
        </is>
      </c>
      <c r="I35" s="33" t="n">
        <v>4</v>
      </c>
      <c r="J35" s="34"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35" t="n"/>
      <c r="L35" s="34" t="inlineStr">
        <is>
          <t>Bacterial Skin Infection</t>
        </is>
      </c>
      <c r="M35" s="35" t="inlineStr">
        <is>
          <t>Clinic</t>
        </is>
      </c>
      <c r="N35" s="34" t="inlineStr">
        <is>
          <t>ข้อ 33 Pharma Plus เล่มม่วง (เฉลยข้อ ง)</t>
        </is>
      </c>
      <c r="O35" s="35" t="inlineStr">
        <is>
          <t>Mock</t>
        </is>
      </c>
      <c r="P35" s="35" t="inlineStr">
        <is>
          <t>Pharma Plus เล่มม่วง</t>
        </is>
      </c>
    </row>
    <row r="36" ht="13.2" customHeight="1" s="49">
      <c r="A36" s="33" t="n">
        <v>34</v>
      </c>
      <c r="B36" s="34" t="inlineStr">
        <is>
          <t>ถ้าผู้ป่วย cellulitis แพ้ penicillin ควรให้ยาอะไรแทน</t>
        </is>
      </c>
      <c r="C36" s="35" t="n"/>
      <c r="D36" s="34" t="inlineStr">
        <is>
          <t>Clindamycin</t>
        </is>
      </c>
      <c r="E36" s="34" t="inlineStr">
        <is>
          <t>Cotrimoxazole</t>
        </is>
      </c>
      <c r="F36" s="34" t="inlineStr">
        <is>
          <t>Ciprofloxacin</t>
        </is>
      </c>
      <c r="G36" s="34" t="inlineStr">
        <is>
          <t>Doxycycline</t>
        </is>
      </c>
      <c r="H36" s="34" t="inlineStr">
        <is>
          <t>Erythromycin</t>
        </is>
      </c>
      <c r="I36" s="33" t="inlineStr">
        <is>
          <t>1</t>
        </is>
      </c>
      <c r="J36" s="34"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Superficial fungal</t>
        </is>
      </c>
      <c r="M36" s="35" t="inlineStr">
        <is>
          <t>Clinic</t>
        </is>
      </c>
      <c r="N36" s="34" t="inlineStr">
        <is>
          <t>ข้อ 34 Pharma Plus เล่มม่วง (เฉลยข้อ ก ข ง)</t>
        </is>
      </c>
      <c r="O36" s="35" t="inlineStr">
        <is>
          <t>Mock</t>
        </is>
      </c>
      <c r="P36" s="35" t="inlineStr">
        <is>
          <t>Pharma Plus เล่มม่วง</t>
        </is>
      </c>
    </row>
    <row r="37" ht="13.2" customHeight="1" s="49">
      <c r="A37" s="33" t="n">
        <v>35</v>
      </c>
      <c r="B37"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35" t="n"/>
      <c r="D37" s="34" t="inlineStr">
        <is>
          <t>Tinea capitis</t>
        </is>
      </c>
      <c r="E37" s="34" t="inlineStr">
        <is>
          <t>Tinea corporis</t>
        </is>
      </c>
      <c r="F37" s="34" t="inlineStr">
        <is>
          <t>Tinea cruris</t>
        </is>
      </c>
      <c r="G37" s="34" t="inlineStr">
        <is>
          <t>Tinea versicolor</t>
        </is>
      </c>
      <c r="H37" s="34" t="inlineStr">
        <is>
          <t>Tinea pedis</t>
        </is>
      </c>
      <c r="I37" s="33" t="n">
        <v>1</v>
      </c>
      <c r="J37" s="34"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35" t="n"/>
      <c r="L37" s="34" t="inlineStr">
        <is>
          <t>Superficial fungal</t>
        </is>
      </c>
      <c r="M37" s="35" t="inlineStr">
        <is>
          <t>Clinic</t>
        </is>
      </c>
      <c r="N37" s="34" t="inlineStr">
        <is>
          <t>ข้อ 35 Pharma Plus เล่มม่วง (เฉลยข้อ ก)</t>
        </is>
      </c>
      <c r="O37" s="35" t="inlineStr">
        <is>
          <t>Mock</t>
        </is>
      </c>
      <c r="P37" s="35" t="inlineStr">
        <is>
          <t>Pharma Plus เล่มม่วง</t>
        </is>
      </c>
    </row>
    <row r="38" ht="13.2" customHeight="1" s="49">
      <c r="A38" s="33" t="n">
        <v>36</v>
      </c>
      <c r="B38" s="34"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35" t="n"/>
      <c r="D38" s="34" t="inlineStr">
        <is>
          <t>14 วัน</t>
        </is>
      </c>
      <c r="E38" s="34" t="inlineStr">
        <is>
          <t>2 เดือน</t>
        </is>
      </c>
      <c r="F38" s="34" t="inlineStr">
        <is>
          <t>3 เดือน</t>
        </is>
      </c>
      <c r="G38" s="34" t="inlineStr">
        <is>
          <t>4 เดือน</t>
        </is>
      </c>
      <c r="H38" s="34" t="inlineStr">
        <is>
          <t>5 เดือน</t>
        </is>
      </c>
      <c r="I38" s="33" t="inlineStr">
        <is>
          <t>2</t>
        </is>
      </c>
      <c r="J38" s="34"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35" t="n"/>
      <c r="L38" s="34" t="inlineStr">
        <is>
          <t>Eczema &amp; Dermatitis</t>
        </is>
      </c>
      <c r="M38" s="35" t="inlineStr">
        <is>
          <t>Clinic</t>
        </is>
      </c>
      <c r="N38" s="34" t="inlineStr">
        <is>
          <t>ข้อ 36 Pharma Plus เล่มม่วง (เฉลยข้อ ข)</t>
        </is>
      </c>
      <c r="O38" s="35" t="inlineStr">
        <is>
          <t>Mock</t>
        </is>
      </c>
      <c r="P38" s="35" t="inlineStr">
        <is>
          <t>Pharma Plus เล่มม่วง</t>
        </is>
      </c>
    </row>
    <row r="39" ht="13.2" customHeight="1" s="49">
      <c r="A39" s="33" t="n">
        <v>37</v>
      </c>
      <c r="B39" s="34" t="inlineStr">
        <is>
          <t>ข้อใดคือ กลไกการออกฤทธิ์ของยา griseofulvin</t>
        </is>
      </c>
      <c r="C39" s="35" t="n"/>
      <c r="D39" s="34" t="inlineStr">
        <is>
          <t>ยับยั้งและรบกวนการสังเคราะห์ ergosterol</t>
        </is>
      </c>
      <c r="E39" s="34" t="inlineStr">
        <is>
          <t>ยับยั้งการสร้าง mycolic acid ใน cell wall</t>
        </is>
      </c>
      <c r="F39" s="34" t="inlineStr">
        <is>
          <t>ยับยั้งการสร้าง microtubule ของ dermatophytes</t>
        </is>
      </c>
      <c r="G39" s="34" t="inlineStr">
        <is>
          <t>จับกับ phospholipids ยับยั้งการสร้าง cell wall</t>
        </is>
      </c>
      <c r="H39" s="34" t="inlineStr">
        <is>
          <t>จับกับ sterol ยับยั้งการสร้างผนังเซลล์</t>
        </is>
      </c>
      <c r="I39" s="33" t="inlineStr">
        <is>
          <t>3</t>
        </is>
      </c>
      <c r="J39" s="34"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35" t="n"/>
      <c r="L39" s="34" t="inlineStr">
        <is>
          <t>Superficial fungal</t>
        </is>
      </c>
      <c r="M39" s="35" t="inlineStr">
        <is>
          <t>Clinic</t>
        </is>
      </c>
      <c r="N39" s="34" t="inlineStr">
        <is>
          <t>ข้อ 37 Pharma Plus เล่มม่วง (เฉลยข้อ ค)</t>
        </is>
      </c>
      <c r="O39" s="35" t="inlineStr">
        <is>
          <t>Mock</t>
        </is>
      </c>
      <c r="P39" s="35" t="inlineStr">
        <is>
          <t>Pharma Plus เล่มม่วง</t>
        </is>
      </c>
    </row>
    <row r="40" ht="13.2" customHeight="1" s="49">
      <c r="A40" s="33" t="n">
        <v>38</v>
      </c>
      <c r="B40" s="34"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35" t="n"/>
      <c r="D40" s="34" t="inlineStr">
        <is>
          <t>มีเฉพาะยาฉีดเท่านั้น</t>
        </is>
      </c>
      <c r="E40" s="34" t="inlineStr">
        <is>
          <t>มีเฉพาะยาใช้ภายนอก</t>
        </is>
      </c>
      <c r="F40" s="34" t="inlineStr">
        <is>
          <t>มีอาการข้างเคียงน้อย</t>
        </is>
      </c>
      <c r="G40" s="34" t="inlineStr">
        <is>
          <t>ถูกเมตาบอไลต์ช้า อยู่ในร่างกายได้นาน</t>
        </is>
      </c>
      <c r="H40" s="34" t="inlineStr">
        <is>
          <t>มีปฏิกิริยาระหว่างยาลดลง</t>
        </is>
      </c>
      <c r="I40" s="33" t="n">
        <v>4</v>
      </c>
      <c r="J40" s="34"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35" t="n"/>
      <c r="L40" s="34" t="inlineStr">
        <is>
          <t>Superficial fungal</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35" t="n"/>
      <c r="D41" s="34" t="inlineStr">
        <is>
          <t>Trichophyton spp.</t>
        </is>
      </c>
      <c r="E41" s="34" t="inlineStr">
        <is>
          <t>Cryptococcus spp.</t>
        </is>
      </c>
      <c r="F41" s="34" t="inlineStr">
        <is>
          <t>Malassezia furfur</t>
        </is>
      </c>
      <c r="G41" s="34" t="inlineStr">
        <is>
          <t>Pneumocystis carinii</t>
        </is>
      </c>
      <c r="H41" s="34" t="inlineStr">
        <is>
          <t>Staphylococcus aureus</t>
        </is>
      </c>
      <c r="I41" s="33" t="inlineStr">
        <is>
          <t>1</t>
        </is>
      </c>
      <c r="J41" s="34"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35" t="n"/>
      <c r="L41" s="34" t="inlineStr">
        <is>
          <t>Superficial fungal</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35" t="n"/>
      <c r="D42" s="34" t="inlineStr">
        <is>
          <t>Whitefield's ointment</t>
        </is>
      </c>
      <c r="E42" s="34" t="inlineStr">
        <is>
          <t>Clotrimazole cream</t>
        </is>
      </c>
      <c r="F42" s="34" t="inlineStr">
        <is>
          <t>Ciclopirox olamine</t>
        </is>
      </c>
      <c r="G42" s="34" t="inlineStr">
        <is>
          <t>Selenium sulfide</t>
        </is>
      </c>
      <c r="H42" s="34" t="inlineStr">
        <is>
          <t>Sulfur dioxide</t>
        </is>
      </c>
      <c r="I42" s="33" t="inlineStr">
        <is>
          <t>3</t>
        </is>
      </c>
      <c r="J42" s="34"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35" t="n"/>
      <c r="L42" s="34" t="inlineStr">
        <is>
          <t>Superficial fungal</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35" t="n"/>
      <c r="D43" s="34" t="inlineStr">
        <is>
          <t>4 สัปดาห์</t>
        </is>
      </c>
      <c r="E43" s="34" t="inlineStr">
        <is>
          <t>2 เดือน</t>
        </is>
      </c>
      <c r="F43" s="34" t="inlineStr">
        <is>
          <t>6 เดือน</t>
        </is>
      </c>
      <c r="G43" s="34" t="inlineStr">
        <is>
          <t>8 เดือน</t>
        </is>
      </c>
      <c r="H43" s="34" t="inlineStr">
        <is>
          <t>จนกว่าเล็บจะเป็นปกติ</t>
        </is>
      </c>
      <c r="I43" s="33" t="n">
        <v>3</v>
      </c>
      <c r="J43" s="34" t="inlineStr">
        <is>
          <t>✅ คำตอบที่ถูกต้อง: ข้อ ก. 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4 สัปดาห์ การรักษาเชื้อราที่เล็บมือ (Fingernail onychomycosis) ด้วยยาทาเฉพาะที่มักใช้เวลานานประมาณ 4-6 เดือน ส่วนเล็บเท้าอาจใช้เวลานานถึง 12 เดือน หรือต้องทาต่อเนื่องจนกว่าเล็บใหม่ที่งอกขึ้นมาจะปกติไร้รอยโรค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35" t="n"/>
      <c r="L43" s="34" t="inlineStr">
        <is>
          <t>Superficial fungal</t>
        </is>
      </c>
      <c r="M43" s="35" t="inlineStr">
        <is>
          <t>Clinic</t>
        </is>
      </c>
      <c r="N43" s="34" t="inlineStr">
        <is>
          <t>ข้อ 41 Pharma Plus เล่มม่วง (เฉลยข้อ )</t>
        </is>
      </c>
      <c r="O43" s="35" t="inlineStr">
        <is>
          <t>Mock</t>
        </is>
      </c>
      <c r="P43" s="35" t="inlineStr">
        <is>
          <t>Pharma Plus เล่มม่วง</t>
        </is>
      </c>
    </row>
    <row r="44" ht="13.2" customHeight="1" s="49">
      <c r="A44" s="33" t="n">
        <v>42</v>
      </c>
      <c r="B44" s="34" t="inlineStr">
        <is>
          <t>ข้อใดไม่ใช่เหตุผลในการให้ยา itraconazole pulse therapy</t>
        </is>
      </c>
      <c r="C44" s="35" t="n"/>
      <c r="D44" s="34" t="inlineStr">
        <is>
          <t>ลดค่าใช้จ่าย</t>
        </is>
      </c>
      <c r="E44" s="34" t="inlineStr">
        <is>
          <t>ลดอาการอันไม่พึงประสงค์จากการใช้ยา</t>
        </is>
      </c>
      <c r="F44" s="34" t="inlineStr">
        <is>
          <t>เพิ่ม compliance ในการรักษา</t>
        </is>
      </c>
      <c r="G44" s="34" t="inlineStr">
        <is>
          <t>การรักษาแบบ pulse therapy ให้ผลการรักษาเหมือนกับการรักษาแบบเดิม</t>
        </is>
      </c>
      <c r="H44" s="34" t="inlineStr">
        <is>
          <t>ลดปัญหาการดื้อยา</t>
        </is>
      </c>
      <c r="I44" s="33" t="inlineStr">
        <is>
          <t>5</t>
        </is>
      </c>
      <c r="J44" s="34"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35" t="n"/>
      <c r="L44" s="34" t="inlineStr">
        <is>
          <t>Superficial fungal</t>
        </is>
      </c>
      <c r="M44" s="35" t="inlineStr">
        <is>
          <t>Clinic</t>
        </is>
      </c>
      <c r="N44" s="34" t="inlineStr">
        <is>
          <t>ข้อ 42 Pharma Plus เล่มม่วง (เฉลยข้อ จ)</t>
        </is>
      </c>
      <c r="O44" s="35" t="inlineStr">
        <is>
          <t>Mock</t>
        </is>
      </c>
      <c r="P44" s="35" t="inlineStr">
        <is>
          <t>Pharma Plus เล่มม่วง</t>
        </is>
      </c>
    </row>
    <row r="45" ht="13.2" customHeight="1" s="49">
      <c r="A45" s="33" t="n">
        <v>43</v>
      </c>
      <c r="B45" s="34" t="inlineStr">
        <is>
          <t>ถ้าใช้ Itraconazole tablet แล้วการรักษาล้มเหลว จะใช้อะไรในการรักษาได้อีก</t>
        </is>
      </c>
      <c r="C45" s="35" t="n"/>
      <c r="D45" s="34" t="inlineStr">
        <is>
          <t>Griseofulvin</t>
        </is>
      </c>
      <c r="E45" s="34" t="inlineStr">
        <is>
          <t>Terbinafine</t>
        </is>
      </c>
      <c r="F45" s="34" t="inlineStr">
        <is>
          <t>Tolnaftate</t>
        </is>
      </c>
      <c r="G45" s="34" t="inlineStr">
        <is>
          <t>Fluconazole</t>
        </is>
      </c>
      <c r="H45" s="34" t="inlineStr">
        <is>
          <t>Miconazole</t>
        </is>
      </c>
      <c r="I45" s="33" t="inlineStr">
        <is>
          <t>2</t>
        </is>
      </c>
      <c r="J45" s="34"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แนวทางเวชปฏิบัติโรคผิวหนังที่พบบ่อย พ.ศ. 2562 (สมาคมแพทย์ผิวหนังแห่งประเทศไทย)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35" t="n"/>
      <c r="L45" s="34" t="inlineStr">
        <is>
          <t>Superficial fungal</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กลไกการออกฤทธิ์ของยา amphotericin B</t>
        </is>
      </c>
      <c r="C46" s="35" t="n"/>
      <c r="D46" s="34" t="inlineStr">
        <is>
          <t>ยับยั้ง CYP 450</t>
        </is>
      </c>
      <c r="E46" s="34" t="inlineStr">
        <is>
          <t>ยับยั้งการสร้าง ergosterol</t>
        </is>
      </c>
      <c r="F46" s="34" t="inlineStr">
        <is>
          <t>จับ ergosterol ทำให้เกิดรูรั่วของ cell membrane</t>
        </is>
      </c>
      <c r="G46" s="34" t="inlineStr">
        <is>
          <t>ยับยั้งการสร้าง RNA polymerase</t>
        </is>
      </c>
      <c r="H46" s="34" t="inlineStr">
        <is>
          <t>ยับยั้งการสร้างโปรตีน</t>
        </is>
      </c>
      <c r="I46" s="33" t="inlineStr">
        <is>
          <t>3</t>
        </is>
      </c>
      <c r="J46" s="34"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35" t="n"/>
      <c r="L46" s="34" t="inlineStr">
        <is>
          <t>Superficial fungal</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35" t="n"/>
      <c r="D47" s="34" t="inlineStr">
        <is>
          <t>Contact dermatitis</t>
        </is>
      </c>
      <c r="E47" s="34" t="inlineStr">
        <is>
          <t>Psoriasis</t>
        </is>
      </c>
      <c r="F47" s="34" t="inlineStr">
        <is>
          <t>Seborrheic dermatitis</t>
        </is>
      </c>
      <c r="G47" s="34" t="inlineStr">
        <is>
          <t>Dandruff</t>
        </is>
      </c>
      <c r="H47" s="34" t="inlineStr">
        <is>
          <t>Tinea versicolor</t>
        </is>
      </c>
      <c r="I47" s="33" t="inlineStr">
        <is>
          <t>3</t>
        </is>
      </c>
      <c r="J47" s="34"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35" t="n"/>
      <c r="L47" s="34" t="inlineStr">
        <is>
          <t>Superficial fungal</t>
        </is>
      </c>
      <c r="M47" s="35" t="inlineStr">
        <is>
          <t>Clinic</t>
        </is>
      </c>
      <c r="N47" s="34" t="inlineStr">
        <is>
          <t>ข้อ 45 Pharma Plus เล่มม่วง (เฉลยข้อ ค)</t>
        </is>
      </c>
      <c r="O47" s="35" t="inlineStr">
        <is>
          <t>Mock</t>
        </is>
      </c>
      <c r="P47" s="35" t="inlineStr">
        <is>
          <t>Pharma Plus เล่มม่วง</t>
        </is>
      </c>
    </row>
    <row r="48" ht="13.2" customHeight="1" s="49">
      <c r="A48" s="33" t="n">
        <v>46</v>
      </c>
      <c r="B48"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35" t="n"/>
      <c r="D48" s="34" t="inlineStr">
        <is>
          <t>Selenium sulfide shampoo</t>
        </is>
      </c>
      <c r="E48" s="34" t="inlineStr">
        <is>
          <t>Tar shampoo</t>
        </is>
      </c>
      <c r="F48" s="34" t="inlineStr">
        <is>
          <t>Salicylic acid</t>
        </is>
      </c>
      <c r="G48" s="34" t="inlineStr">
        <is>
          <t>Topical steroid</t>
        </is>
      </c>
      <c r="H48" s="34" t="inlineStr">
        <is>
          <t>Ketoconazole shampoo</t>
        </is>
      </c>
      <c r="I48" s="33" t="inlineStr">
        <is>
          <t>3</t>
        </is>
      </c>
      <c r="J48" s="34"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35" t="n"/>
      <c r="L48" s="34" t="inlineStr">
        <is>
          <t>Superficial fungal</t>
        </is>
      </c>
      <c r="M48" s="35" t="inlineStr">
        <is>
          <t>Clinic</t>
        </is>
      </c>
      <c r="N48" s="34" t="inlineStr">
        <is>
          <t>ข้อ 46 Pharma Plus เล่มม่วง (เฉลยข้อ ค)</t>
        </is>
      </c>
      <c r="O48" s="35" t="inlineStr">
        <is>
          <t>Mock</t>
        </is>
      </c>
      <c r="P48" s="35" t="inlineStr">
        <is>
          <t>Pharma Plus เล่มม่วง</t>
        </is>
      </c>
    </row>
    <row r="49" ht="13.2" customHeight="1" s="49">
      <c r="A49" s="33" t="n">
        <v>47</v>
      </c>
      <c r="B49" s="34"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35" t="n"/>
      <c r="D49" s="34" t="inlineStr">
        <is>
          <t>0.1% betamethasone valerate &lt; 0.05% betamethasone dipropionate &lt; 0.05% clobetasone propionate</t>
        </is>
      </c>
      <c r="E49" s="34" t="inlineStr">
        <is>
          <t>0.05% clobetasone propionate &lt; 0.1% betamethasone valerate &lt; 0.05% betamethasone dipropionate</t>
        </is>
      </c>
      <c r="F49" s="34" t="inlineStr">
        <is>
          <t>0.05% betamethasone dipropionate &lt; 0.05% clobetasone propionate &lt; 0.1% betamethasone valerate</t>
        </is>
      </c>
      <c r="G49" s="34" t="inlineStr">
        <is>
          <t>0.1% betamethasone valerate &lt; 0.1% triamcinolone acetonide &lt; 0.05% clobetasone propionate</t>
        </is>
      </c>
      <c r="H49" s="34" t="inlineStr">
        <is>
          <t>0.05% clobetasone propionate &lt; 0.1% betamethasone valerate &lt; 0.1% triamcinolone acetonide</t>
        </is>
      </c>
      <c r="I49" s="33" t="n">
        <v>2</v>
      </c>
      <c r="J49" s="34" t="inlineStr">
        <is>
          <t>✅ คำตอบที่ถูกต้อง: ข้อ ก. 0.1% betamethasone valerate &lt; 0.05% betamethasone dipropionate &lt; 0.05% clobetasone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0.1% betamethasone valerate &lt; 0.05% betamethasone dipropionate &lt; 0.05% clobetasone propionate การเรียงลำดับความแรงของยาทา corticosteroids ตามหลักเภสัชวิทยา: Clobetasone propionate เป็นกลุ่ม low-to-medium potency, Betamethasone valerate เป็น medium potency, และ Betamethasone dipropionate เป็น high potency ดังนั้นการเรียงจากน้อยไปมากที่ถูกต้องคือ 0.05% clobetasone propionate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35" t="n"/>
      <c r="L49" s="34" t="inlineStr">
        <is>
          <t>Eczema &amp; Dermatitis</t>
        </is>
      </c>
      <c r="M49" s="35" t="inlineStr">
        <is>
          <t>Clinic</t>
        </is>
      </c>
      <c r="N49" s="34" t="inlineStr">
        <is>
          <t>ข้อ 47 Pharma Plus เล่มม่วง (เฉลยข้อ )</t>
        </is>
      </c>
      <c r="O49" s="35" t="inlineStr">
        <is>
          <t>Mock</t>
        </is>
      </c>
      <c r="P49" s="35" t="inlineStr">
        <is>
          <t>Pharma Plus เล่มม่วง</t>
        </is>
      </c>
    </row>
    <row r="50" ht="13.2" customHeight="1" s="49">
      <c r="A50" s="33" t="n">
        <v>48</v>
      </c>
      <c r="B50" s="34" t="inlineStr">
        <is>
          <t>ข้อใดผิด</t>
        </is>
      </c>
      <c r="C50" s="35" t="n"/>
      <c r="D50" s="34" t="inlineStr">
        <is>
          <t>Ketoconazole shampoo ไม่ควรใช้ในเด็กอายุต่ำกว่า 12 ปี</t>
        </is>
      </c>
      <c r="E50" s="34" t="inlineStr">
        <is>
          <t>Dandruff สามารถรักษาได้ด้วย topical corticosteroid</t>
        </is>
      </c>
      <c r="F50" s="34" t="inlineStr">
        <is>
          <t>Sulfur ออกฤทธิ์เป็น keratolytic agent</t>
        </is>
      </c>
      <c r="G50" s="34" t="inlineStr">
        <is>
          <t>ผลข้างเคียงของ coal tar คือ photosensitivity</t>
        </is>
      </c>
      <c r="H50" s="34" t="inlineStr">
        <is>
          <t>Selenium sulfide ช่วยลด hyperproliferation ของ cell</t>
        </is>
      </c>
      <c r="I50" s="33" t="inlineStr">
        <is>
          <t>5</t>
        </is>
      </c>
      <c r="J50" s="34"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5" t="n"/>
      <c r="L50" s="34" t="inlineStr">
        <is>
          <t>Superficial fungal</t>
        </is>
      </c>
      <c r="M50" s="35" t="inlineStr">
        <is>
          <t>Clinic</t>
        </is>
      </c>
      <c r="N50" s="34" t="inlineStr">
        <is>
          <t>ข้อ 48 Pharma Plus เล่มม่วง (เฉลยข้อ จ)</t>
        </is>
      </c>
      <c r="O50" s="35" t="inlineStr">
        <is>
          <t>Mock</t>
        </is>
      </c>
      <c r="P50" s="35" t="inlineStr">
        <is>
          <t>Pharma Plus เล่มม่วง</t>
        </is>
      </c>
    </row>
    <row r="51" ht="13.2" customHeight="1" s="49">
      <c r="A51" s="33" t="n">
        <v>49</v>
      </c>
      <c r="B51" s="34" t="inlineStr">
        <is>
          <t>ยาที่ใช้ในโรคผิวหนังของชายผู้นี้ รายการใดที่ผู้ป่วยไม่สามารถเรียกซื้อได้จากเภสัชกรหากไม่มีใบสั่งยาจากแพทย์</t>
        </is>
      </c>
      <c r="C51" s="35" t="n"/>
      <c r="D51" s="34" t="inlineStr">
        <is>
          <t>Coal tar shampoo</t>
        </is>
      </c>
      <c r="E51" s="34" t="inlineStr">
        <is>
          <t>Dexamethasone cream</t>
        </is>
      </c>
      <c r="F51" s="34" t="inlineStr">
        <is>
          <t>Betamethasone + salicylic ointment</t>
        </is>
      </c>
      <c r="G51" s="34" t="inlineStr">
        <is>
          <t>Hydroxyzine tablet 25 mg</t>
        </is>
      </c>
      <c r="H51" s="34" t="inlineStr">
        <is>
          <t>Methotrexate tab 2.5 mg</t>
        </is>
      </c>
      <c r="I51" s="33" t="inlineStr">
        <is>
          <t>5</t>
        </is>
      </c>
      <c r="J51" s="34"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35" t="n"/>
      <c r="L51" s="34" t="inlineStr">
        <is>
          <t>Superficial fungal</t>
        </is>
      </c>
      <c r="M51" s="35" t="inlineStr">
        <is>
          <t>Clinic</t>
        </is>
      </c>
      <c r="N51" s="34" t="inlineStr">
        <is>
          <t>ข้อ 49 Pharma Plus เล่มม่วง (เฉลยข้อ จ)</t>
        </is>
      </c>
      <c r="O51" s="35" t="inlineStr">
        <is>
          <t>Mock</t>
        </is>
      </c>
      <c r="P51" s="35" t="inlineStr">
        <is>
          <t>Pharma Plus เล่มม่วง</t>
        </is>
      </c>
    </row>
    <row r="52" ht="13.2" customHeight="1" s="49">
      <c r="A52" s="33" t="n">
        <v>50</v>
      </c>
      <c r="B52"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35" t="n"/>
      <c r="D52" s="34" t="inlineStr">
        <is>
          <t>Tinea versicolor</t>
        </is>
      </c>
      <c r="E52" s="34" t="inlineStr">
        <is>
          <t>Contact dermatitis</t>
        </is>
      </c>
      <c r="F52" s="34" t="inlineStr">
        <is>
          <t>Seborrheic dermatitis</t>
        </is>
      </c>
      <c r="G52" s="34" t="inlineStr">
        <is>
          <t>Psoriasis</t>
        </is>
      </c>
      <c r="H52" s="34" t="inlineStr">
        <is>
          <t>Tinea corporis</t>
        </is>
      </c>
      <c r="I52" s="33" t="inlineStr">
        <is>
          <t>4</t>
        </is>
      </c>
      <c r="J52" s="34"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35" t="n"/>
      <c r="L52" s="34" t="inlineStr">
        <is>
          <t>Eczema &amp; Dermatitis</t>
        </is>
      </c>
      <c r="M52" s="35" t="inlineStr">
        <is>
          <t>Clinic</t>
        </is>
      </c>
      <c r="N52" s="34" t="inlineStr">
        <is>
          <t>ข้อ 50 Pharma Plus เล่มม่วง (เฉลยข้อ ง)</t>
        </is>
      </c>
      <c r="O52" s="35" t="inlineStr">
        <is>
          <t>Mock</t>
        </is>
      </c>
      <c r="P52" s="35" t="inlineStr">
        <is>
          <t>Pharma Plus เล่มม่วง</t>
        </is>
      </c>
    </row>
    <row r="53" ht="13.2" customHeight="1" s="49">
      <c r="A53" s="33" t="n">
        <v>51</v>
      </c>
      <c r="B53" s="34"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35" t="n"/>
      <c r="D53" s="34" t="inlineStr">
        <is>
          <t>Infection</t>
        </is>
      </c>
      <c r="E53" s="34" t="inlineStr">
        <is>
          <t>Allergic reaction</t>
        </is>
      </c>
      <c r="F53" s="34" t="inlineStr">
        <is>
          <t>Autoimmune disease</t>
        </is>
      </c>
      <c r="G53" s="34" t="inlineStr">
        <is>
          <t>Seborrhea inflammation</t>
        </is>
      </c>
      <c r="H53" s="34" t="inlineStr">
        <is>
          <t>ไม่มีข้อใดถูก</t>
        </is>
      </c>
      <c r="I53" s="33" t="inlineStr">
        <is>
          <t>3</t>
        </is>
      </c>
      <c r="J53" s="34"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35" t="n"/>
      <c r="L53" s="34" t="inlineStr">
        <is>
          <t>Eczema &amp; Dermatitis</t>
        </is>
      </c>
      <c r="M53" s="35" t="inlineStr">
        <is>
          <t>Clinic</t>
        </is>
      </c>
      <c r="N53" s="34" t="inlineStr">
        <is>
          <t>ข้อ 51 Pharma Plus เล่มม่วง (เฉลยข้อ ค)</t>
        </is>
      </c>
      <c r="O53" s="35" t="inlineStr">
        <is>
          <t>Mock</t>
        </is>
      </c>
      <c r="P53" s="35" t="inlineStr">
        <is>
          <t>Pharma Plus เล่มม่วง</t>
        </is>
      </c>
    </row>
    <row r="54" ht="13.2" customHeight="1" s="49">
      <c r="A54" s="33" t="n">
        <v>52</v>
      </c>
      <c r="B54"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35" t="n"/>
      <c r="D54" s="34" t="inlineStr">
        <is>
          <t>Herpes simplex</t>
        </is>
      </c>
      <c r="E54" s="34" t="inlineStr">
        <is>
          <t>Herpes zoster</t>
        </is>
      </c>
      <c r="F54" s="34" t="inlineStr">
        <is>
          <t>Varicella</t>
        </is>
      </c>
      <c r="G54" s="34" t="inlineStr">
        <is>
          <t>Rubella</t>
        </is>
      </c>
      <c r="H54" s="34" t="inlineStr">
        <is>
          <t>Measles</t>
        </is>
      </c>
      <c r="I54" s="33" t="inlineStr">
        <is>
          <t>2</t>
        </is>
      </c>
      <c r="J54" s="34"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5" t="n"/>
      <c r="L54" s="34" t="inlineStr">
        <is>
          <t>Eczema &amp; Dermatitis</t>
        </is>
      </c>
      <c r="M54" s="35" t="inlineStr">
        <is>
          <t>Clinic</t>
        </is>
      </c>
      <c r="N54" s="34" t="inlineStr">
        <is>
          <t>ข้อ 52 Pharma Plus เล่มม่วง (เฉลยข้อ ข)</t>
        </is>
      </c>
      <c r="O54" s="35" t="inlineStr">
        <is>
          <t>Mock</t>
        </is>
      </c>
      <c r="P54" s="35" t="inlineStr">
        <is>
          <t>Pharma Plus เล่มม่วง</t>
        </is>
      </c>
    </row>
    <row r="55" ht="13.2" customHeight="1" s="49">
      <c r="A55" s="33" t="n">
        <v>53</v>
      </c>
      <c r="B55" s="34"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35" t="n"/>
      <c r="D55" s="34" t="inlineStr">
        <is>
          <t>บัวบก</t>
        </is>
      </c>
      <c r="E55" s="34" t="inlineStr">
        <is>
          <t>ไพล</t>
        </is>
      </c>
      <c r="F55" s="34" t="inlineStr">
        <is>
          <t>พญายอ</t>
        </is>
      </c>
      <c r="G55" s="34" t="inlineStr">
        <is>
          <t>มะระขี้นก</t>
        </is>
      </c>
      <c r="H55" s="34" t="inlineStr">
        <is>
          <t>ฟ้าทะลายโจร</t>
        </is>
      </c>
      <c r="I55" s="33" t="inlineStr">
        <is>
          <t>3</t>
        </is>
      </c>
      <c r="J55" s="34"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5" t="n"/>
      <c r="L55" s="34" t="inlineStr">
        <is>
          <t>Eczema &amp; Dermatitis</t>
        </is>
      </c>
      <c r="M55" s="35" t="inlineStr">
        <is>
          <t>Clinic</t>
        </is>
      </c>
      <c r="N55" s="34" t="inlineStr">
        <is>
          <t>ข้อ 53 Pharma Plus เล่มม่วง (เฉลยข้อ ค)</t>
        </is>
      </c>
      <c r="O55" s="35" t="inlineStr">
        <is>
          <t>Mock</t>
        </is>
      </c>
      <c r="P55" s="35" t="inlineStr">
        <is>
          <t>Pharma Plus เล่มม่วง</t>
        </is>
      </c>
    </row>
    <row r="56" ht="13.2" customHeight="1" s="49">
      <c r="A56" s="33" t="n">
        <v>54</v>
      </c>
      <c r="B56" s="34" t="inlineStr">
        <is>
          <t>หากผู้ป่วยหายจากโรคแล้ว แต่ยังมีอาการปวดอยู่ ควรให้ยาชนิดใดบรรเทาอาการ</t>
        </is>
      </c>
      <c r="C56" s="35" t="n"/>
      <c r="D56" s="34" t="inlineStr">
        <is>
          <t>Paracetamol</t>
        </is>
      </c>
      <c r="E56" s="34" t="inlineStr">
        <is>
          <t>Ibuprofen</t>
        </is>
      </c>
      <c r="F56" s="34" t="inlineStr">
        <is>
          <t>Amitriptyline</t>
        </is>
      </c>
      <c r="G56" s="34" t="inlineStr">
        <is>
          <t>Celecoxib</t>
        </is>
      </c>
      <c r="H56" s="34" t="inlineStr">
        <is>
          <t>ข้อ ข. และ ง.</t>
        </is>
      </c>
      <c r="I56" s="33" t="inlineStr">
        <is>
          <t>3</t>
        </is>
      </c>
      <c r="J56" s="34"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35" t="n"/>
      <c r="L56" s="34" t="inlineStr">
        <is>
          <t>Superficial fungal</t>
        </is>
      </c>
      <c r="M56" s="35" t="inlineStr">
        <is>
          <t>Clinic</t>
        </is>
      </c>
      <c r="N56" s="34" t="inlineStr">
        <is>
          <t>ข้อ 54 Pharma Plus เล่มม่วง (เฉลยข้อ ค)</t>
        </is>
      </c>
      <c r="O56" s="35" t="inlineStr">
        <is>
          <t>Mock</t>
        </is>
      </c>
      <c r="P56" s="35" t="inlineStr">
        <is>
          <t>Pharma Plus เล่มม่วง</t>
        </is>
      </c>
    </row>
    <row r="57" ht="13.2" customHeight="1" s="49">
      <c r="A57" s="33" t="n">
        <v>55</v>
      </c>
      <c r="B57" s="34"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35" t="n"/>
      <c r="D57" s="34" t="inlineStr">
        <is>
          <t>Tetracycline capsule, topical clindamycin</t>
        </is>
      </c>
      <c r="E57" s="34" t="inlineStr">
        <is>
          <t>Tetracycline capsule, benzoyl peroxide gel</t>
        </is>
      </c>
      <c r="F57" s="34" t="inlineStr">
        <is>
          <t>Tetracycline capsule, oral clindamycin</t>
        </is>
      </c>
      <c r="G57" s="34" t="inlineStr">
        <is>
          <t>Oral isotretinoin, tetracycline capsule</t>
        </is>
      </c>
      <c r="H57" s="34" t="inlineStr">
        <is>
          <t>Topical retinoid, benzoyl peroxide gel</t>
        </is>
      </c>
      <c r="I57" s="33" t="n">
        <v>5</v>
      </c>
      <c r="J57" s="34" t="inlineStr">
        <is>
          <t>✅ คำตอบที่ถูกต้อง: ข้อ ข. Tetracycline capsule,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capsule, benzoyl peroxide gel ผู้ป่วยมีสิวอุดตันและสิวอักเสบเล็กน้อยถึงปานกลาง (Mild to moderate acne vulgaris) ซึ่งเป็นการเกิดสิวครั้งแรกและยังไม่เคยได้รับการรักษา แนวทางการรักษาสิวระดับนี้แนะนำให้ใช้ยาทาเฉพาะที่ (Topical treatment) เป็นหลัก ได้แก่ Topical retinoid ร่วมกับ Antimicrobial agent เช่น Benzoyl peroxide เพื่อลดการดื้อยา ไม่มีความจำเป็นต้องใช้ยารับประทาน (Oral antibiotic) ในขั้นตอนนี้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35" t="n"/>
      <c r="L57" s="34" t="inlineStr">
        <is>
          <t>Acne</t>
        </is>
      </c>
      <c r="M57" s="35" t="inlineStr">
        <is>
          <t>Clinic</t>
        </is>
      </c>
      <c r="N57" s="34" t="inlineStr">
        <is>
          <t>ข้อ 55 Pharma Plus เล่มม่วง (เฉลยข้อ ข)</t>
        </is>
      </c>
      <c r="O57" s="35" t="inlineStr">
        <is>
          <t>Mock</t>
        </is>
      </c>
      <c r="P57" s="35" t="inlineStr">
        <is>
          <t>Pharma Plus เล่มม่วง</t>
        </is>
      </c>
    </row>
    <row r="58" ht="13.2" customHeight="1" s="49">
      <c r="A58" s="33" t="n">
        <v>56</v>
      </c>
      <c r="B58" s="34" t="inlineStr">
        <is>
          <t>Isotretinoin จัดอยู่ใน Pregnancy category อะไร</t>
        </is>
      </c>
      <c r="C58" s="35" t="n"/>
      <c r="D58" s="34" t="inlineStr">
        <is>
          <t>Category A</t>
        </is>
      </c>
      <c r="E58" s="34" t="inlineStr">
        <is>
          <t>Category B</t>
        </is>
      </c>
      <c r="F58" s="34" t="inlineStr">
        <is>
          <t>Category C</t>
        </is>
      </c>
      <c r="G58" s="34" t="inlineStr">
        <is>
          <t>Category D</t>
        </is>
      </c>
      <c r="H58" s="34" t="inlineStr">
        <is>
          <t>Category X</t>
        </is>
      </c>
      <c r="I58" s="33" t="n">
        <v>5</v>
      </c>
      <c r="J58" s="34" t="inlineStr">
        <is>
          <t>✅ คำตอบที่ถูกต้อง: ข้อ จ.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Oral isotretinoin เป็นยาที่มีฤทธิ์ทำให้ทารกในครรภ์พิการอย่างรุนแรง (Teratogenicity) จัดอยู่ใน Pregnancy Category X ห้ามใช้เด็ดขาดในหญิงตั้งครรภ์หรือหญิงที่วางแผนจะตั้งครรภ์
🔍 ข้ออื่นผิดเพราะอะไร:
• ข้อ ก. (Clotrimazole 1% cream): Clotrimazole 1% cream เป็นยาต้านเชื้อราเฉพาะที่ จัดอยู่ใน Pregnancy category B ซึ่งมีความปลอดภัยสูงในสตรีมีครรภ์ ไม่ใช่คำตอบของหมวด Isotretinoin
• ข้อ ข. (Hydrocortisone 1% cream): Hydrocortisone 1% cream เป็นยาทาสเตียรอยด์ความแรงต่ำ จัดอยู่ใน Pregnancy category C สามารถใช้ระยะสั้นได้เมื่อมีความจำเป็น ไม่ใช่คำตอบของคำถามนี้
• ข้อ ค. (Triamcinolone acetonide 0.1% cream): Triamcinolone acetonide 0.1% cream เป็นยาทาสเตียรอยด์ความแรงปานกลาง จัดอยู่ใน Pregnancy category C มีความปลอดภัยในการใช้เฉพาะที่ภายใต้การดูแลของแพทย์
• ข้อ ง. (Clobetasol propionate 0.05% cream): Clobetasol propionate 0.05% cream เป็นยาทาสเตียรอยด์ความแรงสูงสุด จัดอยู่ใน Pregnancy category C ไม่ใช่ตัวเลือกตามเฉลยของข้อสอบข้อนี้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8" s="35" t="n"/>
      <c r="L58" s="34" t="inlineStr">
        <is>
          <t>Acne</t>
        </is>
      </c>
      <c r="M58" s="35" t="inlineStr">
        <is>
          <t>Clinic</t>
        </is>
      </c>
      <c r="N58" s="34" t="inlineStr">
        <is>
          <t>ข้อ 56 Pharma Plus เล่มม่วง (เฉลยข้อ จ)</t>
        </is>
      </c>
      <c r="O58" s="35" t="inlineStr">
        <is>
          <t>Mock</t>
        </is>
      </c>
      <c r="P58" s="35" t="inlineStr">
        <is>
          <t>Pharma Plus เล่มม่วง</t>
        </is>
      </c>
    </row>
    <row r="59" ht="13.2" customHeight="1" s="49">
      <c r="A59" s="33" t="n">
        <v>57</v>
      </c>
      <c r="B59" s="34"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35" t="n"/>
      <c r="D59" s="34" t="inlineStr">
        <is>
          <t>Close comedone</t>
        </is>
      </c>
      <c r="E59" s="34" t="inlineStr">
        <is>
          <t>Open comedone</t>
        </is>
      </c>
      <c r="F59" s="34" t="inlineStr">
        <is>
          <t>Pustule</t>
        </is>
      </c>
      <c r="G59" s="34" t="inlineStr">
        <is>
          <t>Nodule</t>
        </is>
      </c>
      <c r="H59" s="34" t="inlineStr">
        <is>
          <t>Cyst</t>
        </is>
      </c>
      <c r="I59" s="33" t="inlineStr">
        <is>
          <t>4</t>
        </is>
      </c>
      <c r="J59" s="34"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35" t="n"/>
      <c r="L59" s="34" t="inlineStr">
        <is>
          <t>Acne</t>
        </is>
      </c>
      <c r="M59" s="35" t="inlineStr">
        <is>
          <t>Clinic</t>
        </is>
      </c>
      <c r="N59" s="34" t="inlineStr">
        <is>
          <t>ข้อ 57 Pharma Plus เล่มม่วง (เฉลยข้อ ง)</t>
        </is>
      </c>
      <c r="O59" s="35" t="inlineStr">
        <is>
          <t>Mock</t>
        </is>
      </c>
      <c r="P59" s="35" t="inlineStr">
        <is>
          <t>Pharma Plus เล่มม่วง</t>
        </is>
      </c>
    </row>
    <row r="60" ht="13.2" customHeight="1" s="49">
      <c r="A60" s="33" t="n">
        <v>58</v>
      </c>
      <c r="B60" s="34" t="inlineStr">
        <is>
          <t>Oral isotretinoin ใช้ในสิวประเภทใด</t>
        </is>
      </c>
      <c r="C60" s="35" t="n"/>
      <c r="D60" s="34" t="inlineStr">
        <is>
          <t>Close comedone</t>
        </is>
      </c>
      <c r="E60" s="34" t="inlineStr">
        <is>
          <t>Open comedone</t>
        </is>
      </c>
      <c r="F60" s="34" t="inlineStr">
        <is>
          <t>Pustule</t>
        </is>
      </c>
      <c r="G60" s="34" t="inlineStr">
        <is>
          <t>Papule</t>
        </is>
      </c>
      <c r="H60" s="34" t="inlineStr">
        <is>
          <t>Cyst</t>
        </is>
      </c>
      <c r="I60" s="33" t="inlineStr">
        <is>
          <t>5</t>
        </is>
      </c>
      <c r="J60" s="34"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35" t="n"/>
      <c r="L60" s="34" t="inlineStr">
        <is>
          <t>Acne</t>
        </is>
      </c>
      <c r="M60" s="35" t="inlineStr">
        <is>
          <t>Clinic</t>
        </is>
      </c>
      <c r="N60" s="34" t="inlineStr">
        <is>
          <t>ข้อ 58 Pharma Plus เล่มม่วง (เฉลยข้อ จ)</t>
        </is>
      </c>
      <c r="O60" s="35" t="inlineStr">
        <is>
          <t>Mock</t>
        </is>
      </c>
      <c r="P60" s="35" t="inlineStr">
        <is>
          <t>Pharma Plus เล่มม่วง</t>
        </is>
      </c>
    </row>
    <row r="61" ht="13.2" customHeight="1" s="49">
      <c r="A61" s="33" t="n">
        <v>59</v>
      </c>
      <c r="B61" s="34" t="inlineStr">
        <is>
          <t>Benzoyl peroxide ไม่มีคุณสมบัติใด</t>
        </is>
      </c>
      <c r="C61" s="35" t="n"/>
      <c r="D61" s="34" t="inlineStr">
        <is>
          <t>Antisebum</t>
        </is>
      </c>
      <c r="E61" s="34" t="inlineStr">
        <is>
          <t>Anti-inflammation</t>
        </is>
      </c>
      <c r="F61" s="34" t="inlineStr">
        <is>
          <t>Anti-infection</t>
        </is>
      </c>
      <c r="G61" s="34" t="inlineStr">
        <is>
          <t>Exfoliative</t>
        </is>
      </c>
      <c r="H61" s="34" t="inlineStr">
        <is>
          <t>Keratolytic</t>
        </is>
      </c>
      <c r="I61" s="33" t="n">
        <v>1</v>
      </c>
      <c r="J61" s="34" t="inlineStr">
        <is>
          <t>✅ คำตอบที่ถูกต้อง: ข้อ ง. Exfoliative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Exfoliative Benzoyl peroxide มีฤทธิ์ฆ่าเชื้อ C. acnes (Anti-infection / Antimicrobial), มีฤทธิ์ผลัดเซลล์ผิว (Keratolytic / Exfoliative) และช่วยลดการอักเสบ (Anti-inflammatory) แต่ไม่มีฤทธิ์ลดการสร้างต่อมไขมันโดยตรง (Antisebum)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35" t="n"/>
      <c r="L61" s="34" t="inlineStr">
        <is>
          <t>Acne</t>
        </is>
      </c>
      <c r="M61" s="35" t="inlineStr">
        <is>
          <t>Clinic</t>
        </is>
      </c>
      <c r="N61" s="34" t="inlineStr">
        <is>
          <t>ข้อ 59 Pharma Plus เล่มม่วง (เฉลยข้อ ง)</t>
        </is>
      </c>
      <c r="O61" s="35" t="inlineStr">
        <is>
          <t>Mock</t>
        </is>
      </c>
      <c r="P61" s="35" t="inlineStr">
        <is>
          <t>Pharma Plus เล่มม่วง</t>
        </is>
      </c>
    </row>
    <row r="62" ht="13.2" customHeight="1" s="49">
      <c r="A62" s="33" t="n">
        <v>60</v>
      </c>
      <c r="B62"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35" t="n"/>
      <c r="D62" s="34" t="inlineStr">
        <is>
          <t>Impetigo</t>
        </is>
      </c>
      <c r="E62" s="34" t="inlineStr">
        <is>
          <t>Eczema</t>
        </is>
      </c>
      <c r="F62" s="34" t="inlineStr">
        <is>
          <t>Folliculitis</t>
        </is>
      </c>
      <c r="G62" s="34" t="inlineStr">
        <is>
          <t>Rosacea</t>
        </is>
      </c>
      <c r="H62" s="34" t="inlineStr">
        <is>
          <t>Tenia corporis</t>
        </is>
      </c>
      <c r="I62" s="33" t="inlineStr">
        <is>
          <t>2</t>
        </is>
      </c>
      <c r="J62" s="34"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35" t="n"/>
      <c r="L62" s="34" t="inlineStr">
        <is>
          <t>Eczema &amp; Dermatitis</t>
        </is>
      </c>
      <c r="M62" s="35" t="inlineStr">
        <is>
          <t>Clinic</t>
        </is>
      </c>
      <c r="N62" s="34" t="inlineStr">
        <is>
          <t>ข้อ 60 Pharma Plus เล่มม่วง (เฉลยข้อ ข)</t>
        </is>
      </c>
      <c r="O62" s="35" t="inlineStr">
        <is>
          <t>Mock</t>
        </is>
      </c>
      <c r="P62" s="35" t="inlineStr">
        <is>
          <t>Pharma Plus เล่มม่วง</t>
        </is>
      </c>
    </row>
    <row r="63" ht="13.2" customHeight="1" s="49">
      <c r="A63" s="33" t="n">
        <v>61</v>
      </c>
      <c r="B63" s="34"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35" t="n"/>
      <c r="D63" s="34" t="inlineStr">
        <is>
          <t>Burrow's solution</t>
        </is>
      </c>
      <c r="E63" s="34" t="inlineStr">
        <is>
          <t>Antihistamine cream</t>
        </is>
      </c>
      <c r="F63" s="34" t="inlineStr">
        <is>
          <t>Mupirocin ointment</t>
        </is>
      </c>
      <c r="G63" s="34" t="inlineStr">
        <is>
          <t>Ketoconazole cream</t>
        </is>
      </c>
      <c r="H63" s="34" t="inlineStr">
        <is>
          <t>Topical steroid cream</t>
        </is>
      </c>
      <c r="I63" s="33" t="inlineStr">
        <is>
          <t>5</t>
        </is>
      </c>
      <c r="J63" s="34"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35" t="n"/>
      <c r="L63" s="34" t="inlineStr">
        <is>
          <t>Eczema &amp; Dermatitis</t>
        </is>
      </c>
      <c r="M63" s="35" t="inlineStr">
        <is>
          <t>Clinic</t>
        </is>
      </c>
      <c r="N63" s="34" t="inlineStr">
        <is>
          <t>ข้อ 61 Pharma Plus เล่มม่วง (เฉลยข้อ จ)</t>
        </is>
      </c>
      <c r="O63" s="35" t="inlineStr">
        <is>
          <t>Mock</t>
        </is>
      </c>
      <c r="P63" s="35" t="inlineStr">
        <is>
          <t>Pharma Plus เล่มม่วง</t>
        </is>
      </c>
    </row>
    <row r="64" ht="13.2" customHeight="1" s="49">
      <c r="A64" s="33" t="n">
        <v>62</v>
      </c>
      <c r="B64" s="34" t="inlineStr">
        <is>
          <t>ข้อใดผิดเกี่ยวกับยา hydroxyzine</t>
        </is>
      </c>
      <c r="C64" s="35" t="n"/>
      <c r="D64" s="34" t="inlineStr">
        <is>
          <t>มีความจำเพาะต่อ H1 &gt; H2</t>
        </is>
      </c>
      <c r="E64" s="34" t="inlineStr">
        <is>
          <t>ห้ามรับประทานร่วมกับ alcohol</t>
        </is>
      </c>
      <c r="F64" s="34" t="inlineStr">
        <is>
          <t>ห้ามรับประทานร่วมกับ St.John wort</t>
        </is>
      </c>
      <c r="G64" s="34" t="inlineStr">
        <is>
          <t>ถ้าใช้ขนาดสูงจะมีฤทธิ์เป็น anticonvulsant</t>
        </is>
      </c>
      <c r="H64" s="34" t="inlineStr">
        <is>
          <t>ถ้าใช้ขนาดสูงจะทำให้เกิดอาการชัก และง่วง ได้</t>
        </is>
      </c>
      <c r="I64" s="33" t="n">
        <v>4</v>
      </c>
      <c r="J64" s="34" t="inlineStr">
        <is>
          <t>✅ คำตอบที่ถูกต้อง: ข้อ ค. ห้ามรับประทานร่วมกับ St.John wort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ห้ามรับประทานร่วมกับ St.John wort Hydroxyzine เป็นยาแก้แพ้รุ่นที่ 1 ที่มีฤทธิ์กดระบบประสาทส่วนกลาง (Sedation) การใช้ขนาดสูงอาจทำให้เกิด ADR เช่น อาการชัก (seizures) ได้ ไม่ได้มีฤทธิ์เป็น anticonvulsant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5" t="n"/>
      <c r="L64" s="34" t="inlineStr">
        <is>
          <t>Urticaria &amp; Angioedema</t>
        </is>
      </c>
      <c r="M64" s="35" t="inlineStr">
        <is>
          <t>Clinic</t>
        </is>
      </c>
      <c r="N64" s="34" t="inlineStr">
        <is>
          <t>ข้อ 62 Pharma Plus เล่มม่วง (เฉลยข้อ ค ง)</t>
        </is>
      </c>
      <c r="O64" s="35" t="inlineStr">
        <is>
          <t>Mock</t>
        </is>
      </c>
      <c r="P64" s="35" t="inlineStr">
        <is>
          <t>Pharma Plus เล่มม่วง</t>
        </is>
      </c>
    </row>
    <row r="65" ht="13.2" customHeight="1" s="49">
      <c r="A65" s="33" t="n">
        <v>63</v>
      </c>
      <c r="B65" s="34" t="inlineStr">
        <is>
          <t>ยา antihistamine ตัวใดต่อไปนี้มีฤทธิ์ sedative effect มากที่สุด</t>
        </is>
      </c>
      <c r="C65" s="35" t="n"/>
      <c r="D65" s="34" t="inlineStr">
        <is>
          <t>Hydroxyzine</t>
        </is>
      </c>
      <c r="E65" s="34" t="inlineStr">
        <is>
          <t>CPM</t>
        </is>
      </c>
      <c r="F65" s="34" t="inlineStr">
        <is>
          <t>Brompheniramine</t>
        </is>
      </c>
      <c r="G65" s="34" t="inlineStr">
        <is>
          <t>Diphenhydramine</t>
        </is>
      </c>
      <c r="H65" s="34" t="inlineStr">
        <is>
          <t>Cyproheptadine</t>
        </is>
      </c>
      <c r="I65" s="33" t="inlineStr">
        <is>
          <t>4</t>
        </is>
      </c>
      <c r="J65" s="34"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Urticaria &amp; Angioedema</t>
        </is>
      </c>
      <c r="M65" s="35" t="inlineStr">
        <is>
          <t>Clinic</t>
        </is>
      </c>
      <c r="N65" s="34" t="inlineStr">
        <is>
          <t>ข้อ 63 Pharma Plus เล่มม่วง (เฉลยข้อ ง)</t>
        </is>
      </c>
      <c r="O65" s="35" t="inlineStr">
        <is>
          <t>Mock</t>
        </is>
      </c>
      <c r="P65" s="35" t="inlineStr">
        <is>
          <t>Pharma Plus เล่มม่วง</t>
        </is>
      </c>
    </row>
    <row r="66" ht="13.2" customHeight="1" s="49">
      <c r="A66" s="33" t="n">
        <v>64</v>
      </c>
      <c r="B66" s="34" t="inlineStr">
        <is>
          <t>ข้อใดไม่จัดเป็นหัวข้อการทดสอบของยาในรูปแบบ nebulized solution</t>
        </is>
      </c>
      <c r="C66" s="35" t="n"/>
      <c r="D66" s="34" t="inlineStr">
        <is>
          <t>Assay</t>
        </is>
      </c>
      <c r="E66" s="34" t="inlineStr">
        <is>
          <t>Sterility</t>
        </is>
      </c>
      <c r="F66" s="34" t="inlineStr">
        <is>
          <t>Content uniformity</t>
        </is>
      </c>
      <c r="G66" s="34" t="inlineStr">
        <is>
          <t>Particle size</t>
        </is>
      </c>
      <c r="H66" s="34" t="inlineStr">
        <is>
          <t>Impurity</t>
        </is>
      </c>
      <c r="I66" s="33" t="inlineStr">
        <is>
          <t>1</t>
        </is>
      </c>
      <c r="J66" s="34"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Superficial fungal</t>
        </is>
      </c>
      <c r="M66" s="35" t="inlineStr">
        <is>
          <t>Clinic</t>
        </is>
      </c>
      <c r="N66" s="34" t="inlineStr">
        <is>
          <t>Mock PLE-CC 1 ข้อ 102</t>
        </is>
      </c>
      <c r="O66" s="35" t="inlineStr">
        <is>
          <t>Mock</t>
        </is>
      </c>
      <c r="P66" s="35" t="inlineStr">
        <is>
          <t>Mock RxCU83</t>
        </is>
      </c>
      <c r="Q66" s="2" t="n"/>
    </row>
    <row r="67" ht="13.2" customHeight="1" s="49">
      <c r="A67" s="33" t="n">
        <v>65</v>
      </c>
      <c r="B67" s="34" t="inlineStr">
        <is>
          <t>คำแนะนำที่สำคัญที่สุดในการป้องกันการแพร่กระจายของเชื้อ</t>
        </is>
      </c>
      <c r="C67" s="35" t="n"/>
      <c r="D67" s="34" t="inlineStr">
        <is>
          <t>จะไม่แพร่เชื้อถ้ามีตุ่มใสขึ้นแล้ว</t>
        </is>
      </c>
      <c r="E67" s="34" t="inlineStr">
        <is>
          <t>หลีกเลี่ยงการสัมผัสบริเวณที่เป็น และไม่ใช้สิ่งของร่วมกับผู้อื่น</t>
        </is>
      </c>
      <c r="F67" s="34" t="inlineStr">
        <is>
          <t>ปิดพลาสเตอร์ยาบริเวณแผลตลอดเวลา</t>
        </is>
      </c>
      <c r="G67" s="34" t="inlineStr">
        <is>
          <t>ล้างบริเวณนั้นด้วยน ้าและสบู่ทุกวัน</t>
        </is>
      </c>
      <c r="H67" s="34" t="inlineStr">
        <is>
          <t>รับประทานอาหารที่มีวิตามินซีสูง</t>
        </is>
      </c>
      <c r="I67" s="33" t="inlineStr">
        <is>
          <t>1</t>
        </is>
      </c>
      <c r="J67" s="34"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35" t="n"/>
      <c r="L67" s="34" t="inlineStr">
        <is>
          <t>Superficial fungal</t>
        </is>
      </c>
      <c r="M67" s="35" t="inlineStr">
        <is>
          <t>Clinic</t>
        </is>
      </c>
      <c r="N67" s="34" t="inlineStr">
        <is>
          <t>Mock PLE-CC 1 ข้อ 121</t>
        </is>
      </c>
      <c r="O67" s="35" t="inlineStr">
        <is>
          <t>Mock</t>
        </is>
      </c>
      <c r="P67" s="35" t="inlineStr">
        <is>
          <t>Mock RxCU83</t>
        </is>
      </c>
      <c r="Q67" s="2" t="n"/>
    </row>
    <row r="68" ht="13.2" customHeight="1" s="49">
      <c r="A68" s="33" t="n">
        <v>66</v>
      </c>
      <c r="B68" s="34" t="inlineStr">
        <is>
          <t>ข้อใดเป็นการแนะนำเพื่อป้องกันโรคตามพฤติกรรมสุขภาพของผู้บริโภคได้ถูกต้อง</t>
        </is>
      </c>
      <c r="C68" s="35" t="n"/>
      <c r="D68" s="34" t="inlineStr">
        <is>
          <t>แนะนำการปฏิบัติตัว การหลีกเลี่ยงปัจจัยกระตุ้น</t>
        </is>
      </c>
      <c r="E68" s="34" t="inlineStr">
        <is>
          <t>Benzoyl peroxide 2.5% gel</t>
        </is>
      </c>
      <c r="F68" s="34" t="inlineStr">
        <is>
          <t>Acyclovir 5% cream</t>
        </is>
      </c>
      <c r="G68" s="34" t="inlineStr">
        <is>
          <t>แนะน าให้ท าอาชีพอื่น</t>
        </is>
      </c>
      <c r="H68" s="34" t="inlineStr">
        <is>
          <t>แนะน าให้ท าอาชีพอื่น</t>
        </is>
      </c>
      <c r="I68" s="33" t="inlineStr">
        <is>
          <t>1</t>
        </is>
      </c>
      <c r="J68" s="34"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35" t="n"/>
      <c r="L68" s="34" t="inlineStr">
        <is>
          <t>Superficial fungal</t>
        </is>
      </c>
      <c r="M68" s="35" t="inlineStr">
        <is>
          <t>Clinic</t>
        </is>
      </c>
      <c r="N68" s="34" t="inlineStr">
        <is>
          <t>Mock PLE-CC 1 ข้อ 125</t>
        </is>
      </c>
      <c r="O68" s="35" t="inlineStr">
        <is>
          <t>Mock</t>
        </is>
      </c>
      <c r="P68" s="35" t="inlineStr">
        <is>
          <t>Mock RxCU83</t>
        </is>
      </c>
      <c r="Q68" s="2" t="n"/>
    </row>
    <row r="69" ht="13.2" customHeight="1" s="49">
      <c r="A69" s="33" t="n">
        <v>67</v>
      </c>
      <c r="B69" s="34" t="inlineStr">
        <is>
          <t>ยารักษาผื่นที่หน้าในผู้ป่วยรายนี้ได้แก่อะไร</t>
        </is>
      </c>
      <c r="C69" s="35" t="n"/>
      <c r="D69" s="34" t="inlineStr">
        <is>
          <t>aloe vera gel</t>
        </is>
      </c>
      <c r="E69" s="34" t="inlineStr">
        <is>
          <t>Triamcinolone 0.2% cream</t>
        </is>
      </c>
      <c r="F69" s="34" t="inlineStr">
        <is>
          <t>diclofenac cream</t>
        </is>
      </c>
      <c r="G69" s="34" t="inlineStr">
        <is>
          <t>capsaicin cream</t>
        </is>
      </c>
      <c r="H69" s="34" t="inlineStr">
        <is>
          <t>acyclovir cream</t>
        </is>
      </c>
      <c r="I69" s="33" t="inlineStr">
        <is>
          <t>1</t>
        </is>
      </c>
      <c r="J69" s="34"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35" t="n"/>
      <c r="L69" s="34" t="inlineStr">
        <is>
          <t>Eczema &amp; Dermatitis</t>
        </is>
      </c>
      <c r="M69" s="35" t="inlineStr">
        <is>
          <t>Clinic</t>
        </is>
      </c>
      <c r="N69" s="34" t="inlineStr">
        <is>
          <t>PLE_CC1_2567_Key ข้อ 57</t>
        </is>
      </c>
      <c r="O69" s="35" t="inlineStr">
        <is>
          <t>ข้อสอบจริง</t>
        </is>
      </c>
      <c r="P69" s="35" t="inlineStr">
        <is>
          <t>ปี 2567</t>
        </is>
      </c>
      <c r="Q69" s="2" t="n"/>
    </row>
    <row r="70" ht="13.2" customHeight="1" s="49">
      <c r="A70" s="33" t="n">
        <v>68</v>
      </c>
      <c r="B70" s="34" t="inlineStr">
        <is>
          <t>จากข้อมูลทั้งหมด ลักษณะอาการแพ้ยาที่เกิดขึ้นในผู้ป่วยรายนี้ตรงกับข้อใดมากที่สุด</t>
        </is>
      </c>
      <c r="C70" s="35" t="n"/>
      <c r="D70" s="34" t="inlineStr">
        <is>
          <t>Urticaria</t>
        </is>
      </c>
      <c r="E70" s="34" t="inlineStr">
        <is>
          <t>Angioedema</t>
        </is>
      </c>
      <c r="F70" s="34" t="inlineStr">
        <is>
          <t>Stevens-Johnson Syndrome (SJS)</t>
        </is>
      </c>
      <c r="G70" s="34" t="inlineStr">
        <is>
          <t>Erythema multiforme</t>
        </is>
      </c>
      <c r="H70" s="34" t="inlineStr">
        <is>
          <t>Morbilliform rash (MP rash) + &lt; PLE-PC1 Preparation 2567 Azithromy = 3 Ceftriazone 4 /</t>
        </is>
      </c>
      <c r="I70" s="33" t="inlineStr">
        <is>
          <t>1</t>
        </is>
      </c>
      <c r="J70" s="34"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35" t="n"/>
      <c r="L70" s="34" t="inlineStr">
        <is>
          <t>Superficial fungal</t>
        </is>
      </c>
      <c r="M70" s="35" t="inlineStr">
        <is>
          <t>Clinic</t>
        </is>
      </c>
      <c r="N70" s="34" t="inlineStr">
        <is>
          <t>PLE_CC1_2567_Key ข้อ 76</t>
        </is>
      </c>
      <c r="O70" s="35" t="inlineStr">
        <is>
          <t>ข้อสอบจริง</t>
        </is>
      </c>
      <c r="P70" s="35" t="inlineStr">
        <is>
          <t>ปี 2567</t>
        </is>
      </c>
      <c r="Q70" s="2" t="n"/>
    </row>
    <row r="71" ht="13.2" customHeight="1" s="49">
      <c r="A71" s="33" t="n">
        <v>69</v>
      </c>
      <c r="B71" s="34"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35" t="n"/>
      <c r="D71" s="34" t="inlineStr">
        <is>
          <t>Cefixime</t>
        </is>
      </c>
      <c r="E71" s="34" t="inlineStr">
        <is>
          <t>Levofloxacin</t>
        </is>
      </c>
      <c r="F71" s="34" t="inlineStr">
        <is>
          <t>Clindamycin</t>
        </is>
      </c>
      <c r="G71" s="34" t="inlineStr">
        <is>
          <t>Erythromycin</t>
        </is>
      </c>
      <c r="H71" s="34" t="inlineStr">
        <is>
          <t>Amoxicillin clavulanate</t>
        </is>
      </c>
      <c r="I71" s="33" t="n">
        <v>4</v>
      </c>
      <c r="J71" s="34" t="inlineStr">
        <is>
          <t>✅ คำตอบที่ถูกต้อง: ข้อ ก. Cefixime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35" t="n"/>
      <c r="L71" s="34" t="inlineStr">
        <is>
          <t>Respiratory &amp; Antibiotics</t>
        </is>
      </c>
      <c r="M71" s="35" t="inlineStr">
        <is>
          <t>Clinic</t>
        </is>
      </c>
      <c r="N71" s="34" t="inlineStr">
        <is>
          <t>PLE_CC1_2567_Set1_Key ข้อ 36</t>
        </is>
      </c>
      <c r="O71" s="35" t="inlineStr">
        <is>
          <t>ข้อสอบจริง</t>
        </is>
      </c>
      <c r="P71" s="35" t="inlineStr">
        <is>
          <t>ปี 2567</t>
        </is>
      </c>
      <c r="Q71" s="2" t="n"/>
    </row>
    <row r="72" ht="13.2" customHeight="1" s="49">
      <c r="A72" s="33" t="n">
        <v>70</v>
      </c>
      <c r="B72" s="34"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35" t="n"/>
      <c r="D72" s="34" t="inlineStr">
        <is>
          <t>ยับยั้ง Lanosterol 14-alpha-demethylase (CYP51)</t>
        </is>
      </c>
      <c r="E72" s="34" t="inlineStr">
        <is>
          <t>ยับยั้ง Squalene epoxidase</t>
        </is>
      </c>
      <c r="F72" s="34" t="inlineStr">
        <is>
          <t>ยับยั้ง Beta-(1,3)-D-glucan synthase</t>
        </is>
      </c>
      <c r="G72" s="34" t="inlineStr">
        <is>
          <t>ยับยั้ง Thymidylate synthase</t>
        </is>
      </c>
      <c r="H72" s="34" t="inlineStr">
        <is>
          <t>ยับยั้ง Fungal RNA polymerase</t>
        </is>
      </c>
      <c r="I72" s="33" t="n">
        <v>1</v>
      </c>
      <c r="J72"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35" t="n"/>
      <c r="L72" s="34" t="inlineStr">
        <is>
          <t>Superficial fungal</t>
        </is>
      </c>
      <c r="M72" s="35" t="inlineStr">
        <is>
          <t>Clinic</t>
        </is>
      </c>
      <c r="N72" s="34" t="inlineStr">
        <is>
          <t>PLE_CC1_2567_Set1_Key ข้อ 41</t>
        </is>
      </c>
      <c r="O72" s="35" t="inlineStr">
        <is>
          <t>ข้อสอบจริง</t>
        </is>
      </c>
      <c r="P72" s="35" t="inlineStr">
        <is>
          <t>ปี 2567</t>
        </is>
      </c>
      <c r="Q72" s="2" t="n"/>
    </row>
    <row r="73" ht="13.2" customHeight="1" s="49">
      <c r="A73" s="33" t="n">
        <v>71</v>
      </c>
      <c r="B73" s="34" t="inlineStr">
        <is>
          <t>โครงสร้างหมายเลขใดของ triamcinolone acetonide มีบทบาทสำคัญในการเพิ่ม lipophilicity และความแรงของยา</t>
        </is>
      </c>
      <c r="C73" s="35" t="n"/>
      <c r="D73" s="34" t="inlineStr">
        <is>
          <t>ตำแหน่ง 1, 2 double bond</t>
        </is>
      </c>
      <c r="E73" s="34" t="inlineStr">
        <is>
          <t>ตำแหน่ง 9-alpha fluoro</t>
        </is>
      </c>
      <c r="F73" s="34" t="inlineStr">
        <is>
          <t>ตำแหน่ง 16-alpha, 17-alpha acetonide (ketal)</t>
        </is>
      </c>
      <c r="G73" s="34" t="inlineStr">
        <is>
          <t>ตำแหน่ง 11-beta hydroxyl</t>
        </is>
      </c>
      <c r="H73" s="34" t="inlineStr">
        <is>
          <t>ตำแหน่ง 21-hydroxyl</t>
        </is>
      </c>
      <c r="I73" s="33" t="n">
        <v>3</v>
      </c>
      <c r="J73" s="34" t="inlineStr">
        <is>
          <t>✅ คำตอบที่ถูกต้อง: ข้อ ก. Ketoconazole 2% shampoo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ในส6วนของ Moisture test คือ การวัดความชื้น (water content) ซึ่งเกี่ยวข@องกับความคงตัวของผลิตภัณฑ l ไม6ใช6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35" t="n"/>
      <c r="L73" s="34" t="inlineStr">
        <is>
          <t>Eczema &amp; Dermatitis</t>
        </is>
      </c>
      <c r="M73" s="35" t="inlineStr">
        <is>
          <t>Clinic</t>
        </is>
      </c>
      <c r="N73" s="34" t="inlineStr">
        <is>
          <t>PLE_CC1_2567_Set1_Key ข้อ 95</t>
        </is>
      </c>
      <c r="O73" s="35" t="inlineStr">
        <is>
          <t>ข้อสอบจริง</t>
        </is>
      </c>
      <c r="P73" s="35" t="inlineStr">
        <is>
          <t>ปี 2567</t>
        </is>
      </c>
      <c r="Q73" s="2" t="n"/>
    </row>
    <row r="74" ht="13.2" customHeight="1" s="49">
      <c r="A74" s="33" t="n">
        <v>72</v>
      </c>
      <c r="B74" s="34"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35" t="n"/>
      <c r="D74" s="34" t="inlineStr">
        <is>
          <t>Silver sulfadiazine 1% cream</t>
        </is>
      </c>
      <c r="E74" s="34" t="inlineStr">
        <is>
          <t>Triamcinolone acetonide 0.1% cream</t>
        </is>
      </c>
      <c r="F74" s="34" t="inlineStr">
        <is>
          <t>Ketoconazole 2% cream</t>
        </is>
      </c>
      <c r="G74" s="34" t="inlineStr">
        <is>
          <t>Benzoyl peroxide 2.5% gel</t>
        </is>
      </c>
      <c r="H74" s="34" t="inlineStr">
        <is>
          <t>Clobetasol propionate 0.05% cream</t>
        </is>
      </c>
      <c r="I74" s="33" t="n">
        <v>1</v>
      </c>
      <c r="J74" s="34"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35" t="n"/>
      <c r="L74" s="34" t="inlineStr">
        <is>
          <t>Wound</t>
        </is>
      </c>
      <c r="M74" s="35" t="inlineStr">
        <is>
          <t>Clinic</t>
        </is>
      </c>
      <c r="N74" s="34" t="inlineStr">
        <is>
          <t>PLE-CC1 ปี 2566 Day 1 ข้อ 119</t>
        </is>
      </c>
      <c r="O74" s="35" t="inlineStr">
        <is>
          <t>ข้อสอบจริง</t>
        </is>
      </c>
      <c r="P74" s="35" t="inlineStr">
        <is>
          <t>ปี 2566</t>
        </is>
      </c>
      <c r="Q74" s="2" t="n"/>
    </row>
    <row r="75" ht="13.2" customHeight="1" s="49">
      <c r="A75" s="33" t="n">
        <v>73</v>
      </c>
      <c r="B75" s="34" t="inlineStr">
        <is>
          <t>ผูป%วยรายนี้จัดอยู;ใน class ใด ตาม Canadian cardiovascular society</t>
        </is>
      </c>
      <c r="C75" s="35" t="n"/>
      <c r="D75" s="34" t="inlineStr">
        <is>
          <t>Class I PLE-CC1 Preparation 2565 เฉลยโดย MUPY53</t>
        </is>
      </c>
      <c r="E75" s="34" t="inlineStr">
        <is>
          <t>Adapalene 0.1% gel</t>
        </is>
      </c>
      <c r="F75" s="34" t="inlineStr">
        <is>
          <t>Mupirocin 2% ointment</t>
        </is>
      </c>
      <c r="G75" s="34" t="inlineStr">
        <is>
          <t>Betamethasone dipropionate 0.05% cream</t>
        </is>
      </c>
      <c r="H75" s="34" t="n"/>
      <c r="I75" s="33" t="inlineStr">
        <is>
          <t>1</t>
        </is>
      </c>
      <c r="J75" s="34"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35" t="n"/>
      <c r="L75" s="34" t="inlineStr">
        <is>
          <t>Superficial fungal</t>
        </is>
      </c>
      <c r="M75" s="35" t="inlineStr">
        <is>
          <t>Clinic</t>
        </is>
      </c>
      <c r="N75" s="34" t="inlineStr">
        <is>
          <t>PLE_CC1_2565_Day1_Key ข้อ 6</t>
        </is>
      </c>
      <c r="O75" s="35" t="inlineStr">
        <is>
          <t>ข้อสอบจริง</t>
        </is>
      </c>
      <c r="P75" s="35" t="inlineStr">
        <is>
          <t>ปี 2565</t>
        </is>
      </c>
      <c r="Q75" s="2" t="n"/>
    </row>
    <row r="76" ht="13.2" customHeight="1" s="49">
      <c r="A76" s="33" t="n">
        <v>74</v>
      </c>
      <c r="B76" s="34" t="inlineStr">
        <is>
          <t>ถามคนไขเปMนอะไร/สาเหตุที่เกิดโรค</t>
        </is>
      </c>
      <c r="C76" s="35" t="n"/>
      <c r="D76" s="34" t="inlineStr">
        <is>
          <t>herpes simplex</t>
        </is>
      </c>
      <c r="E76" s="34" t="inlineStr">
        <is>
          <t>herpes zoster</t>
        </is>
      </c>
      <c r="F76" s="34" t="inlineStr">
        <is>
          <t>seborrheic dermatitis</t>
        </is>
      </c>
      <c r="G76" s="34" t="inlineStr">
        <is>
          <t>atopic dermatitis</t>
        </is>
      </c>
      <c r="H76" s="34" t="inlineStr">
        <is>
          <t>scalp psoriasis #kมlใสSนตามปลายประสาท และ# neuropathic pain KวมLวย</t>
        </is>
      </c>
      <c r="I76" s="33" t="inlineStr">
        <is>
          <t>1</t>
        </is>
      </c>
      <c r="J7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5" t="n"/>
      <c r="L76" s="34" t="inlineStr">
        <is>
          <t>Superficial fungal</t>
        </is>
      </c>
      <c r="M76" s="35" t="inlineStr">
        <is>
          <t>Clinic</t>
        </is>
      </c>
      <c r="N76" s="34" t="inlineStr">
        <is>
          <t>PLE_CC1_2565_Day1_Key ข้อ 10</t>
        </is>
      </c>
      <c r="O76" s="35" t="inlineStr">
        <is>
          <t>ข้อสอบจริง</t>
        </is>
      </c>
      <c r="P76" s="35" t="inlineStr">
        <is>
          <t>ปี 2565</t>
        </is>
      </c>
      <c r="Q76" s="2" t="n"/>
    </row>
    <row r="77" ht="13.2" customHeight="1" s="49">
      <c r="A77" s="33" t="n">
        <v>75</v>
      </c>
      <c r="B77" s="34" t="inlineStr">
        <is>
          <t>6 เดือนต;อมา ใหผูป%วยเปลี่ยนมาใชselegiline transdermal patch ในแผ;นแปะ selegiline transdermal patch สิ่งใดทำใหเกิดผื่น</t>
        </is>
      </c>
      <c r="C77" s="35" t="n"/>
      <c r="D77" s="34" t="inlineStr">
        <is>
          <t>Membrane</t>
        </is>
      </c>
      <c r="E77" s="34" t="inlineStr">
        <is>
          <t>Liner</t>
        </is>
      </c>
      <c r="F77" s="34" t="inlineStr">
        <is>
          <t>Adhesive</t>
        </is>
      </c>
      <c r="G77" s="34" t="inlineStr">
        <is>
          <t>Back</t>
        </is>
      </c>
      <c r="H77" s="34" t="inlineStr">
        <is>
          <t>Peel strip</t>
        </is>
      </c>
      <c r="I77" s="33" t="inlineStr">
        <is>
          <t>4</t>
        </is>
      </c>
      <c r="J77" s="34"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35" t="n"/>
      <c r="L77" s="34" t="inlineStr">
        <is>
          <t>Eczema &amp; Dermatitis</t>
        </is>
      </c>
      <c r="M77" s="35" t="inlineStr">
        <is>
          <t>Clinic</t>
        </is>
      </c>
      <c r="N77" s="34" t="inlineStr">
        <is>
          <t>PLE_CC1_2565_Day1_Key ข้อ 46</t>
        </is>
      </c>
      <c r="O77" s="35" t="inlineStr">
        <is>
          <t>ข้อสอบจริง</t>
        </is>
      </c>
      <c r="P77" s="35" t="inlineStr">
        <is>
          <t>ปี 2565</t>
        </is>
      </c>
      <c r="Q77" s="2" t="n"/>
    </row>
    <row r="78" ht="13.2" customHeight="1" s="49">
      <c r="A78" s="33" t="n">
        <v>76</v>
      </c>
      <c r="B78" s="34" t="inlineStr">
        <is>
          <t>เปMนผื่นแพลักษณะแบบใด</t>
        </is>
      </c>
      <c r="C78" s="35" t="n"/>
      <c r="D78" s="34" t="inlineStr">
        <is>
          <t>Urticaria</t>
        </is>
      </c>
      <c r="E78" s="34" t="inlineStr">
        <is>
          <t>Maculopapular rash</t>
        </is>
      </c>
      <c r="F78" s="34" t="inlineStr">
        <is>
          <t>Angioedema</t>
        </is>
      </c>
      <c r="G78" s="34" t="inlineStr">
        <is>
          <t>Fix drug eruption</t>
        </is>
      </c>
      <c r="H78" s="34" t="inlineStr">
        <is>
          <t>Exfoliative CPT I, midterm, CPT1 บรรยาย 2 กย 67 (13 2ง 16 น.) ADR for Pharmacy Practice, page 23</t>
        </is>
      </c>
      <c r="I78" s="33" t="inlineStr">
        <is>
          <t>1</t>
        </is>
      </c>
      <c r="J78" s="34"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35" t="n"/>
      <c r="L78" s="34" t="inlineStr">
        <is>
          <t>Eczema &amp; Dermatitis</t>
        </is>
      </c>
      <c r="M78" s="35" t="inlineStr">
        <is>
          <t>Clinic</t>
        </is>
      </c>
      <c r="N78" s="34" t="inlineStr">
        <is>
          <t>PLE_CC1_2565_Day1_Key ข้อ 41</t>
        </is>
      </c>
      <c r="O78" s="35" t="inlineStr">
        <is>
          <t>ข้อสอบจริง</t>
        </is>
      </c>
      <c r="P78" s="35" t="inlineStr">
        <is>
          <t>ปี 2565</t>
        </is>
      </c>
      <c r="Q78" s="2" t="n"/>
    </row>
    <row r="79" ht="13.2" customHeight="1" s="49">
      <c r="A79" s="33" t="n">
        <v>77</v>
      </c>
      <c r="B79" s="34" t="inlineStr">
        <is>
          <t>ยาที่ใชรักษาคืออะไร ิ โลน</t>
        </is>
      </c>
      <c r="C79" s="35" t="n"/>
      <c r="D79" s="34" t="inlineStr">
        <is>
          <t>Oral ivermectin</t>
        </is>
      </c>
      <c r="E79" s="34" t="inlineStr">
        <is>
          <t>Permethrin cream</t>
        </is>
      </c>
      <c r="F79" s="34" t="inlineStr">
        <is>
          <t>Gamma benzene hexachloride</t>
        </is>
      </c>
      <c r="G79" s="34" t="inlineStr">
        <is>
          <t>Steroid ซักอย;าง</t>
        </is>
      </c>
      <c r="H79" s="34" t="inlineStr">
        <is>
          <t>2% ketoconazole cream Hา 1st line ไIไ-ผล ิ 1st line เJอKนLนไIไ-ผล ADR เยอะ (neurptoxic) ลดแFอาการGน?</t>
        </is>
      </c>
      <c r="I79" s="33" t="inlineStr">
        <is>
          <t>1</t>
        </is>
      </c>
      <c r="J79" s="34"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35" t="n"/>
      <c r="L79" s="34" t="inlineStr">
        <is>
          <t>Superficial fungal</t>
        </is>
      </c>
      <c r="M79" s="35" t="inlineStr">
        <is>
          <t>Clinic</t>
        </is>
      </c>
      <c r="N79" s="34" t="inlineStr">
        <is>
          <t>PLE_CC1_2565_Day1_Key ข้อ 50</t>
        </is>
      </c>
      <c r="O79" s="35" t="inlineStr">
        <is>
          <t>ข้อสอบจริง</t>
        </is>
      </c>
      <c r="P79" s="35" t="inlineStr">
        <is>
          <t>ปี 2565</t>
        </is>
      </c>
      <c r="Q79" s="2" t="n"/>
    </row>
    <row r="80" ht="13.2" customHeight="1" s="49">
      <c r="A80" s="33" t="n">
        <v>78</v>
      </c>
      <c r="B80" s="34" t="inlineStr">
        <is>
          <t>เปQนโรคอะไร ………………………………………………………………………………………………………………………………………………………… ………………………………………………………………………………………………………………………………………………………….. Tinea Pedis</t>
        </is>
      </c>
      <c r="C80" s="35" t="n"/>
      <c r="D80" s="34" t="inlineStr">
        <is>
          <t>Adapalene 0.1% gel</t>
        </is>
      </c>
      <c r="E80" s="34" t="inlineStr">
        <is>
          <t>Mupirocin 2% ointment</t>
        </is>
      </c>
      <c r="F80" s="34" t="inlineStr">
        <is>
          <t>Betamethasone dipropionate 0.05% cream</t>
        </is>
      </c>
      <c r="G80" s="34" t="inlineStr">
        <is>
          <t>Clotrimazole 1% cream</t>
        </is>
      </c>
      <c r="H80" s="34" t="n"/>
      <c r="I80" s="33" t="inlineStr">
        <is>
          <t>1</t>
        </is>
      </c>
      <c r="J80"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5" t="n"/>
      <c r="L80" s="34" t="inlineStr">
        <is>
          <t>Superficial fungal</t>
        </is>
      </c>
      <c r="M80" s="35" t="inlineStr">
        <is>
          <t>Clinic</t>
        </is>
      </c>
      <c r="N80" s="34" t="inlineStr">
        <is>
          <t>PLE_CC1_2565_Day2_Key ข้อ 32</t>
        </is>
      </c>
      <c r="O80" s="35" t="inlineStr">
        <is>
          <t>ข้อสอบจริง</t>
        </is>
      </c>
      <c r="P80" s="35" t="inlineStr">
        <is>
          <t>ปี 2565</t>
        </is>
      </c>
      <c r="Q80" s="2" t="n"/>
    </row>
    <row r="81" ht="13.2" customHeight="1" s="49">
      <c r="A81" s="33" t="n">
        <v>79</v>
      </c>
      <c r="B81" s="34" t="inlineStr">
        <is>
          <t>กลไกการออกฤทธิ์ของยาต้านเชื้อรา Ketoconazole ในการรักษาโรคเชื้อราที่ผิวหนังคือข้อใด</t>
        </is>
      </c>
      <c r="C81" s="35" t="n"/>
      <c r="D81" s="34" t="inlineStr">
        <is>
          <t>ยับยั้งเอนไซม์ 14-alpha-demethylase ขัดขวางการสังเคราะห์ Ergosterol ที่เยื่อหุ้มเซลล์เชื้อรา</t>
        </is>
      </c>
      <c r="E81" s="34" t="inlineStr">
        <is>
          <t>ยับยั้งเอนไซม์ Squalene epoxidase</t>
        </is>
      </c>
      <c r="F81" s="34" t="inlineStr">
        <is>
          <t>จับกับ Ergosterol ทำให้เยื่อหุ้มเซลล์รั่ว</t>
        </is>
      </c>
      <c r="G81" s="34" t="inlineStr">
        <is>
          <t>ยับยั้งการสร้างผนังเซลล์ของเชื้อรา</t>
        </is>
      </c>
      <c r="H81" s="34" t="inlineStr">
        <is>
          <t>ยับยั้งกระบวนการแบ่งตัวแบบ Mitosis</t>
        </is>
      </c>
      <c r="I81" s="33" t="n">
        <v>1</v>
      </c>
      <c r="J81" s="34"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Superficial fungal</t>
        </is>
      </c>
      <c r="M81" s="35" t="inlineStr">
        <is>
          <t>Clinic</t>
        </is>
      </c>
      <c r="N81" s="34" t="inlineStr">
        <is>
          <t>PLE_CC1_2565_Day2_Key ข้อ 34</t>
        </is>
      </c>
      <c r="O81" s="35" t="inlineStr">
        <is>
          <t>ข้อสอบจริง</t>
        </is>
      </c>
      <c r="P81" s="35" t="inlineStr">
        <is>
          <t>ปี 2565</t>
        </is>
      </c>
      <c r="Q81" s="2" t="n"/>
    </row>
    <row r="82" ht="13.2" customHeight="1" s="49">
      <c r="A82" s="33" t="n">
        <v>80</v>
      </c>
      <c r="B82" s="34" t="inlineStr">
        <is>
          <t>stiffening agent คืออะไร</t>
        </is>
      </c>
      <c r="C82" s="35" t="n"/>
      <c r="D82" s="34" t="inlineStr">
        <is>
          <t>glycerin</t>
        </is>
      </c>
      <c r="E82" s="34" t="inlineStr">
        <is>
          <t>Propylene glycol</t>
        </is>
      </c>
      <c r="F82" s="34" t="inlineStr">
        <is>
          <t>SLS</t>
        </is>
      </c>
      <c r="G82" s="34" t="inlineStr">
        <is>
          <t>Cetearyl palmitate</t>
        </is>
      </c>
      <c r="H82" s="34" t="inlineStr">
        <is>
          <t>Mineral oil</t>
        </is>
      </c>
      <c r="I82" s="33" t="inlineStr">
        <is>
          <t>1</t>
        </is>
      </c>
      <c r="J82" s="34"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5" t="n"/>
      <c r="L82" s="34" t="inlineStr">
        <is>
          <t>Superficial fungal</t>
        </is>
      </c>
      <c r="M82" s="35" t="inlineStr">
        <is>
          <t>Clinic</t>
        </is>
      </c>
      <c r="N82" s="34" t="inlineStr">
        <is>
          <t>PLE_CC1_2565_Day2_Key ข้อ 39</t>
        </is>
      </c>
      <c r="O82" s="35" t="inlineStr">
        <is>
          <t>ข้อสอบจริง</t>
        </is>
      </c>
      <c r="P82" s="35" t="inlineStr">
        <is>
          <t>ปี 2565</t>
        </is>
      </c>
      <c r="Q82" s="2" t="n"/>
    </row>
    <row r="83" ht="13.2" customHeight="1" s="49">
      <c r="A83" s="33" t="n">
        <v>81</v>
      </c>
      <c r="B83" s="34" t="inlineStr">
        <is>
          <t>ยาทาคอร์ติโคสเตียรอยด์ชนิดใดต่อไปนี้ไม่เหมาะสมอย่างยิ่งที่จะนำมาใช้ทาบริเวณใบหน้า</t>
        </is>
      </c>
      <c r="C83" s="35" t="n"/>
      <c r="D83" s="34" t="inlineStr">
        <is>
          <t>Clobetasol propionate 0.05% cream</t>
        </is>
      </c>
      <c r="E83" s="34" t="inlineStr">
        <is>
          <t>Hydrocortisone 1% cream</t>
        </is>
      </c>
      <c r="F83" s="34" t="inlineStr">
        <is>
          <t>Desonide 0.05% lotion</t>
        </is>
      </c>
      <c r="G83" s="34" t="inlineStr">
        <is>
          <t>Ketoconazole 2% cream</t>
        </is>
      </c>
      <c r="H83" s="34" t="inlineStr">
        <is>
          <t>Triamcinolone acetonide 0.02% cream</t>
        </is>
      </c>
      <c r="I83" s="33" t="n">
        <v>1</v>
      </c>
      <c r="J83" s="34"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35" t="n"/>
      <c r="L83" s="34" t="inlineStr">
        <is>
          <t>Eczema &amp; Dermatitis</t>
        </is>
      </c>
      <c r="M83" s="35" t="inlineStr">
        <is>
          <t>Clinic</t>
        </is>
      </c>
      <c r="N83" s="34" t="inlineStr">
        <is>
          <t>PLE_CC1_2565_Day2_Key ข้อ 36</t>
        </is>
      </c>
      <c r="O83" s="35" t="inlineStr">
        <is>
          <t>ข้อสอบจริง</t>
        </is>
      </c>
      <c r="P83" s="35" t="inlineStr">
        <is>
          <t>ปี 2565</t>
        </is>
      </c>
      <c r="Q83" s="2" t="n"/>
    </row>
    <row r="84" ht="13.2" customHeight="1" s="49">
      <c r="A84" s="33" t="n">
        <v>82</v>
      </c>
      <c r="B84" s="34" t="inlineStr">
        <is>
          <t>ผื่นลมพิษ ไมUออก UTIs, URIs เลยในป_ 2565 (ธ.ค.)</t>
        </is>
      </c>
      <c r="C84" s="35" t="n"/>
      <c r="D84" s="34" t="inlineStr">
        <is>
          <t>Isotretinoin 10 mg OD</t>
        </is>
      </c>
      <c r="E84" s="34" t="inlineStr">
        <is>
          <t>Terbinafine 1% cream</t>
        </is>
      </c>
      <c r="F84" s="34" t="inlineStr">
        <is>
          <t>Adapalene 0.1% gel</t>
        </is>
      </c>
      <c r="G84" s="34" t="inlineStr">
        <is>
          <t>Mupirocin 2% ointment</t>
        </is>
      </c>
      <c r="H84" s="34" t="n"/>
      <c r="I84" s="33" t="inlineStr">
        <is>
          <t>1</t>
        </is>
      </c>
      <c r="J84" s="34"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35" t="n"/>
      <c r="L84" s="34" t="inlineStr">
        <is>
          <t>Eczema &amp; Dermatitis</t>
        </is>
      </c>
      <c r="M84" s="35" t="inlineStr">
        <is>
          <t>Clinic</t>
        </is>
      </c>
      <c r="N84" s="34" t="inlineStr">
        <is>
          <t>PLE_CC1_2565_Day2_Key ข้อ 7</t>
        </is>
      </c>
      <c r="O84" s="35" t="inlineStr">
        <is>
          <t>ข้อสอบจริง</t>
        </is>
      </c>
      <c r="P84" s="35" t="inlineStr">
        <is>
          <t>ปี 2565</t>
        </is>
      </c>
      <c r="Q84" s="2" t="n"/>
    </row>
    <row r="85" ht="13.2" customHeight="1" s="49">
      <c r="A85" s="33" t="n">
        <v>83</v>
      </c>
      <c r="B85" s="34" t="inlineStr">
        <is>
          <t>เชื้อราใดเป็นสาเหตุหลักของการเกิดโรคกลากที่หนังศีรษะ (Tinea capitis)</t>
        </is>
      </c>
      <c r="C85" s="35" t="n"/>
      <c r="D85" s="34" t="inlineStr">
        <is>
          <t>Malassezia furfur</t>
        </is>
      </c>
      <c r="E85" s="34" t="inlineStr">
        <is>
          <t>Trichophyton rubrum และ Microsporum spp.</t>
        </is>
      </c>
      <c r="F85" s="34" t="inlineStr">
        <is>
          <t>Candida albicans</t>
        </is>
      </c>
      <c r="G85" s="34" t="inlineStr">
        <is>
          <t>Aspergillus niger</t>
        </is>
      </c>
      <c r="H85" s="34" t="inlineStr">
        <is>
          <t>Epidermophyton floccosum</t>
        </is>
      </c>
      <c r="I85" s="33" t="n">
        <v>2</v>
      </c>
      <c r="J85" s="34" t="inlineStr">
        <is>
          <t>✅ คำตอบที่ถูกต้อง: ข้อ ก. M. furfur / b. Trichophyton rubrum / c. aspergillus Tinea capitis เกิดจากเชื้อ Trichophyton และ Microsporum spp. จากช้อยน่าจะตอบ b. Trichophyton rubrum https://emedicine.medscape.com/article/1091351-overviewa7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35" t="n"/>
      <c r="L85" s="34" t="inlineStr">
        <is>
          <t>Superficial fungal</t>
        </is>
      </c>
      <c r="M85" s="35" t="inlineStr">
        <is>
          <t>Clinic</t>
        </is>
      </c>
      <c r="N85" s="34" t="inlineStr">
        <is>
          <t>PLE_CC1_2564_All_Key ข้อ 15</t>
        </is>
      </c>
      <c r="O85" s="35" t="inlineStr">
        <is>
          <t>ข้อสอบจริง</t>
        </is>
      </c>
      <c r="P85" s="35" t="inlineStr">
        <is>
          <t>ปี 2564</t>
        </is>
      </c>
      <c r="Q85" s="2" t="n"/>
    </row>
    <row r="86" ht="13.2" customHeight="1" s="49">
      <c r="A86" s="33" t="n">
        <v>84</v>
      </c>
      <c r="B86" s="34" t="inlineStr">
        <is>
          <t>ยาต้านเชื้อรา Ketoconazole และ Itraconazole มีฤทธิ์เป็น Strong inhibitor ต่อเอนไซม์ CYP ชนิดใด</t>
        </is>
      </c>
      <c r="C86" s="35" t="n"/>
      <c r="D86" s="34" t="inlineStr">
        <is>
          <t>CYP2C9</t>
        </is>
      </c>
      <c r="E86" s="34" t="inlineStr">
        <is>
          <t>CYP2C19</t>
        </is>
      </c>
      <c r="F86" s="34" t="inlineStr">
        <is>
          <t>CYP3A4</t>
        </is>
      </c>
      <c r="G86" s="34" t="inlineStr">
        <is>
          <t>CYP2D6</t>
        </is>
      </c>
      <c r="H86" s="34" t="inlineStr">
        <is>
          <t>CYP1A2</t>
        </is>
      </c>
      <c r="I86" s="33" t="n">
        <v>3</v>
      </c>
      <c r="J86" s="34" t="inlineStr">
        <is>
          <t>✅ คำตอบที่ถูกต้อง: ข้อ ก. 2C9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35" t="n"/>
      <c r="L86" s="34" t="inlineStr">
        <is>
          <t>Superficial fungal</t>
        </is>
      </c>
      <c r="M86" s="35" t="inlineStr">
        <is>
          <t>Clinic</t>
        </is>
      </c>
      <c r="N86" s="34" t="inlineStr">
        <is>
          <t>PLE_CC1_2564_All_Key ข้อ 65</t>
        </is>
      </c>
      <c r="O86" s="35" t="inlineStr">
        <is>
          <t>ข้อสอบจริง</t>
        </is>
      </c>
      <c r="P86" s="35" t="inlineStr">
        <is>
          <t>ปี 2564</t>
        </is>
      </c>
      <c r="Q86" s="2" t="n"/>
    </row>
    <row r="87" ht="13.2" customHeight="1" s="49">
      <c r="A87" s="33" t="n">
        <v>85</v>
      </c>
      <c r="B87" s="34" t="inlineStr">
        <is>
          <t>สาวเป็นสิวหนองมากกว่า 5 จุดบนใบหน้า สิวหนองเป็นตุ่มแบบใด</t>
        </is>
      </c>
      <c r="C87" s="35" t="n"/>
      <c r="D87" s="34" t="inlineStr">
        <is>
          <t>Papule</t>
        </is>
      </c>
      <c r="E87" s="34" t="inlineStr">
        <is>
          <t>Pustule</t>
        </is>
      </c>
      <c r="F87" s="34" t="inlineStr">
        <is>
          <t>Nodule</t>
        </is>
      </c>
      <c r="G87" s="34" t="inlineStr">
        <is>
          <t>Cyst</t>
        </is>
      </c>
      <c r="H87" s="34" t="n"/>
      <c r="I87" s="33" t="n">
        <v>2</v>
      </c>
      <c r="J87" s="34" t="inlineStr">
        <is>
          <t>✅ คำตอบที่ถูกต้อง: ข้อ ก. Papule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5" t="n"/>
      <c r="L87" s="34" t="inlineStr">
        <is>
          <t>Acne</t>
        </is>
      </c>
      <c r="M87" s="35" t="inlineStr">
        <is>
          <t>Clinic</t>
        </is>
      </c>
      <c r="N87" s="34" t="inlineStr">
        <is>
          <t>PLE_CC1_2564_All_Key ข้อ 81</t>
        </is>
      </c>
      <c r="O87" s="35" t="inlineStr">
        <is>
          <t>ข้อสอบจริง</t>
        </is>
      </c>
      <c r="P87" s="35" t="inlineStr">
        <is>
          <t>ปี 2564</t>
        </is>
      </c>
      <c r="Q87" s="2" t="n"/>
    </row>
    <row r="88" ht="13.2" customHeight="1" s="49">
      <c r="A88" s="33" t="n">
        <v>86</v>
      </c>
      <c r="B88" s="34" t="inlineStr">
        <is>
          <t>สถานการณ์วัยรุ่นยกพวกตีกัน จงตอบวิธีการห้ามเลือดที่ถูกต้อง</t>
        </is>
      </c>
      <c r="C88" s="35" t="n"/>
      <c r="D88" s="34" t="inlineStr">
        <is>
          <t>เอาน้ำล้าง</t>
        </is>
      </c>
      <c r="E88" s="34" t="inlineStr">
        <is>
          <t>ขันชะเนาะ</t>
        </is>
      </c>
      <c r="F88" s="34" t="inlineStr">
        <is>
          <t>เอาผ้าสะอาดกด</t>
        </is>
      </c>
      <c r="G88" s="34" t="inlineStr">
        <is>
          <t>เอาเชือกรัด</t>
        </is>
      </c>
      <c r="H88" s="34" t="n"/>
      <c r="I88" s="33" t="n">
        <v>3</v>
      </c>
      <c r="J88" s="34" t="inlineStr">
        <is>
          <t>✅ คำตอบที่ถูกต้อง: ข้อ ก. เอาน้ำล้าง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หากในกรณีที่มีเลือดไหลมาก ควรห้ามเลือดก่อนโดยการเอาผ้าสะอาดกดทับ และยกแผลให้เหนือระดับหัวใจแล้วส่งโรงพยาบาล แต่ถ้าหากโจทย์ต้องการถามเรื่องการทำแผลที่ถูกต้อง คือการล้างแผลนะ แต่เป็นการล้างด้วยน้ำเกลือ ส่วนข้อที่เป็นเชือกรัดไม่เห็น คำแนะนำนี้นะ และข้อขันชะเนาะจะมีแนะนำบ้างในกรณีที่แผลเลือดออกเยอะมาก อาจจะต้องดูสถานการณ์ในโจทย์จริงอีกที" ..............................................................................................................................................................................................................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35" t="n"/>
      <c r="L88" s="34" t="inlineStr">
        <is>
          <t>Wound</t>
        </is>
      </c>
      <c r="M88" s="35" t="inlineStr">
        <is>
          <t>Clinic</t>
        </is>
      </c>
      <c r="N88" s="34" t="inlineStr">
        <is>
          <t>PLE_CC1_2564_All_Key ข้อ 88</t>
        </is>
      </c>
      <c r="O88" s="35" t="inlineStr">
        <is>
          <t>ข้อสอบจริง</t>
        </is>
      </c>
      <c r="P88" s="35" t="inlineStr">
        <is>
          <t>ปี 2564</t>
        </is>
      </c>
      <c r="Q88" s="2" t="n"/>
    </row>
    <row r="89" ht="13.2" customHeight="1" s="49">
      <c r="A89" s="33" t="n">
        <v>87</v>
      </c>
      <c r="B89" s="34" t="inlineStr">
        <is>
          <t>เด็กน้อย 1 ขวบครึ่ง ผื่นแดงหน้า แขน น้องไม่มีโรคประจำตัว</t>
        </is>
      </c>
      <c r="C89" s="35" t="n"/>
      <c r="D89" s="34" t="inlineStr">
        <is>
          <t>atopic</t>
        </is>
      </c>
      <c r="E89" s="34" t="inlineStr">
        <is>
          <t>sebderm</t>
        </is>
      </c>
      <c r="F89" s="34" t="inlineStr">
        <is>
          <t>Mupirocin 2% ointment</t>
        </is>
      </c>
      <c r="G89" s="34" t="inlineStr">
        <is>
          <t>Betamethasone dipropionate 0.05% cream</t>
        </is>
      </c>
      <c r="H89" s="34" t="n"/>
      <c r="I89" s="33" t="inlineStr">
        <is>
          <t>1</t>
        </is>
      </c>
      <c r="J89" s="34"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35" t="n"/>
      <c r="L89" s="34" t="inlineStr">
        <is>
          <t>Eczema &amp; Dermatitis</t>
        </is>
      </c>
      <c r="M89" s="35" t="inlineStr">
        <is>
          <t>Clinic</t>
        </is>
      </c>
      <c r="N89" s="34" t="inlineStr">
        <is>
          <t>PLE_CC1_2564_All_Key ข้อ 121</t>
        </is>
      </c>
      <c r="O89" s="35" t="inlineStr">
        <is>
          <t>ข้อสอบจริง</t>
        </is>
      </c>
      <c r="P89" s="35" t="inlineStr">
        <is>
          <t>ปี 2564</t>
        </is>
      </c>
      <c r="Q89" s="2" t="n"/>
    </row>
    <row r="90" ht="13.2" customHeight="1" s="49">
      <c r="A90" s="33" t="n">
        <v>88</v>
      </c>
      <c r="B90" s="34" t="inlineStr">
        <is>
          <t>ยาในข้อใดเป็นสาเหตุสำคัญและมีรายงานการเกิด DRESS Syndrome (Drug Reaction with Eosinophilia and Systemic Symptoms) ชัดเจนที่สุด</t>
        </is>
      </c>
      <c r="C90" s="35" t="n"/>
      <c r="D90" s="34" t="inlineStr">
        <is>
          <t>Diclofenac</t>
        </is>
      </c>
      <c r="E90" s="34" t="inlineStr">
        <is>
          <t>Prednisolone</t>
        </is>
      </c>
      <c r="F90" s="34" t="inlineStr">
        <is>
          <t>Colchicine</t>
        </is>
      </c>
      <c r="G90" s="34" t="inlineStr">
        <is>
          <t>Allopurinol</t>
        </is>
      </c>
      <c r="H90" s="34" t="inlineStr">
        <is>
          <t>Paracetamol</t>
        </is>
      </c>
      <c r="I90" s="33" t="n">
        <v>4</v>
      </c>
      <c r="J90" s="34" t="inlineStr">
        <is>
          <t>✅ คำตอบที่ถูกต้อง: ข้อ ก. Diclofenec b) Prednisolone c) colchicine d) allopurinol e) febuxostat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35" t="n"/>
      <c r="L90" s="34" t="inlineStr">
        <is>
          <t>ADR &amp; Allergy</t>
        </is>
      </c>
      <c r="M90" s="35" t="inlineStr">
        <is>
          <t>Clinic</t>
        </is>
      </c>
      <c r="N90" s="34" t="inlineStr">
        <is>
          <t>PLE_CC1_2564_All_Key ข้อ 148</t>
        </is>
      </c>
      <c r="O90" s="35" t="inlineStr">
        <is>
          <t>ข้อสอบจริง</t>
        </is>
      </c>
      <c r="P90" s="35" t="inlineStr">
        <is>
          <t>ปี 2564</t>
        </is>
      </c>
      <c r="Q90" s="2" t="n"/>
    </row>
    <row r="91" ht="13.2" customHeight="1" s="49">
      <c r="A91" s="33" t="n">
        <v>89</v>
      </c>
      <c r="B91" s="34" t="inlineStr">
        <is>
          <t>กลไกขอษ mupirocin</t>
        </is>
      </c>
      <c r="C91" s="35" t="n"/>
      <c r="D91" s="34" t="inlineStr">
        <is>
          <t>ยับยั้ษ transpeptidase ที่ผนัษเอลล์</t>
        </is>
      </c>
      <c r="E91" s="34" t="inlineStr">
        <is>
          <t>ยับยั้ษ transglycosylase ที่ผนัษเอลล์</t>
        </is>
      </c>
      <c r="F91" s="34" t="inlineStr">
        <is>
          <t>ยับยั้ษ DNA synthesis ษ. ยับยั้ษ RNA synthesis ส. ยับยั้ษ tRNA</t>
        </is>
      </c>
      <c r="G91" s="34" t="inlineStr">
        <is>
          <t>Benzoyl peroxide 2.5% gel</t>
        </is>
      </c>
      <c r="H91" s="34" t="n"/>
      <c r="I91" s="33" t="n">
        <v>3</v>
      </c>
      <c r="J91" s="34" t="inlineStr">
        <is>
          <t>✅ คำตอบที่ถูกต้อง: ข้อ ก. ยับยั้ษ transpeptidase ที่ผนัษเอลล์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(ยับยั้ษ transglycosylase ที่ผนัษเอลล์): Transglycosylase เป็นเอนไซม์สร้างสาย peptidoglycan ซึ่งถูกยับยั้งโดยยา Vancomycin ไม่ใช่กลไกของ Mupirocin
• ข้อ ค. (ยับยั้ษ DNA synthesis ษ. ยับยั้ษ RNA synthesis ส. ยับยั้ษ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35" t="n"/>
      <c r="L91" s="34" t="inlineStr">
        <is>
          <t>Bacterial Skin Infection</t>
        </is>
      </c>
      <c r="M91" s="35" t="inlineStr">
        <is>
          <t>Clinic</t>
        </is>
      </c>
      <c r="N91" s="34" t="inlineStr">
        <is>
          <t>PLE_CC1_2563_Q ข้อ 52</t>
        </is>
      </c>
      <c r="O91" s="35" t="inlineStr">
        <is>
          <t>ข้อสอบจริง</t>
        </is>
      </c>
      <c r="P91" s="35" t="inlineStr">
        <is>
          <t>ปี 2563</t>
        </is>
      </c>
      <c r="Q91" s="2" t="n"/>
    </row>
    <row r="92" ht="13.2" customHeight="1" s="49">
      <c r="A92" s="33" t="n">
        <v>90</v>
      </c>
      <c r="B92" s="34" t="inlineStr">
        <is>
          <t>ข้อใดเป็นอาการข้าษเคียษสากยาขี้ผึ้ษ mupirocin</t>
        </is>
      </c>
      <c r="C92" s="35" t="n"/>
      <c r="D92" s="34" t="inlineStr">
        <is>
          <t>Photosensitivity</t>
        </is>
      </c>
      <c r="E92" s="34" t="inlineStr">
        <is>
          <t>Acneiform eruption</t>
        </is>
      </c>
      <c r="F92" s="34" t="inlineStr">
        <is>
          <t>Skin irritation ษ. Striae ส. Spider nevi</t>
        </is>
      </c>
      <c r="G92" s="34" t="inlineStr">
        <is>
          <t>Cetirizine 10 mg OD</t>
        </is>
      </c>
      <c r="H92" s="34" t="n"/>
      <c r="I92" s="33" t="inlineStr">
        <is>
          <t>1</t>
        </is>
      </c>
      <c r="J92" s="34"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5" t="n"/>
      <c r="L92" s="34" t="inlineStr">
        <is>
          <t>Superficial fungal</t>
        </is>
      </c>
      <c r="M92" s="35" t="inlineStr">
        <is>
          <t>Clinic</t>
        </is>
      </c>
      <c r="N92" s="34" t="inlineStr">
        <is>
          <t>PLE_CC1_2563_Q ข้อ 53</t>
        </is>
      </c>
      <c r="O92" s="35" t="inlineStr">
        <is>
          <t>ข้อสอบจริง</t>
        </is>
      </c>
      <c r="P92" s="35" t="inlineStr">
        <is>
          <t>ปี 2563</t>
        </is>
      </c>
      <c r="Q92" s="2" t="n"/>
    </row>
    <row r="93" ht="13.2" customHeight="1" s="49">
      <c r="A93" s="33" t="n">
        <v>91</v>
      </c>
      <c r="B93" s="34" t="inlineStr">
        <is>
          <t>ยาใดสามารถให้แทนยาทา Mupirocin ได้ (ผู้ป่วยหกล้มและมีแผล)</t>
        </is>
      </c>
      <c r="C93" s="35" t="n"/>
      <c r="D93" s="34" t="inlineStr">
        <is>
          <t>Gentamicin</t>
        </is>
      </c>
      <c r="E93" s="34" t="inlineStr">
        <is>
          <t>Bacitracin</t>
        </is>
      </c>
      <c r="F93" s="34" t="inlineStr">
        <is>
          <t>Sulfanilamide ษ. Metronidazole</t>
        </is>
      </c>
      <c r="G93" s="34" t="inlineStr">
        <is>
          <t>Adapalene 0.1% gel</t>
        </is>
      </c>
      <c r="H93" s="34" t="n"/>
      <c r="I93" s="33" t="inlineStr">
        <is>
          <t>1</t>
        </is>
      </c>
      <c r="J93" s="34"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35" t="n"/>
      <c r="L93" s="34" t="inlineStr">
        <is>
          <t>Wound</t>
        </is>
      </c>
      <c r="M93" s="35" t="inlineStr">
        <is>
          <t>Clinic</t>
        </is>
      </c>
      <c r="N93" s="34" t="inlineStr">
        <is>
          <t>PLE_CC1_2563_Q ข้อ 54</t>
        </is>
      </c>
      <c r="O93" s="35" t="inlineStr">
        <is>
          <t>ข้อสอบจริง</t>
        </is>
      </c>
      <c r="P93" s="35" t="inlineStr">
        <is>
          <t>ปี 2563</t>
        </is>
      </c>
      <c r="Q93" s="2" t="n"/>
    </row>
    <row r="94" ht="13.2" customHeight="1" s="49">
      <c r="A94" s="33" t="n">
        <v>92</v>
      </c>
      <c r="B94" s="34" t="inlineStr">
        <is>
          <t>เฬื้อที่ทำให้เกิดสิวคือ</t>
        </is>
      </c>
      <c r="C94" s="35" t="n"/>
      <c r="D94" s="34" t="inlineStr">
        <is>
          <t>C. albicans</t>
        </is>
      </c>
      <c r="E94" s="34" t="inlineStr">
        <is>
          <t>H. pylori</t>
        </is>
      </c>
      <c r="F94" s="34" t="inlineStr">
        <is>
          <t>P. acne ษ. S. pyogenes ส. S. aureus</t>
        </is>
      </c>
      <c r="G94" s="34" t="inlineStr">
        <is>
          <t>Clotrimazole 1% cream</t>
        </is>
      </c>
      <c r="H94" s="34" t="n"/>
      <c r="I94" s="33" t="inlineStr">
        <is>
          <t>1</t>
        </is>
      </c>
      <c r="J94" s="34"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35" t="n"/>
      <c r="L94" s="34" t="inlineStr">
        <is>
          <t>Acne</t>
        </is>
      </c>
      <c r="M94" s="35" t="inlineStr">
        <is>
          <t>Clinic</t>
        </is>
      </c>
      <c r="N94" s="34" t="inlineStr">
        <is>
          <t>PLE_CC1_2563_Q ข้อ 57</t>
        </is>
      </c>
      <c r="O94" s="35" t="inlineStr">
        <is>
          <t>ข้อสอบจริง</t>
        </is>
      </c>
      <c r="P94" s="35" t="inlineStr">
        <is>
          <t>ปี 2563</t>
        </is>
      </c>
      <c r="Q94" s="2" t="n"/>
    </row>
    <row r="95" ht="13.2" customHeight="1" s="49">
      <c r="A95" s="33" t="n">
        <v>93</v>
      </c>
      <c r="B95" s="34" t="inlineStr">
        <is>
          <t>Oral isotretinoin ควรให้คำแนะนำอะไรที่เกิดสากผลข้าษเคียษที่สำคัญขอษตัวยา</t>
        </is>
      </c>
      <c r="C95" s="35" t="n"/>
      <c r="D95" s="34" t="inlineStr">
        <is>
          <t>ควรกินก่อนอาหาร30นาที</t>
        </is>
      </c>
      <c r="E95" s="34" t="inlineStr">
        <is>
          <t>ควรษดผลิตภัณฑ์ที่เป็นฮอร์โมน</t>
        </is>
      </c>
      <c r="F95" s="34" t="inlineStr">
        <is>
          <t>ควรทาครีมกันแดด ษ. ไม่ควรใฬ้ผลิตภัณฑ์ทาผิวที่มี vitamin A ส. อาหารไม่มีผลต่อการกินยา</t>
        </is>
      </c>
      <c r="G95" s="34" t="inlineStr">
        <is>
          <t>Clobetasol propionate 0.05% cream</t>
        </is>
      </c>
      <c r="H95" s="34" t="n"/>
      <c r="I95" s="33" t="inlineStr">
        <is>
          <t>1</t>
        </is>
      </c>
      <c r="J95" s="34"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35" t="n"/>
      <c r="L95" s="34" t="inlineStr">
        <is>
          <t>Acne</t>
        </is>
      </c>
      <c r="M95" s="35" t="inlineStr">
        <is>
          <t>Clinic</t>
        </is>
      </c>
      <c r="N95" s="34" t="inlineStr">
        <is>
          <t>PLE_CC1_2563_Q ข้อ 58</t>
        </is>
      </c>
      <c r="O95" s="35" t="inlineStr">
        <is>
          <t>ข้อสอบจริง</t>
        </is>
      </c>
      <c r="P95" s="35" t="inlineStr">
        <is>
          <t>ปี 2563</t>
        </is>
      </c>
      <c r="Q95" s="2" t="n"/>
    </row>
    <row r="96" ht="13.2" customHeight="1" s="49">
      <c r="A96" s="33" t="n">
        <v>94</v>
      </c>
      <c r="B96" s="34" t="inlineStr">
        <is>
          <t>อาการข้างต้นน่าจะเกิดจากยาใดมากที่สุด และเป็นอาการอะไร wasinsider W ↓ X STS</t>
        </is>
      </c>
      <c r="C96" s="35" t="n"/>
      <c r="D96" s="34" t="inlineStr">
        <is>
          <t>Naproxen - angioedema</t>
        </is>
      </c>
      <c r="E96" s="34" t="inlineStr">
        <is>
          <t>Naproxen - anaphylaxis</t>
        </is>
      </c>
      <c r="F96" s="34" t="inlineStr">
        <is>
          <t>Simvastatin - urticaria</t>
        </is>
      </c>
      <c r="G96" s="34" t="inlineStr">
        <is>
          <t>MFM - angioedema</t>
        </is>
      </c>
      <c r="H96" s="34" t="inlineStr">
        <is>
          <t>MFM ı anaphylaxis</t>
        </is>
      </c>
      <c r="I96" s="33" t="inlineStr">
        <is>
          <t>1</t>
        </is>
      </c>
      <c r="J96" s="34"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แนวทางเวชปฏิบัติโรคผิวหนังที่พบบ่อย พ.ศ. 2562 (สมาคมแพทย์ผิวหนังแห่งประเทศไทย)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35" t="n"/>
      <c r="L96" s="34" t="inlineStr">
        <is>
          <t>Superficial fungal</t>
        </is>
      </c>
      <c r="M96" s="35" t="inlineStr">
        <is>
          <t>Clinic</t>
        </is>
      </c>
      <c r="N96" s="34" t="inlineStr">
        <is>
          <t>ข้อ 21 (PLE_CC1_2562_Key.md)</t>
        </is>
      </c>
      <c r="O96" s="35" t="inlineStr">
        <is>
          <t>ข้อสอบจริง</t>
        </is>
      </c>
      <c r="P96" s="35" t="inlineStr">
        <is>
          <t>ปี 2562</t>
        </is>
      </c>
    </row>
    <row r="97" ht="13.2" customHeight="1" s="49">
      <c r="A97" s="33" t="n">
        <v>95</v>
      </c>
      <c r="B97" s="34"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97" s="35" t="n"/>
      <c r="D97" s="34" t="inlineStr">
        <is>
          <t>Sulfamethoxazole</t>
        </is>
      </c>
      <c r="E97" s="34" t="inlineStr">
        <is>
          <t>Celecoxib</t>
        </is>
      </c>
      <c r="F97" s="34" t="inlineStr">
        <is>
          <t>Hydrochlorothiazide</t>
        </is>
      </c>
      <c r="G97" s="34" t="inlineStr">
        <is>
          <t>Furosemide</t>
        </is>
      </c>
      <c r="H97" s="34" t="inlineStr">
        <is>
          <t>มีโอกาสเกิดปฏิกิริยาข้ามกลุ่มได้ทั้งหมดข้างต้น</t>
        </is>
      </c>
      <c r="I97" s="33" t="n">
        <v>5</v>
      </c>
      <c r="J97" s="34"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97" s="35" t="n"/>
      <c r="L97" s="34" t="inlineStr">
        <is>
          <t>ADR &amp; Allergy</t>
        </is>
      </c>
      <c r="M97" s="35" t="inlineStr">
        <is>
          <t>Clinic</t>
        </is>
      </c>
      <c r="N97" s="34" t="inlineStr">
        <is>
          <t>ข้อ 27 (PLE_CC1_2562_Key.md)</t>
        </is>
      </c>
      <c r="O97" s="35" t="inlineStr">
        <is>
          <t>ข้อสอบจริง</t>
        </is>
      </c>
      <c r="P97" s="35" t="inlineStr">
        <is>
          <t>ปี 2562</t>
        </is>
      </c>
    </row>
    <row r="98" ht="13.2" customHeight="1" s="49">
      <c r="A98" s="33" t="n">
        <v>96</v>
      </c>
      <c r="B98" s="34"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35" t="n"/>
      <c r="D98" s="34" t="inlineStr">
        <is>
          <t>RCT</t>
        </is>
      </c>
      <c r="E98" s="34" t="inlineStr">
        <is>
          <t>Prospective case-control</t>
        </is>
      </c>
      <c r="F98" s="34" t="inlineStr">
        <is>
          <t>Retrospective case-control</t>
        </is>
      </c>
      <c r="G98" s="34" t="inlineStr">
        <is>
          <t>Prospective cohort</t>
        </is>
      </c>
      <c r="H98" s="34" t="inlineStr">
        <is>
          <t>Retrospective cohort</t>
        </is>
      </c>
      <c r="I98" s="33" t="n">
        <v>3</v>
      </c>
      <c r="J98" s="34" t="inlineStr">
        <is>
          <t>✅ คำตอบที่ถูกต้อง: ข้อ ก. RCT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RCT การเลือก RCT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แนวทางเวชปฏิบัติโรคผิวหนังที่พบบ่อย พ.ศ. 2562 (สมาคมแพทย์ผิวหนังแห่งประเทศไทย)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35" t="n"/>
      <c r="L98" s="34" t="inlineStr">
        <is>
          <t>Biostatistics &amp; Study Design</t>
        </is>
      </c>
      <c r="M98" s="35" t="inlineStr">
        <is>
          <t>Clinic</t>
        </is>
      </c>
      <c r="N98" s="34" t="inlineStr">
        <is>
          <t>ข้อ 62 (PLE_CC1_2562_Key.md)</t>
        </is>
      </c>
      <c r="O98" s="35" t="inlineStr">
        <is>
          <t>ข้อสอบจริง</t>
        </is>
      </c>
      <c r="P98" s="35" t="inlineStr">
        <is>
          <t>ปี 2562</t>
        </is>
      </c>
    </row>
    <row r="99" ht="13.2" customHeight="1" s="49">
      <c r="A99" s="33" t="n">
        <v>97</v>
      </c>
      <c r="B99" s="34" t="inlineStr">
        <is>
          <t>ข้อใดคือ indirect cost CUTEagomoline WV225 cut as</t>
        </is>
      </c>
      <c r="C99" s="35" t="n"/>
      <c r="D99" s="34" t="inlineStr">
        <is>
          <t>Adapalene 0.1% gel</t>
        </is>
      </c>
      <c r="E99" s="34" t="inlineStr">
        <is>
          <t>Mupirocin 2% ointment</t>
        </is>
      </c>
      <c r="F99" s="34" t="inlineStr">
        <is>
          <t>Betamethasone dipropionate 0.05% cream</t>
        </is>
      </c>
      <c r="G99" s="34" t="inlineStr">
        <is>
          <t>Clotrimazole 1% cream</t>
        </is>
      </c>
      <c r="H99" s="34" t="inlineStr">
        <is>
          <t>Hydrocortisone 1% cream</t>
        </is>
      </c>
      <c r="I99" s="33" t="inlineStr">
        <is>
          <t>1</t>
        </is>
      </c>
      <c r="J99" s="34"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35" t="n"/>
      <c r="L99" s="34" t="inlineStr">
        <is>
          <t>Superficial fungal</t>
        </is>
      </c>
      <c r="M99" s="35" t="inlineStr">
        <is>
          <t>Clinic</t>
        </is>
      </c>
      <c r="N99" s="34" t="inlineStr">
        <is>
          <t>ข้อ 113 (PLE_CC1_2561_Key.md)</t>
        </is>
      </c>
      <c r="O99" s="35" t="inlineStr">
        <is>
          <t>ข้อสอบจริง</t>
        </is>
      </c>
      <c r="P99" s="35" t="inlineStr">
        <is>
          <t>ปี 2561</t>
        </is>
      </c>
    </row>
    <row r="100" ht="13.2" customHeight="1" s="49">
      <c r="A100" s="33" t="n">
        <v>98</v>
      </c>
      <c r="B100" s="34" t="inlineStr">
        <is>
          <t>ข้อใดต่อไปถูกต้องเกี่ยวกับเกลื อน</t>
        </is>
      </c>
      <c r="C100" s="35" t="n"/>
      <c r="D100" s="34" t="inlineStr">
        <is>
          <t>เกิดจากเชื อ Malassezia furfur</t>
        </is>
      </c>
      <c r="E100" s="34" t="inlineStr">
        <is>
          <t>ถ้าอาการรุนแรง จะมีขุย แดง คัน</t>
        </is>
      </c>
      <c r="F100" s="34" t="inlineStr">
        <is>
          <t>ถ้าทดสอบด้วย 10% KOH ไปส่องกล้อง จะเห็น Long pseudohyphae</t>
        </is>
      </c>
      <c r="G100" s="34" t="inlineStr">
        <is>
          <t>ใช้ยาทา Topical selenium sulfide ในการรักษา</t>
        </is>
      </c>
      <c r="H100" s="34" t="inlineStr">
        <is>
          <t>ถ้าเป็นบ่อยๆ ควรได้รับยาป้องกัน รวมโดย Phongsathorn Phlaisaithong Rx 9 UP 4 | P a g e</t>
        </is>
      </c>
      <c r="I100" s="33" t="inlineStr">
        <is>
          <t>1</t>
        </is>
      </c>
      <c r="J100" s="34"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35" t="n"/>
      <c r="L100" s="34" t="inlineStr">
        <is>
          <t>Superficial fungal</t>
        </is>
      </c>
      <c r="M100" s="35" t="inlineStr">
        <is>
          <t>Clinic</t>
        </is>
      </c>
      <c r="N100" s="34" t="inlineStr">
        <is>
          <t>ข้อ 1 (PLE_CC1_2560 22 April Set 1.md)</t>
        </is>
      </c>
      <c r="O100" s="35" t="inlineStr">
        <is>
          <t>ข้อสอบจริง</t>
        </is>
      </c>
      <c r="P100" s="35" t="inlineStr">
        <is>
          <t>ปี 2560</t>
        </is>
      </c>
    </row>
    <row r="101" ht="13.2" customHeight="1" s="49">
      <c r="A101" s="33" t="n">
        <v>99</v>
      </c>
      <c r="B101" s="34" t="inlineStr">
        <is>
          <t>ถ้าจะใช้ยากิน ควรใช้ยารับประทานใด</t>
        </is>
      </c>
      <c r="C101" s="35" t="n"/>
      <c r="D101" s="34" t="inlineStr">
        <is>
          <t>Ketoconazole</t>
        </is>
      </c>
      <c r="E101" s="34" t="inlineStr">
        <is>
          <t>Posaconazole</t>
        </is>
      </c>
      <c r="F101" s="34" t="inlineStr">
        <is>
          <t>Miconazole</t>
        </is>
      </c>
      <c r="G101" s="34" t="inlineStr">
        <is>
          <t>Fluconazole</t>
        </is>
      </c>
      <c r="H101" s="34" t="inlineStr">
        <is>
          <t>Griseofulvin หลังจากนั นสักพักผู้ป่วยอาการไม่ดีขึ นไปพบแพทย์จ่ายยา Itraconazole ให้มารับประทาน</t>
        </is>
      </c>
      <c r="I101" s="33" t="inlineStr">
        <is>
          <t>1</t>
        </is>
      </c>
      <c r="J101" s="34"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35" t="n"/>
      <c r="L101" s="34" t="inlineStr">
        <is>
          <t>Superficial fungal</t>
        </is>
      </c>
      <c r="M101" s="35" t="inlineStr">
        <is>
          <t>Clinic</t>
        </is>
      </c>
      <c r="N101" s="34" t="inlineStr">
        <is>
          <t>ข้อ 2 (PLE_CC1_2560 22 April Set 1.md)</t>
        </is>
      </c>
      <c r="O101" s="35" t="inlineStr">
        <is>
          <t>ข้อสอบจริง</t>
        </is>
      </c>
      <c r="P101" s="35" t="inlineStr">
        <is>
          <t>ปี 2560</t>
        </is>
      </c>
    </row>
    <row r="102" ht="13.2" customHeight="1" s="49">
      <c r="A102" s="33" t="n">
        <v>100</v>
      </c>
      <c r="B102" s="34" t="inlineStr">
        <is>
          <t>กลไกการออกฤทธิ์ของยา Clotrimazole</t>
        </is>
      </c>
      <c r="C102" s="35" t="n"/>
      <c r="D102" s="34" t="inlineStr">
        <is>
          <t>ยับยั งการสังเคราะห์ Ergosterol</t>
        </is>
      </c>
      <c r="E102" s="34" t="inlineStr">
        <is>
          <t>ยับยั ง Squalene epoxidase</t>
        </is>
      </c>
      <c r="F102" s="34" t="inlineStr">
        <is>
          <t>Mitotic spindle toxicity</t>
        </is>
      </c>
      <c r="G102" s="34" t="inlineStr">
        <is>
          <t>Thymidylate synthase inhibitors</t>
        </is>
      </c>
      <c r="H102" s="34" t="inlineStr">
        <is>
          <t>ยับยั งการสร้าง Glucans</t>
        </is>
      </c>
      <c r="I102" s="33" t="inlineStr">
        <is>
          <t>1</t>
        </is>
      </c>
      <c r="J102" s="34"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5" t="n"/>
      <c r="L102" s="34" t="inlineStr">
        <is>
          <t>Superficial fungal</t>
        </is>
      </c>
      <c r="M102" s="35" t="inlineStr">
        <is>
          <t>Clinic</t>
        </is>
      </c>
      <c r="N102" s="34" t="inlineStr">
        <is>
          <t>ข้อ 7 (PLE_CC1_2560 22 April Set 1.md)</t>
        </is>
      </c>
      <c r="O102" s="35" t="inlineStr">
        <is>
          <t>ข้อสอบจริง</t>
        </is>
      </c>
      <c r="P102" s="35" t="inlineStr">
        <is>
          <t>ปี 2560</t>
        </is>
      </c>
    </row>
    <row r="103" ht="13.2" customHeight="1" s="49">
      <c r="A103" s="33" t="n">
        <v>101</v>
      </c>
      <c r="B103" s="34" t="inlineStr">
        <is>
          <t>ผื่นที่หน้าของผู้ป่วย เรียกว่าอะไร</t>
        </is>
      </c>
      <c r="C103" s="35" t="n"/>
      <c r="D103" s="34" t="inlineStr">
        <is>
          <t>Discoid rash</t>
        </is>
      </c>
      <c r="E103" s="34" t="inlineStr">
        <is>
          <t>Maculopapular rash</t>
        </is>
      </c>
      <c r="F103" s="34" t="inlineStr">
        <is>
          <t>Urticaria</t>
        </is>
      </c>
      <c r="G103" s="34" t="inlineStr">
        <is>
          <t>Malar rash</t>
        </is>
      </c>
      <c r="H103" s="34" t="inlineStr">
        <is>
          <t>Angioedema</t>
        </is>
      </c>
      <c r="I103" s="33" t="n">
        <v>4</v>
      </c>
      <c r="J103" s="34" t="inlineStr">
        <is>
          <t>✅ คำตอบที่ถูกต้อง: ข้อ ก. Discoid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Discoid rash การเลือก Discoid rash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35" t="n"/>
      <c r="L103" s="34" t="inlineStr">
        <is>
          <t>Autoimmune &amp; SLE</t>
        </is>
      </c>
      <c r="M103" s="35" t="inlineStr">
        <is>
          <t>Clinic</t>
        </is>
      </c>
      <c r="N103" s="34" t="inlineStr">
        <is>
          <t>ข้อ 1 (PLE_CC1_2560 22 April Set 1.md)</t>
        </is>
      </c>
      <c r="O103" s="35" t="inlineStr">
        <is>
          <t>ข้อสอบจริง</t>
        </is>
      </c>
      <c r="P103" s="35" t="inlineStr">
        <is>
          <t>ปี 2560</t>
        </is>
      </c>
    </row>
    <row r="104" ht="13.2" customHeight="1" s="49">
      <c r="A104" s="33" t="n">
        <v>102</v>
      </c>
      <c r="B104" s="34"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35" t="n"/>
      <c r="D104" s="34" t="inlineStr">
        <is>
          <t>Betamethasone dipropionate 0.05%</t>
        </is>
      </c>
      <c r="E104" s="34" t="inlineStr">
        <is>
          <t>Clobetasol propionate 0.05%</t>
        </is>
      </c>
      <c r="F104" s="34" t="inlineStr">
        <is>
          <t>Dexosimethasone 0.05%</t>
        </is>
      </c>
      <c r="G104" s="34" t="inlineStr">
        <is>
          <t>Triamcinolone acetonide 0.1%</t>
        </is>
      </c>
      <c r="H104" s="34" t="inlineStr">
        <is>
          <t>Hydrocortisone acetate 0.5% รวมโดย Phongsathorn Phlaisaithong Rx 9 UP 21 | P a g e</t>
        </is>
      </c>
      <c r="I104" s="33" t="inlineStr">
        <is>
          <t>1</t>
        </is>
      </c>
      <c r="J104" s="34"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35" t="n"/>
      <c r="L104" s="34" t="inlineStr">
        <is>
          <t>Eczema &amp; Dermatitis</t>
        </is>
      </c>
      <c r="M104" s="35" t="inlineStr">
        <is>
          <t>Clinic</t>
        </is>
      </c>
      <c r="N104" s="34" t="inlineStr">
        <is>
          <t>ข้อ 3 (PLE_CC1_2560 22 April Set 1.md)</t>
        </is>
      </c>
      <c r="O104" s="35" t="inlineStr">
        <is>
          <t>ข้อสอบจริง</t>
        </is>
      </c>
      <c r="P104" s="35" t="inlineStr">
        <is>
          <t>ปี 2560</t>
        </is>
      </c>
    </row>
    <row r="105" ht="13.2" customHeight="1" s="49">
      <c r="A105" s="33" t="n">
        <v>103</v>
      </c>
      <c r="B105" s="34" t="inlineStr">
        <is>
          <t>ข้อใดต่อไปถูกต้องเกี่ยวกับเกลื้อน</t>
        </is>
      </c>
      <c r="C105" s="35" t="n"/>
      <c r="D105" s="34" t="inlineStr">
        <is>
          <t>เกิดจากเชื้อ Malassezia furfur</t>
        </is>
      </c>
      <c r="E105" s="34" t="inlineStr">
        <is>
          <t>ถ้าอาการรุนแรง จะมีขุย แดง คัน</t>
        </is>
      </c>
      <c r="F105" s="34" t="inlineStr">
        <is>
          <t>ถ้าทดสอบด้วย 10% KOH ไปส่องกล้อง จะเห็น Long pseudohyphae</t>
        </is>
      </c>
      <c r="G105" s="34" t="inlineStr">
        <is>
          <t>ใช้ยาทา Topical selenium sulfide ในการรักษา</t>
        </is>
      </c>
      <c r="H105" s="34" t="inlineStr">
        <is>
          <t>ถ้าเป็นบ่อยๆ ควรได้รับยาป้องกัน</t>
        </is>
      </c>
      <c r="I105" s="33" t="inlineStr">
        <is>
          <t>1</t>
        </is>
      </c>
      <c r="J105"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35" t="n"/>
      <c r="L105" s="34" t="inlineStr">
        <is>
          <t>Superficial fungal</t>
        </is>
      </c>
      <c r="M105" s="35" t="inlineStr">
        <is>
          <t>Clinic</t>
        </is>
      </c>
      <c r="N105" s="34" t="inlineStr">
        <is>
          <t>ข้อ 1 (PLE_CC1_2560 22 April Set 2.md)</t>
        </is>
      </c>
      <c r="O105" s="35" t="inlineStr">
        <is>
          <t>ข้อสอบจริง</t>
        </is>
      </c>
      <c r="P105" s="35" t="inlineStr">
        <is>
          <t>ปี 2560</t>
        </is>
      </c>
    </row>
    <row r="106" ht="13.2" customHeight="1" s="49">
      <c r="A106" s="33" t="n">
        <v>104</v>
      </c>
      <c r="B106" s="34" t="inlineStr">
        <is>
          <t>ค่าแลปใด Specificity สูงสุด สำหรับ SLE</t>
        </is>
      </c>
      <c r="C106" s="35" t="n"/>
      <c r="D106" s="34" t="inlineStr">
        <is>
          <t>ANA</t>
        </is>
      </c>
      <c r="E106" s="34" t="inlineStr">
        <is>
          <t>Anti-dsDNA</t>
        </is>
      </c>
      <c r="F106" s="34" t="inlineStr">
        <is>
          <t>Lupus anticoagulant</t>
        </is>
      </c>
      <c r="G106" s="34" t="inlineStr">
        <is>
          <t>ESR</t>
        </is>
      </c>
      <c r="H106" s="34" t="inlineStr">
        <is>
          <t>Cetirizine 10 mg OD</t>
        </is>
      </c>
      <c r="I106" s="33" t="n">
        <v>2</v>
      </c>
      <c r="J106" s="34" t="inlineStr">
        <is>
          <t>✅ คำตอบที่ถูกต้อง: ข้อ ก. ANA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ANA การเลือก ANA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35" t="n"/>
      <c r="L106" s="34" t="inlineStr">
        <is>
          <t>Autoimmune &amp; SLE</t>
        </is>
      </c>
      <c r="M106" s="35" t="inlineStr">
        <is>
          <t>Clinic</t>
        </is>
      </c>
      <c r="N106" s="34" t="inlineStr">
        <is>
          <t>ข้อ 2 (PLE_CC1_2560 22 April Set 2.md)</t>
        </is>
      </c>
      <c r="O106" s="35" t="inlineStr">
        <is>
          <t>ข้อสอบจริง</t>
        </is>
      </c>
      <c r="P106" s="35" t="inlineStr">
        <is>
          <t>ปี 2560</t>
        </is>
      </c>
    </row>
    <row r="107" ht="13.2" customHeight="1" s="49">
      <c r="A107" s="33" t="n">
        <v>105</v>
      </c>
      <c r="B107" s="34" t="inlineStr">
        <is>
          <t>ถ้าไม่มียา Fluocinolone acetonide 0.01% เภสัชกรจะจ่ายยาใดแทน</t>
        </is>
      </c>
      <c r="C107" s="35" t="n"/>
      <c r="D107" s="34" t="inlineStr">
        <is>
          <t>Betamethasone dipropionate 0.05%</t>
        </is>
      </c>
      <c r="E107" s="34" t="inlineStr">
        <is>
          <t>Clobetasol propionate 0.05%</t>
        </is>
      </c>
      <c r="F107" s="34" t="inlineStr">
        <is>
          <t>Dexosimethasone 0.05%</t>
        </is>
      </c>
      <c r="G107" s="34" t="inlineStr">
        <is>
          <t>Triamcinolone acetonide 0.1%</t>
        </is>
      </c>
      <c r="H107" s="34" t="inlineStr">
        <is>
          <t>Hydrocortisone acetate 0.5%</t>
        </is>
      </c>
      <c r="I107" s="33" t="inlineStr">
        <is>
          <t>1</t>
        </is>
      </c>
      <c r="J107" s="34"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5" t="n"/>
      <c r="L107" s="34" t="inlineStr">
        <is>
          <t>Superficial fungal</t>
        </is>
      </c>
      <c r="M107" s="35" t="inlineStr">
        <is>
          <t>Clinic</t>
        </is>
      </c>
      <c r="N107" s="34" t="inlineStr">
        <is>
          <t>ข้อ 3 (PLE_CC1_2560 22 April Set 2.md)</t>
        </is>
      </c>
      <c r="O107" s="35" t="inlineStr">
        <is>
          <t>ข้อสอบจริง</t>
        </is>
      </c>
      <c r="P107" s="35" t="inlineStr">
        <is>
          <t>ปี 2560</t>
        </is>
      </c>
    </row>
    <row r="108" ht="13.2" customHeight="1" s="49">
      <c r="A108" s="33" t="n">
        <v>106</v>
      </c>
      <c r="B108" s="34" t="inlineStr">
        <is>
          <t>หากให้ยา paclitaxel แล้วผู้ป่วยเกิดผื่นคัน จะมีแนวทางป้องกันอย่างไร</t>
        </is>
      </c>
      <c r="C108" s="35" t="n"/>
      <c r="D108" s="34" t="inlineStr">
        <is>
          <t>ให้สารน ้าจ้าพวกน ้าเกลือก่อนให้ยา 1-2 ชั่วโมง</t>
        </is>
      </c>
      <c r="E108" s="34" t="inlineStr">
        <is>
          <t>ให้ยาคาลาไมด์ โลชันทาเมื่อมีอาการแพ้</t>
        </is>
      </c>
      <c r="F108" s="34" t="inlineStr">
        <is>
          <t>ให้ยา dexamethasone ก่อนให้ยา 30 นาที</t>
        </is>
      </c>
      <c r="G108" s="34" t="inlineStr">
        <is>
          <t>ให้ยา famotidine ก่อนให้ยา 1 ชั่วโมง</t>
        </is>
      </c>
      <c r="H108" s="34" t="inlineStr">
        <is>
          <t>ให้เปลี่ยนตัวท้าละลายเป็น D5W เนื่องจากเกิดผลน้อยที่สุด</t>
        </is>
      </c>
      <c r="I108" s="33" t="inlineStr">
        <is>
          <t>1</t>
        </is>
      </c>
      <c r="J108" s="34"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35" t="n"/>
      <c r="L108" s="34" t="inlineStr">
        <is>
          <t>Eczema &amp; Dermatitis</t>
        </is>
      </c>
      <c r="M108" s="35" t="inlineStr">
        <is>
          <t>Clinic</t>
        </is>
      </c>
      <c r="N108" s="34" t="inlineStr">
        <is>
          <t>ข้อ 52 (PLE_CC1_2559.md)</t>
        </is>
      </c>
      <c r="O108" s="35" t="inlineStr">
        <is>
          <t>ข้อสอบจริง</t>
        </is>
      </c>
      <c r="P108" s="35" t="inlineStr">
        <is>
          <t>ปี 2559</t>
        </is>
      </c>
    </row>
    <row r="109" ht="13.2" customHeight="1" s="49">
      <c r="A109" s="33" t="n">
        <v>107</v>
      </c>
      <c r="B109" s="34"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35" t="n"/>
      <c r="D109" s="34" t="inlineStr">
        <is>
          <t>0.45 กรัม</t>
        </is>
      </c>
      <c r="E109" s="34" t="inlineStr">
        <is>
          <t>0.55 กรัม</t>
        </is>
      </c>
      <c r="F109" s="34" t="inlineStr">
        <is>
          <t>1.45 กรัม</t>
        </is>
      </c>
      <c r="G109" s="34" t="inlineStr">
        <is>
          <t>1.55 กรัม</t>
        </is>
      </c>
      <c r="H109" s="34" t="inlineStr">
        <is>
          <t>2.00 กรัม</t>
        </is>
      </c>
      <c r="I109" s="33" t="n">
        <v>4</v>
      </c>
      <c r="J109" s="34" t="inlineStr">
        <is>
          <t>✅ คำตอบที่ถูกต้อง: ข้อ ก. 0.45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0.45 กรัม การเลือก 0.45 กรัม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5" t="n"/>
      <c r="L109" s="34" t="inlineStr">
        <is>
          <t>Pharmaceutical Compounding</t>
        </is>
      </c>
      <c r="M109" s="35" t="inlineStr">
        <is>
          <t>Clinic</t>
        </is>
      </c>
      <c r="N109" s="34" t="inlineStr">
        <is>
          <t>ข้อ 66 (PLE_CC1_2559.md)</t>
        </is>
      </c>
      <c r="O109" s="35" t="inlineStr">
        <is>
          <t>ข้อสอบจริง</t>
        </is>
      </c>
      <c r="P109" s="35" t="inlineStr">
        <is>
          <t>ปี 2559</t>
        </is>
      </c>
    </row>
    <row r="110" ht="13.2" customHeight="1" s="49">
      <c r="A110" s="33" t="n">
        <v>108</v>
      </c>
      <c r="B110" s="34" t="inlineStr">
        <is>
          <t>ให้ยาใดเป็น maintenance phase</t>
        </is>
      </c>
      <c r="C110" s="35" t="n"/>
      <c r="D110" s="34" t="inlineStr">
        <is>
          <t>Amphotericin B</t>
        </is>
      </c>
      <c r="E110" s="34" t="inlineStr">
        <is>
          <t>Fluconazole</t>
        </is>
      </c>
      <c r="F110" s="34" t="inlineStr">
        <is>
          <t>Itraconazole</t>
        </is>
      </c>
      <c r="G110" s="34" t="inlineStr">
        <is>
          <t>Bactrim</t>
        </is>
      </c>
      <c r="H110" s="34" t="inlineStr">
        <is>
          <t>Griseofulvin</t>
        </is>
      </c>
      <c r="I110" s="33" t="n">
        <v>2</v>
      </c>
      <c r="J110" s="34" t="inlineStr">
        <is>
          <t>✅ คำตอบที่ถูกต้อง: ข้อ ก. Amphotericin B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Amphotericin B การเลือก Amphotericin B เป็นคำตอบที่ถูกต้องตามแนวทางการรักษามาตรฐาน เนื่องจาก เป็น polyene antifungal มี broad spectrum ต่อ systemic fungal infections แต่มี infusion-related reactions (ไข้ หนาวสั่น) และ severe nephrotoxicity (hypokalemia, hypomagnesemia)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5" t="n"/>
      <c r="L110" s="34" t="inlineStr">
        <is>
          <t>Infectious Diseases</t>
        </is>
      </c>
      <c r="M110" s="35" t="inlineStr">
        <is>
          <t>Clinic</t>
        </is>
      </c>
      <c r="N110" s="34" t="inlineStr">
        <is>
          <t>ข้อ 19 (PLE_CC1_2558_Key.md)</t>
        </is>
      </c>
      <c r="O110" s="35" t="inlineStr">
        <is>
          <t>ข้อสอบจริง</t>
        </is>
      </c>
      <c r="P110" s="35" t="inlineStr">
        <is>
          <t>ปี 2558</t>
        </is>
      </c>
    </row>
    <row r="111" ht="13.2" customHeight="1" s="49">
      <c r="A111" s="33" t="n">
        <v>109</v>
      </c>
      <c r="B111" s="34" t="inlineStr">
        <is>
          <t>ลักษณะอาการที่ผู้ป่วยเป็น เกิดจากเชื้ออะไร</t>
        </is>
      </c>
      <c r="C111" s="35" t="n"/>
      <c r="D111" s="34" t="inlineStr">
        <is>
          <t>Propionebacterium acnes</t>
        </is>
      </c>
      <c r="E111" s="34" t="inlineStr">
        <is>
          <t>Malassezia furfur</t>
        </is>
      </c>
      <c r="F111" s="34" t="inlineStr">
        <is>
          <t>Herpes simplex</t>
        </is>
      </c>
      <c r="G111" s="34" t="inlineStr">
        <is>
          <t>Thichophyton rubum</t>
        </is>
      </c>
      <c r="H111" s="34" t="inlineStr">
        <is>
          <t>Microsporum</t>
        </is>
      </c>
      <c r="I111" s="33" t="n">
        <v>2</v>
      </c>
      <c r="J111" s="34" t="inlineStr">
        <is>
          <t>✅ คำตอบที่ถูกต้อง: ข้อ ก. Propionebacterium acnes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Propionebacterium acnes การเลือก Propionebacterium acnes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35" t="n"/>
      <c r="L111" s="34" t="inlineStr">
        <is>
          <t>Superficial fungal</t>
        </is>
      </c>
      <c r="M111" s="35" t="inlineStr">
        <is>
          <t>Clinic</t>
        </is>
      </c>
      <c r="N111" s="34" t="inlineStr">
        <is>
          <t>ข้อ 93 (PLE_CC1_2558_Key.md)</t>
        </is>
      </c>
      <c r="O111" s="35" t="inlineStr">
        <is>
          <t>ข้อสอบจริง</t>
        </is>
      </c>
      <c r="P111" s="35" t="inlineStr">
        <is>
          <t>ปี 2558</t>
        </is>
      </c>
    </row>
    <row r="112" ht="13.2" customHeight="1" s="49">
      <c r="A112" s="33" t="n">
        <v>110</v>
      </c>
      <c r="B112" s="34" t="inlineStr">
        <is>
          <t>ยาใดที่เหมาะสมสำหรับผู้ป่วย</t>
        </is>
      </c>
      <c r="C112" s="35" t="n"/>
      <c r="D112" s="34" t="inlineStr">
        <is>
          <t>Griseofulvin oral</t>
        </is>
      </c>
      <c r="E112" s="34" t="inlineStr">
        <is>
          <t>Terbinafine</t>
        </is>
      </c>
      <c r="F112" s="34" t="inlineStr">
        <is>
          <t>Ketoconazole oral</t>
        </is>
      </c>
      <c r="G112" s="34" t="inlineStr">
        <is>
          <t>Prednisolone</t>
        </is>
      </c>
      <c r="H112" s="34" t="inlineStr">
        <is>
          <t>Itraconazole capsule</t>
        </is>
      </c>
      <c r="I112" s="33" t="n">
        <v>5</v>
      </c>
      <c r="J112"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5" t="n"/>
      <c r="L112" s="34" t="inlineStr">
        <is>
          <t>Superficial fungal</t>
        </is>
      </c>
      <c r="M112" s="35" t="inlineStr">
        <is>
          <t>Clinic</t>
        </is>
      </c>
      <c r="N112" s="34" t="inlineStr">
        <is>
          <t>ข้อ 94 (PLE_CC1_2558_Key.md)</t>
        </is>
      </c>
      <c r="O112" s="35" t="inlineStr">
        <is>
          <t>ข้อสอบจริง</t>
        </is>
      </c>
      <c r="P112" s="35" t="inlineStr">
        <is>
          <t>ปี 2558</t>
        </is>
      </c>
    </row>
    <row r="113" ht="13.2" customHeight="1" s="49">
      <c r="A113" s="33" t="n">
        <v>111</v>
      </c>
      <c r="B113" s="34" t="inlineStr">
        <is>
          <t>ยาใดเป็นพิษต่อตับมากที่สุด</t>
        </is>
      </c>
      <c r="C113" s="35" t="n"/>
      <c r="D113" s="34" t="inlineStr">
        <is>
          <t>Griseofulvin oral</t>
        </is>
      </c>
      <c r="E113" s="34" t="inlineStr">
        <is>
          <t>Terbinafine</t>
        </is>
      </c>
      <c r="F113" s="34" t="inlineStr">
        <is>
          <t>Ketoconazole oral</t>
        </is>
      </c>
      <c r="G113" s="34" t="inlineStr">
        <is>
          <t>Prednisolone</t>
        </is>
      </c>
      <c r="H113" s="34" t="inlineStr">
        <is>
          <t>Itraconazole capsule</t>
        </is>
      </c>
      <c r="I113" s="33" t="n">
        <v>3</v>
      </c>
      <c r="J113" s="34" t="inlineStr">
        <is>
          <t>✅ คำตอบที่ถูกต้อง: ข้อ ก. Griseofulvin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Griseofulvin oral การเลือก Griseofulvin oral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35" t="n"/>
      <c r="L113" s="34" t="inlineStr">
        <is>
          <t>Superficial fungal</t>
        </is>
      </c>
      <c r="M113" s="35" t="inlineStr">
        <is>
          <t>Clinic</t>
        </is>
      </c>
      <c r="N113" s="34" t="inlineStr">
        <is>
          <t>ข้อ 95 (PLE_CC1_2558_Key.md)</t>
        </is>
      </c>
      <c r="O113" s="35" t="inlineStr">
        <is>
          <t>ข้อสอบจริง</t>
        </is>
      </c>
      <c r="P113" s="35" t="inlineStr">
        <is>
          <t>ปี 2558</t>
        </is>
      </c>
    </row>
    <row r="114" ht="13.2" customHeight="1" s="49">
      <c r="A114" s="33" t="n">
        <v>112</v>
      </c>
      <c r="B114" s="34" t="inlineStr">
        <is>
          <t>ข้อใดไม่เกี่ยวข้องกับการวินิจฉัย TEN</t>
        </is>
      </c>
      <c r="C114" s="35" t="n"/>
      <c r="D114" s="34" t="inlineStr">
        <is>
          <t>มีผื่นผิวหนังลอกมากกว่า 30%</t>
        </is>
      </c>
      <c r="E114" s="34" t="inlineStr">
        <is>
          <t>มีไข้ เจ็บคอ เริ่มมีผื่นแดงขึ้น</t>
        </is>
      </c>
      <c r="F114" s="34" t="inlineStr">
        <is>
          <t>ได้รับยาที่มี incidence สูงในการเกิด TEN</t>
        </is>
      </c>
      <c r="G114" s="34" t="inlineStr">
        <is>
          <t>มีแผลที่อวัยวะต่าง ๆ</t>
        </is>
      </c>
      <c r="H114" s="34" t="inlineStr">
        <is>
          <t>โรคประจำตัวมาก</t>
        </is>
      </c>
      <c r="I114" s="33" t="inlineStr">
        <is>
          <t>1</t>
        </is>
      </c>
      <c r="J114" s="34"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5" t="n"/>
      <c r="L114" s="34" t="inlineStr">
        <is>
          <t>Superficial fungal</t>
        </is>
      </c>
      <c r="M114" s="35" t="inlineStr">
        <is>
          <t>Clinic</t>
        </is>
      </c>
      <c r="N114" s="34" t="inlineStr">
        <is>
          <t>ข้อ 27 (PLE_CC1_2558_Key.md)</t>
        </is>
      </c>
      <c r="O114" s="35" t="inlineStr">
        <is>
          <t>ข้อสอบจริง</t>
        </is>
      </c>
      <c r="P114" s="35" t="inlineStr">
        <is>
          <t>ปี 2558</t>
        </is>
      </c>
    </row>
    <row r="115" ht="13.2" customHeight="1" s="49">
      <c r="A115" s="33" t="n">
        <v>113</v>
      </c>
      <c r="B115" s="34" t="inlineStr">
        <is>
          <t>ข้อใดคือปัจจัยเสี่ยงที่ทำให้เกิดโรคในผู้ป่วยรายนี้</t>
        </is>
      </c>
      <c r="C115" s="35" t="n"/>
      <c r="D115" s="34" t="inlineStr">
        <is>
          <t>การสูบบุหรี่และดื่มแอลกอฮอล์</t>
        </is>
      </c>
      <c r="E115" s="34" t="inlineStr">
        <is>
          <t>ผู้ป่วยมีประวัติเป็น Venous aneurysm</t>
        </is>
      </c>
      <c r="F115" s="34" t="inlineStr">
        <is>
          <t>ภาวะ Obesity Metabolic syndrome</t>
        </is>
      </c>
      <c r="G115" s="34" t="inlineStr">
        <is>
          <t>พันธุกรรม คนในครอบครัวมีประวัติดังกล่าว</t>
        </is>
      </c>
      <c r="H115" s="34" t="inlineStr">
        <is>
          <t>ทุกข้อเป็นปัจจัยเสี่ยงที่ทำให้เกิดโรคนี้</t>
        </is>
      </c>
      <c r="I115" s="33" t="inlineStr">
        <is>
          <t>1</t>
        </is>
      </c>
      <c r="J115" s="34"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35" t="n"/>
      <c r="L115" s="34" t="inlineStr">
        <is>
          <t>Superficial fungal</t>
        </is>
      </c>
      <c r="M115" s="35" t="inlineStr">
        <is>
          <t>Clinic</t>
        </is>
      </c>
      <c r="N115" s="34" t="inlineStr">
        <is>
          <t>ข้อ 12 (Pharmtutor_2024_Set1.md)</t>
        </is>
      </c>
      <c r="O115" s="35" t="inlineStr">
        <is>
          <t>Mock</t>
        </is>
      </c>
      <c r="P115" s="35" t="inlineStr">
        <is>
          <t>Mock Pharmtutor 2024</t>
        </is>
      </c>
    </row>
    <row r="116" ht="13.2" customHeight="1" s="49">
      <c r="A116" s="33" t="n">
        <v>114</v>
      </c>
      <c r="B116" s="34"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35" t="n"/>
      <c r="D116" s="34" t="inlineStr">
        <is>
          <t>Herpes simplex</t>
        </is>
      </c>
      <c r="E116" s="34" t="inlineStr">
        <is>
          <t>Candida albicans</t>
        </is>
      </c>
      <c r="F116" s="34" t="inlineStr">
        <is>
          <t>Herpes zoster</t>
        </is>
      </c>
      <c r="G116" s="34" t="inlineStr">
        <is>
          <t>Varicella zoster</t>
        </is>
      </c>
      <c r="H116" s="34" t="inlineStr">
        <is>
          <t>Streptococcus aureus</t>
        </is>
      </c>
      <c r="I116" s="33" t="inlineStr">
        <is>
          <t>1</t>
        </is>
      </c>
      <c r="J116" s="34"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5" t="n"/>
      <c r="L116" s="34" t="inlineStr">
        <is>
          <t>Superficial fungal</t>
        </is>
      </c>
      <c r="M116" s="35" t="inlineStr">
        <is>
          <t>Clinic</t>
        </is>
      </c>
      <c r="N116" s="34" t="inlineStr">
        <is>
          <t>ข้อ 14 (Pharmtutor_2024_Set1.md)</t>
        </is>
      </c>
      <c r="O116" s="35" t="inlineStr">
        <is>
          <t>Mock</t>
        </is>
      </c>
      <c r="P116" s="35" t="inlineStr">
        <is>
          <t>Mock Pharmtutor 2024</t>
        </is>
      </c>
    </row>
    <row r="117" ht="13.2" customHeight="1" s="49">
      <c r="A117" s="33" t="n">
        <v>115</v>
      </c>
      <c r="B117" s="34"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35" t="n"/>
      <c r="D117" s="34" t="inlineStr">
        <is>
          <t>Topical retinoic acid</t>
        </is>
      </c>
      <c r="E117" s="34" t="inlineStr">
        <is>
          <t>1% Selenium sulfide shampoo</t>
        </is>
      </c>
      <c r="F117" s="34" t="inlineStr">
        <is>
          <t>2% Ketoconazole cream</t>
        </is>
      </c>
      <c r="G117" s="34" t="inlineStr">
        <is>
          <t>Topical mupirocin</t>
        </is>
      </c>
      <c r="H117" s="34" t="inlineStr">
        <is>
          <t>Oral Ketoconazole</t>
        </is>
      </c>
      <c r="I117" s="33" t="inlineStr">
        <is>
          <t>1</t>
        </is>
      </c>
      <c r="J117" s="34"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35" t="n"/>
      <c r="L117" s="34" t="inlineStr">
        <is>
          <t>Eczema &amp; Dermatitis</t>
        </is>
      </c>
      <c r="M117" s="35" t="inlineStr">
        <is>
          <t>Clinic</t>
        </is>
      </c>
      <c r="N117" s="34" t="inlineStr">
        <is>
          <t>ข้อ 16 (Pharmtutor_2024_Set1.md)</t>
        </is>
      </c>
      <c r="O117" s="35" t="inlineStr">
        <is>
          <t>Mock</t>
        </is>
      </c>
      <c r="P117" s="35" t="inlineStr">
        <is>
          <t>Mock Pharmtutor 2024</t>
        </is>
      </c>
    </row>
    <row r="118" ht="13.2" customHeight="1" s="49">
      <c r="A118" s="33" t="n">
        <v>116</v>
      </c>
      <c r="B118" s="34"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35" t="n"/>
      <c r="D118" s="34" t="inlineStr">
        <is>
          <t>Mupirocin 2% ointment</t>
        </is>
      </c>
      <c r="E118" s="34" t="inlineStr">
        <is>
          <t>Betamethasone dipropionate 0.05% cream</t>
        </is>
      </c>
      <c r="F118" s="34" t="inlineStr">
        <is>
          <t>Clotrimazole 1% cream</t>
        </is>
      </c>
      <c r="G118" s="34" t="inlineStr">
        <is>
          <t>Hydrocortisone 1% cream</t>
        </is>
      </c>
      <c r="H118" s="34" t="inlineStr">
        <is>
          <t>Triamcinolone acetonide 0.1% cream</t>
        </is>
      </c>
      <c r="I118" s="33" t="inlineStr">
        <is>
          <t>1</t>
        </is>
      </c>
      <c r="J11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35" t="n"/>
      <c r="L118" s="34" t="inlineStr">
        <is>
          <t>Eczema &amp; Dermatitis</t>
        </is>
      </c>
      <c r="M118" s="35" t="inlineStr">
        <is>
          <t>Clinic</t>
        </is>
      </c>
      <c r="N118" s="34" t="inlineStr">
        <is>
          <t>ข้อ 68 (Pharmtutor_2024_Set1.md)</t>
        </is>
      </c>
      <c r="O118" s="35" t="inlineStr">
        <is>
          <t>Mock</t>
        </is>
      </c>
      <c r="P118" s="35" t="inlineStr">
        <is>
          <t>Mock Pharmtutor 2024</t>
        </is>
      </c>
    </row>
    <row r="119" ht="13.2" customHeight="1" s="49">
      <c r="A119" s="33" t="n">
        <v>117</v>
      </c>
      <c r="B119" s="34" t="inlineStr">
        <is>
          <t>จาก Certificate of analysis ข้างต้น หัวใดไม่ใช่ universal test</t>
        </is>
      </c>
      <c r="C119" s="35" t="n"/>
      <c r="D119" s="34" t="inlineStr">
        <is>
          <t>Description</t>
        </is>
      </c>
      <c r="E119" s="34" t="inlineStr">
        <is>
          <t>Identification</t>
        </is>
      </c>
      <c r="F119" s="34" t="inlineStr">
        <is>
          <t>Assay</t>
        </is>
      </c>
      <c r="G119" s="34" t="inlineStr">
        <is>
          <t>Container content</t>
        </is>
      </c>
      <c r="H119" s="34" t="inlineStr">
        <is>
          <t>Antimicrobial preservatives</t>
        </is>
      </c>
      <c r="I119" s="33" t="inlineStr">
        <is>
          <t>1</t>
        </is>
      </c>
      <c r="J119" s="34"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35" t="n"/>
      <c r="L119" s="34" t="inlineStr">
        <is>
          <t>Superficial fungal</t>
        </is>
      </c>
      <c r="M119" s="35" t="inlineStr">
        <is>
          <t>Clinic</t>
        </is>
      </c>
      <c r="N119" s="34" t="inlineStr">
        <is>
          <t>ข้อ 97 (Pharmtutor_2024_Set1.md)</t>
        </is>
      </c>
      <c r="O119" s="35" t="inlineStr">
        <is>
          <t>Mock</t>
        </is>
      </c>
      <c r="P119" s="35" t="inlineStr">
        <is>
          <t>Mock Pharmtutor 2024</t>
        </is>
      </c>
    </row>
    <row r="120" ht="13.2" customHeight="1" s="49">
      <c r="A120" s="33" t="n">
        <v>118</v>
      </c>
      <c r="B120" s="34"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35" t="n"/>
      <c r="D120" s="34" t="inlineStr">
        <is>
          <t>Epidermophyton floccosum</t>
        </is>
      </c>
      <c r="E120" s="34" t="inlineStr">
        <is>
          <t>Candida albican</t>
        </is>
      </c>
      <c r="F120" s="34" t="inlineStr">
        <is>
          <t>Microsporum canis</t>
        </is>
      </c>
      <c r="G120" s="34" t="inlineStr">
        <is>
          <t>Tinea capitis</t>
        </is>
      </c>
      <c r="H120" s="34" t="inlineStr">
        <is>
          <t>Malassezia furfur</t>
        </is>
      </c>
      <c r="I120" s="33" t="n">
        <v>5</v>
      </c>
      <c r="J120" s="34" t="inlineStr">
        <is>
          <t>✅ คำตอบที่ถูกต้อง: ข้อ ก. Epidermophyton floccosum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Epidermophyton floccosum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35" t="n"/>
      <c r="L120" s="34" t="inlineStr">
        <is>
          <t>Superficial fungal</t>
        </is>
      </c>
      <c r="M120" s="35" t="inlineStr">
        <is>
          <t>Clinic</t>
        </is>
      </c>
      <c r="N120" s="34" t="inlineStr">
        <is>
          <t>ข้อ 14 (Pharmtutor_2024_Set2.md)</t>
        </is>
      </c>
      <c r="O120" s="35" t="inlineStr">
        <is>
          <t>Mock</t>
        </is>
      </c>
      <c r="P120" s="35" t="inlineStr">
        <is>
          <t>Mock Pharmtutor 2024</t>
        </is>
      </c>
    </row>
    <row r="121" ht="13.2" customHeight="1" s="49">
      <c r="A121" s="33" t="n">
        <v>119</v>
      </c>
      <c r="B121" s="34" t="inlineStr">
        <is>
          <t>ลักษณะอาการใดที่เป็น Seborrheic dermatitis</t>
        </is>
      </c>
      <c r="C121" s="35" t="n"/>
      <c r="D121" s="34" t="inlineStr">
        <is>
          <t>ผิวหนังมีลักษณะบวมแดง มีตุ่มแดงกระจาย</t>
        </is>
      </c>
      <c r="E121" s="34" t="inlineStr">
        <is>
          <t>ผิวหนังเป็นผื่นจุดราบขนาดเล็ก กระจายหรือรวมเป็นแผ่น อาจสีจางหรือเข้มกว่าผิว</t>
        </is>
      </c>
      <c r="F121" s="34" t="inlineStr">
        <is>
          <t>ผิวหนังเป็นผื่น ลักษณะเป็นวงขอบชัด อาจมีขุย มีอาการคัน</t>
        </is>
      </c>
      <c r="G121" s="34" t="inlineStr">
        <is>
          <t>ผิวหนังมีลักษณะผื่นแดง คัน มีขุยหรือสะเก็ดสีเหลือง บริเวณ T-zone</t>
        </is>
      </c>
      <c r="H121" s="34" t="inlineStr">
        <is>
          <t>ผิวหนังอักเสบก่อตัวเป็นแผ่นนูนหนา ผิวแห้ง แตก คัน ปกคลุมด้วยขุยขาว หรือขุยเงิน</t>
        </is>
      </c>
      <c r="I121" s="33" t="n">
        <v>4</v>
      </c>
      <c r="J121" s="34" t="inlineStr">
        <is>
          <t>✅ คำตอบที่ถูกต้อง: ข้อ ก. ผิวหนังมีลักษณะบวมแดง มีตุ่มแดงกระจาย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ผิวหนังมีลักษณะบวมแดง มีตุ่มแดงกระจาย การเลือก ผิวหนังมีลักษณะบวมแดง มีตุ่มแดงกระจาย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35" t="n"/>
      <c r="L121" s="34" t="inlineStr">
        <is>
          <t>Eczema &amp; Dermatitis</t>
        </is>
      </c>
      <c r="M121" s="35" t="inlineStr">
        <is>
          <t>Clinic</t>
        </is>
      </c>
      <c r="N121" s="34" t="inlineStr">
        <is>
          <t>ข้อ 17 (Pharmtutor_2024_Set2.md)</t>
        </is>
      </c>
      <c r="O121" s="35" t="inlineStr">
        <is>
          <t>Mock</t>
        </is>
      </c>
      <c r="P121" s="35" t="inlineStr">
        <is>
          <t>Mock Pharmtutor 2024</t>
        </is>
      </c>
    </row>
    <row r="122" ht="13.2" customHeight="1" s="49">
      <c r="A122" s="33" t="n">
        <v>120</v>
      </c>
      <c r="B122" s="34" t="inlineStr">
        <is>
          <t>ผู้ป่วย เพศหญิง ส่วนสูง 160 เซนติเมตร น้ำหนัก 70 กิโลกรัม รอบเอว 31 นิ้วข้อใดคือเกณฑ์วินิจฉัยโรคอ้วน (MCQ ธ.ค.</t>
        </is>
      </c>
      <c r="C122" s="35" t="n"/>
      <c r="D122" s="34" t="inlineStr">
        <is>
          <t>Terbinafine 1% cream</t>
        </is>
      </c>
      <c r="E122" s="34" t="inlineStr">
        <is>
          <t>Adapalene 0.1% gel</t>
        </is>
      </c>
      <c r="F122" s="34" t="inlineStr">
        <is>
          <t>Mupirocin 2% ointment</t>
        </is>
      </c>
      <c r="G122" s="34" t="inlineStr">
        <is>
          <t>Betamethasone dipropionate 0.05% cream</t>
        </is>
      </c>
      <c r="H122" s="34" t="inlineStr">
        <is>
          <t>Clotrimazole 1% cream</t>
        </is>
      </c>
      <c r="I122" s="33" t="inlineStr">
        <is>
          <t>1</t>
        </is>
      </c>
      <c r="J12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5" t="n"/>
      <c r="L122" s="34" t="inlineStr">
        <is>
          <t>Superficial fungal</t>
        </is>
      </c>
      <c r="M122" s="35" t="inlineStr">
        <is>
          <t>Clinic</t>
        </is>
      </c>
      <c r="N122" s="34" t="inlineStr">
        <is>
          <t>ข้อ 73 (Pharmtutor_2024_Set2.md)</t>
        </is>
      </c>
      <c r="O122" s="35" t="inlineStr">
        <is>
          <t>Mock</t>
        </is>
      </c>
      <c r="P122" s="35" t="inlineStr">
        <is>
          <t>Mock Pharmtutor 2024</t>
        </is>
      </c>
    </row>
    <row r="123" ht="13.2" customHeight="1" s="49">
      <c r="A123" s="33" t="n">
        <v>121</v>
      </c>
      <c r="B123" s="34" t="inlineStr">
        <is>
          <t>เครื่องใดเหมาะสำหรับการทำให้แห้งในยาที่ไม่ทนความร้อน</t>
        </is>
      </c>
      <c r="C123" s="35" t="n"/>
      <c r="D123" s="34" t="inlineStr">
        <is>
          <t>Fluidized bed drier</t>
        </is>
      </c>
      <c r="E123" s="34" t="inlineStr">
        <is>
          <t>Tray drier</t>
        </is>
      </c>
      <c r="F123" s="34" t="inlineStr">
        <is>
          <t>Drum dried</t>
        </is>
      </c>
      <c r="G123" s="34" t="inlineStr">
        <is>
          <t>Cool spray dried</t>
        </is>
      </c>
      <c r="H123" s="34" t="inlineStr">
        <is>
          <t>Freeze drying</t>
        </is>
      </c>
      <c r="I123" s="33" t="inlineStr">
        <is>
          <t>1</t>
        </is>
      </c>
      <c r="J123" s="34"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35" t="n"/>
      <c r="L123" s="34" t="inlineStr">
        <is>
          <t>Superficial fungal</t>
        </is>
      </c>
      <c r="M123" s="35" t="inlineStr">
        <is>
          <t>Clinic</t>
        </is>
      </c>
      <c r="N123" s="34" t="inlineStr">
        <is>
          <t>ข้อ 117 (Pharmtutor_2024_Set2.md)</t>
        </is>
      </c>
      <c r="O123" s="35" t="inlineStr">
        <is>
          <t>Mock</t>
        </is>
      </c>
      <c r="P123" s="35" t="inlineStr">
        <is>
          <t>Mock Pharmtutor 2024</t>
        </is>
      </c>
    </row>
    <row r="124" ht="13.2" customHeight="1" s="49">
      <c r="A124" s="33" t="n">
        <v>122</v>
      </c>
      <c r="B124" s="34" t="inlineStr">
        <is>
          <t>การปฐมพยาบาลเบื้องต้นที่ถูกต้องและเหมาะสมที่สุดสำหรับผู้ป่วยที่ถูกน้ำร้อนลวกคือข้อใด</t>
        </is>
      </c>
      <c r="C124" s="35" t="n"/>
      <c r="D124" s="34" t="inlineStr">
        <is>
          <t>ล้างแผลด้วยน้ำสะอาดอุณหภูมิห้องหรือน้ำเย็นทันทีอย่างน้อย 10-20 นาที</t>
        </is>
      </c>
      <c r="E124" s="34" t="inlineStr">
        <is>
          <t>ใช้ยาสีฟันชโลมบนแผลเพื่อลดความร้อน</t>
        </is>
      </c>
      <c r="F124" s="34" t="inlineStr">
        <is>
          <t>ราดแผลด้วยน้ำมันมะกอกหรือน้ำมันพืช</t>
        </is>
      </c>
      <c r="G124" s="34" t="inlineStr">
        <is>
          <t>ล้างด้วยน้ำเย็นจัดสลับกับน้ำอุ่นจัด</t>
        </is>
      </c>
      <c r="H124" s="34" t="inlineStr">
        <is>
          <t>เจาะตุ่มน้ำพองออกเพื่อระบายความร้อน</t>
        </is>
      </c>
      <c r="I124" s="33" t="n">
        <v>1</v>
      </c>
      <c r="J12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35" t="n"/>
      <c r="L124" s="34" t="inlineStr">
        <is>
          <t>Wound</t>
        </is>
      </c>
      <c r="M124" s="35" t="inlineStr">
        <is>
          <t>Clinic</t>
        </is>
      </c>
      <c r="N124" s="34" t="inlineStr">
        <is>
          <t>ข้อ 1 (PLE_CC1_2557.md)</t>
        </is>
      </c>
      <c r="O124" s="35" t="inlineStr">
        <is>
          <t>ข้อสอบจริง</t>
        </is>
      </c>
      <c r="P124" s="35" t="inlineStr">
        <is>
          <t>ปี 2557</t>
        </is>
      </c>
    </row>
    <row r="125" ht="13.2" customHeight="1" s="49">
      <c r="A125" s="33" t="n">
        <v>123</v>
      </c>
      <c r="B125" s="34"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125" s="35" t="n"/>
      <c r="D125" s="34" t="inlineStr">
        <is>
          <t>Anaphylaxis</t>
        </is>
      </c>
      <c r="E125" s="34" t="inlineStr">
        <is>
          <t>Angioedema</t>
        </is>
      </c>
      <c r="F125" s="34" t="inlineStr">
        <is>
          <t>Urticaria</t>
        </is>
      </c>
      <c r="G125" s="34" t="inlineStr">
        <is>
          <t>Septic shock</t>
        </is>
      </c>
      <c r="H125" s="34" t="inlineStr">
        <is>
          <t>Red man syndrome</t>
        </is>
      </c>
      <c r="I125" s="33" t="n">
        <v>1</v>
      </c>
      <c r="J125" s="34"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125" s="35" t="n"/>
      <c r="L125" s="34" t="inlineStr">
        <is>
          <t>Urticaria &amp; Angioedema</t>
        </is>
      </c>
      <c r="M125" s="35" t="inlineStr">
        <is>
          <t>Clinic</t>
        </is>
      </c>
      <c r="N125" s="34" t="inlineStr">
        <is>
          <t>ข้อ 78 (PLE_CC1_2557.md)</t>
        </is>
      </c>
      <c r="O125" s="35" t="inlineStr">
        <is>
          <t>ข้อสอบจริง</t>
        </is>
      </c>
      <c r="P125" s="35" t="inlineStr">
        <is>
          <t>ปี 2557</t>
        </is>
      </c>
    </row>
    <row r="126" ht="13.2" customHeight="1" s="49">
      <c r="A126" s="33" t="n">
        <v>124</v>
      </c>
      <c r="B126" s="34" t="inlineStr">
        <is>
          <t>ข้อใดผิดเกี่ยวกับลักษณะของโรค DU</t>
        </is>
      </c>
      <c r="C126" s="35" t="n"/>
      <c r="D126" s="34" t="inlineStr">
        <is>
          <t>มักปวดเวลากลางคืน</t>
        </is>
      </c>
      <c r="E126" s="34" t="inlineStr">
        <is>
          <t>ยาลดกรดสามารถลดอาการได้</t>
        </is>
      </c>
      <c r="F126" s="34" t="inlineStr">
        <is>
          <t>ถ่ายเป็นเลือดสด</t>
        </is>
      </c>
      <c r="G126" s="34" t="inlineStr">
        <is>
          <t>อาการปวดบรรเทาลงเมื่อทานอาหาร</t>
        </is>
      </c>
      <c r="H126" s="34" t="inlineStr">
        <is>
          <t>ผู้ป่วยมักมีน ้าหนักเพิ่มขึ้น คณะเภสัชศาสตร์ มหาวิทยาลัยเชียงใหม่ Rx 44 CMU</t>
        </is>
      </c>
      <c r="I126" s="33" t="inlineStr">
        <is>
          <t>1</t>
        </is>
      </c>
      <c r="J126" s="34"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5" t="n"/>
      <c r="L126" s="34" t="inlineStr">
        <is>
          <t>Superficial fungal</t>
        </is>
      </c>
      <c r="M126" s="35" t="inlineStr">
        <is>
          <t>Clinic</t>
        </is>
      </c>
      <c r="N126" s="34" t="inlineStr">
        <is>
          <t>ข้อ 53 (PLE_CC1_2555 Day 1.md)</t>
        </is>
      </c>
      <c r="O126" s="35" t="inlineStr">
        <is>
          <t>ข้อสอบจริง</t>
        </is>
      </c>
      <c r="P126" s="35" t="inlineStr">
        <is>
          <t>ปี 2555</t>
        </is>
      </c>
    </row>
    <row r="127" ht="13.2" customHeight="1" s="49">
      <c r="A127" s="33" t="n">
        <v>125</v>
      </c>
      <c r="B127" s="34" t="inlineStr">
        <is>
          <t>อาการที่ผู้ป่วยเป็นสัมพันธ์กับข้อใด</t>
        </is>
      </c>
      <c r="C127" s="35" t="n"/>
      <c r="D127" s="34" t="inlineStr">
        <is>
          <t>Contact dermatitis</t>
        </is>
      </c>
      <c r="E127" s="34" t="inlineStr">
        <is>
          <t>Eczema</t>
        </is>
      </c>
      <c r="F127" s="34" t="inlineStr">
        <is>
          <t>Allergy</t>
        </is>
      </c>
      <c r="G127" s="34" t="inlineStr">
        <is>
          <t>Tenia vesicolor</t>
        </is>
      </c>
      <c r="H127" s="34" t="inlineStr">
        <is>
          <t>Rosase ……</t>
        </is>
      </c>
      <c r="I127" s="33" t="inlineStr">
        <is>
          <t>1</t>
        </is>
      </c>
      <c r="J127" s="34"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5" t="n"/>
      <c r="L127" s="34" t="inlineStr">
        <is>
          <t>Superficial fungal</t>
        </is>
      </c>
      <c r="M127" s="35" t="inlineStr">
        <is>
          <t>Clinic</t>
        </is>
      </c>
      <c r="N127" s="34" t="inlineStr">
        <is>
          <t>ข้อ 61 (PLE_CC1_2555 Day 1.md)</t>
        </is>
      </c>
      <c r="O127" s="35" t="inlineStr">
        <is>
          <t>ข้อสอบจริง</t>
        </is>
      </c>
      <c r="P127" s="35" t="inlineStr">
        <is>
          <t>ปี 2555</t>
        </is>
      </c>
    </row>
    <row r="128" ht="13.2" customHeight="1" s="49">
      <c r="A128" s="33" t="n">
        <v>126</v>
      </c>
      <c r="B128" s="34" t="inlineStr">
        <is>
          <t>ยาที่ผู้ป่วยควรได้รับจากอาการดังกล่าวคือข้อใด</t>
        </is>
      </c>
      <c r="C128" s="35" t="n"/>
      <c r="D128" s="34" t="inlineStr">
        <is>
          <t>Clotrimazole</t>
        </is>
      </c>
      <c r="E128" s="34" t="inlineStr">
        <is>
          <t>Acyclovir</t>
        </is>
      </c>
      <c r="F128" s="34" t="inlineStr">
        <is>
          <t>Topical steroids</t>
        </is>
      </c>
      <c r="G128" s="34" t="inlineStr">
        <is>
          <t>Ketoconazole</t>
        </is>
      </c>
      <c r="H128" s="34" t="inlineStr">
        <is>
          <t>…………….</t>
        </is>
      </c>
      <c r="I128" s="33" t="inlineStr">
        <is>
          <t>1</t>
        </is>
      </c>
      <c r="J128" s="34"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35" t="n"/>
      <c r="L128" s="34" t="inlineStr">
        <is>
          <t>Superficial fungal</t>
        </is>
      </c>
      <c r="M128" s="35" t="inlineStr">
        <is>
          <t>Clinic</t>
        </is>
      </c>
      <c r="N128" s="34" t="inlineStr">
        <is>
          <t>ข้อ 62 (PLE_CC1_2555 Day 1.md)</t>
        </is>
      </c>
      <c r="O128" s="35" t="inlineStr">
        <is>
          <t>ข้อสอบจริง</t>
        </is>
      </c>
      <c r="P128" s="35" t="inlineStr">
        <is>
          <t>ปี 2555</t>
        </is>
      </c>
    </row>
    <row r="129" ht="13.2" customHeight="1" s="49">
      <c r="A129" s="33" t="n">
        <v>127</v>
      </c>
      <c r="B129" s="34"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129" s="35" t="n"/>
      <c r="D129" s="34" t="inlineStr">
        <is>
          <t>Minocycline</t>
        </is>
      </c>
      <c r="E129" s="34" t="inlineStr">
        <is>
          <t>Ketoconazole</t>
        </is>
      </c>
      <c r="F129" s="34" t="inlineStr">
        <is>
          <t>Triamcinolone</t>
        </is>
      </c>
      <c r="G129" s="34" t="inlineStr">
        <is>
          <t>Adapalene</t>
        </is>
      </c>
      <c r="H129" s="34" t="inlineStr">
        <is>
          <t>Cetirizine</t>
        </is>
      </c>
      <c r="I129" s="33" t="n">
        <v>1</v>
      </c>
      <c r="J129" s="34"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129" s="35" t="n"/>
      <c r="L129" s="34" t="inlineStr">
        <is>
          <t>Acne</t>
        </is>
      </c>
      <c r="M129" s="35" t="inlineStr">
        <is>
          <t>Clinic</t>
        </is>
      </c>
      <c r="N129" s="34" t="inlineStr">
        <is>
          <t>ข้อ 4 (PLE_CC1_2555 Day 2.md)</t>
        </is>
      </c>
      <c r="O129" s="35" t="inlineStr">
        <is>
          <t>ข้อสอบจริง</t>
        </is>
      </c>
      <c r="P129" s="35" t="inlineStr">
        <is>
          <t>ปี 2555</t>
        </is>
      </c>
    </row>
    <row r="130" ht="13.2" customHeight="1" s="49">
      <c r="A130" s="33" t="n">
        <v>128</v>
      </c>
      <c r="B130" s="34"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30" s="35" t="n"/>
      <c r="D130" s="34" t="inlineStr">
        <is>
          <t>Severe Cutaneous Adverse Reactions (SCARs / SJS-TEN)</t>
        </is>
      </c>
      <c r="E130" s="34" t="inlineStr">
        <is>
          <t>Common cold</t>
        </is>
      </c>
      <c r="F130" s="34" t="inlineStr">
        <is>
          <t>Drug-induced urticaria</t>
        </is>
      </c>
      <c r="G130" s="34" t="inlineStr">
        <is>
          <t>Gouty flare</t>
        </is>
      </c>
      <c r="H130" s="34" t="inlineStr">
        <is>
          <t>Hypersensitivity pneumonitis</t>
        </is>
      </c>
      <c r="I130" s="33" t="n">
        <v>1</v>
      </c>
      <c r="J130" s="34"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30" s="35" t="n"/>
      <c r="L130" s="34" t="inlineStr">
        <is>
          <t>ADR &amp; Allergy</t>
        </is>
      </c>
      <c r="M130" s="35" t="inlineStr">
        <is>
          <t>Clinic</t>
        </is>
      </c>
      <c r="N130" s="34" t="inlineStr">
        <is>
          <t>ข้อ 5 (PLE_CC1_2555 Day 2.md)</t>
        </is>
      </c>
      <c r="O130" s="35" t="inlineStr">
        <is>
          <t>ข้อสอบจริง</t>
        </is>
      </c>
      <c r="P130" s="35" t="inlineStr">
        <is>
          <t>ปี 2555</t>
        </is>
      </c>
    </row>
    <row r="131" ht="13.2" customHeight="1" s="49">
      <c r="A131" s="33" t="n">
        <v>129</v>
      </c>
      <c r="B131" s="34" t="inlineStr">
        <is>
          <t>ขั้นแรกควรให้การรักษาโดยวิธีใดที่เหมาะสมที่สุด</t>
        </is>
      </c>
      <c r="C131" s="35" t="n"/>
      <c r="D131" s="34" t="inlineStr">
        <is>
          <t>Isotretinoin 10 mg OD</t>
        </is>
      </c>
      <c r="E131" s="34" t="inlineStr">
        <is>
          <t>Terbinafine 1% cream</t>
        </is>
      </c>
      <c r="F131" s="34" t="inlineStr">
        <is>
          <t>Adapalene 0.1% gel</t>
        </is>
      </c>
      <c r="G131" s="34" t="inlineStr">
        <is>
          <t>Mupirocin 2% ointment</t>
        </is>
      </c>
      <c r="H131" s="34" t="inlineStr">
        <is>
          <t>Betamethasone dipropionate 0.05% cream</t>
        </is>
      </c>
      <c r="I131" s="33" t="inlineStr">
        <is>
          <t>1</t>
        </is>
      </c>
      <c r="J131"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5" t="n"/>
      <c r="L131" s="34" t="inlineStr">
        <is>
          <t>Superficial fungal</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การปฐมพยาบาลเบื้องต้นที่ถูกต้องเมื่อถูกความร้อนลวก (Minor burn) คือข้อใด</t>
        </is>
      </c>
      <c r="C132" s="35" t="n"/>
      <c r="D132" s="34" t="inlineStr">
        <is>
          <t>ทายาสีฟันชโลมบนแผล</t>
        </is>
      </c>
      <c r="E132" s="34" t="inlineStr">
        <is>
          <t>ประคบด้วยความร้อน</t>
        </is>
      </c>
      <c r="F132" s="34" t="inlineStr">
        <is>
          <t>ล้างหรือประคบด้วยน้ำเย็น/น้ำสะอาดอุณหภูมิห้อง</t>
        </is>
      </c>
      <c r="G132" s="34" t="inlineStr">
        <is>
          <t>ราดด้วยน้ำปลาหรือน้ำมันพืช</t>
        </is>
      </c>
      <c r="H132" s="34" t="inlineStr">
        <is>
          <t>เจาะตุ่มน้ำพองออกทันที</t>
        </is>
      </c>
      <c r="I132" s="33" t="n">
        <v>3</v>
      </c>
      <c r="J132" s="34"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35" t="n"/>
      <c r="L132" s="34" t="inlineStr">
        <is>
          <t>Wound</t>
        </is>
      </c>
      <c r="M132" s="35" t="inlineStr">
        <is>
          <t>Clinic</t>
        </is>
      </c>
      <c r="N132" s="34" t="inlineStr">
        <is>
          <t>ข้อ 1 (PLE_CC1_2554 SET2.md)</t>
        </is>
      </c>
      <c r="O132" s="35" t="inlineStr">
        <is>
          <t>ข้อสอบจริง</t>
        </is>
      </c>
      <c r="P132" s="35" t="inlineStr">
        <is>
          <t>ปี 2554</t>
        </is>
      </c>
    </row>
    <row r="133" ht="13.2" customHeight="1" s="49">
      <c r="A133" s="33" t="n">
        <v>131</v>
      </c>
      <c r="B133" s="34" t="inlineStr">
        <is>
          <t>ควรใช้น้ำยาชนิดใดในการล้างทำความสะอาดแผลเปิดหรือแผลไฟไหม้ที่ไม่ทำให้ระคายเคืองเนื้อเยื่อ</t>
        </is>
      </c>
      <c r="C133" s="35" t="n"/>
      <c r="D133" s="34" t="inlineStr">
        <is>
          <t>Normal Saline Solution (0.9% NSS)</t>
        </is>
      </c>
      <c r="E133" s="34" t="inlineStr">
        <is>
          <t>Alcohol 70%</t>
        </is>
      </c>
      <c r="F133" s="34" t="inlineStr">
        <is>
          <t>Alcohol 95%</t>
        </is>
      </c>
      <c r="G133" s="34" t="inlineStr">
        <is>
          <t>Hydrogen peroxide 3%</t>
        </is>
      </c>
      <c r="H133" s="34" t="inlineStr">
        <is>
          <t>Povidone-iodine 10% solution เข้มข้น</t>
        </is>
      </c>
      <c r="I133" s="33" t="n">
        <v>1</v>
      </c>
      <c r="J133" s="34"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35" t="n"/>
      <c r="L133" s="34" t="inlineStr">
        <is>
          <t>Wound</t>
        </is>
      </c>
      <c r="M133" s="35" t="inlineStr">
        <is>
          <t>Clinic</t>
        </is>
      </c>
      <c r="N133" s="34" t="inlineStr">
        <is>
          <t>ข้อ 3 (PLE_CC1_2554 SET2.md)</t>
        </is>
      </c>
      <c r="O133" s="35" t="inlineStr">
        <is>
          <t>ข้อสอบจริง</t>
        </is>
      </c>
      <c r="P133" s="35" t="inlineStr">
        <is>
          <t>ปี 2554</t>
        </is>
      </c>
    </row>
    <row r="134" ht="13.2" customHeight="1" s="49">
      <c r="A134" s="33" t="n">
        <v>132</v>
      </c>
      <c r="B134" s="34" t="inlineStr">
        <is>
          <t>ผู้ป่วยมีตุ่มน้ำใสเกิดขึ้นเรียงตัวตามแนวเส้นประสาท (Dermatome) ร่วมกับมีอาการปวดแสบปวดร้อน ผู้ป่วยเป็นโรคใด</t>
        </is>
      </c>
      <c r="C134" s="35" t="n"/>
      <c r="D134" s="34" t="inlineStr">
        <is>
          <t>Herpes zoster (งูสวัด)</t>
        </is>
      </c>
      <c r="E134" s="34" t="inlineStr">
        <is>
          <t>Herpes simplex (เริม)</t>
        </is>
      </c>
      <c r="F134" s="34" t="inlineStr">
        <is>
          <t>Varicella (อีสุกอีใส)</t>
        </is>
      </c>
      <c r="G134" s="34" t="inlineStr">
        <is>
          <t>Impetigo (แผลพุพอง)</t>
        </is>
      </c>
      <c r="H134" s="34" t="inlineStr">
        <is>
          <t>Contact dermatitis</t>
        </is>
      </c>
      <c r="I134" s="33" t="n">
        <v>1</v>
      </c>
      <c r="J134" s="34"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5" t="n"/>
      <c r="L134" s="34" t="inlineStr">
        <is>
          <t>Herpes &amp; Zoster</t>
        </is>
      </c>
      <c r="M134" s="35" t="inlineStr">
        <is>
          <t>Clinic</t>
        </is>
      </c>
      <c r="N134" s="34" t="inlineStr">
        <is>
          <t>ข้อ 1 (PLE_CC1_2554 SET2.md)</t>
        </is>
      </c>
      <c r="O134" s="35" t="inlineStr">
        <is>
          <t>ข้อสอบจริง</t>
        </is>
      </c>
      <c r="P134" s="35" t="inlineStr">
        <is>
          <t>ปี 2554</t>
        </is>
      </c>
    </row>
    <row r="135" ht="13.2" customHeight="1" s="49">
      <c r="A135" s="33" t="n">
        <v>133</v>
      </c>
      <c r="B135" s="34" t="inlineStr">
        <is>
          <t>โรคงูสวัด (Herpes zoster) เกิดจากการกำเริบของเชื้อไวรัสชนิดใด</t>
        </is>
      </c>
      <c r="C135" s="35" t="n"/>
      <c r="D135" s="34" t="inlineStr">
        <is>
          <t>Human Papilloma Virus</t>
        </is>
      </c>
      <c r="E135" s="34" t="inlineStr">
        <is>
          <t>Malassezia furfur</t>
        </is>
      </c>
      <c r="F135" s="34" t="inlineStr">
        <is>
          <t>Varicella zoster virus (VZV)</t>
        </is>
      </c>
      <c r="G135" s="34" t="inlineStr">
        <is>
          <t>Candida albicans</t>
        </is>
      </c>
      <c r="H135" s="34" t="inlineStr">
        <is>
          <t>Herpes simplex virus type 2</t>
        </is>
      </c>
      <c r="I135" s="33" t="n">
        <v>3</v>
      </c>
      <c r="J135" s="34"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35" t="n"/>
      <c r="L135" s="34" t="inlineStr">
        <is>
          <t>Herpes &amp; Zoster</t>
        </is>
      </c>
      <c r="M135" s="35" t="inlineStr">
        <is>
          <t>Clinic</t>
        </is>
      </c>
      <c r="N135" s="34" t="inlineStr">
        <is>
          <t>ข้อ 2 (PLE_CC1_2554 SET2.md)</t>
        </is>
      </c>
      <c r="O135" s="35" t="inlineStr">
        <is>
          <t>ข้อสอบจริง</t>
        </is>
      </c>
      <c r="P135" s="35" t="inlineStr">
        <is>
          <t>ปี 2554</t>
        </is>
      </c>
    </row>
    <row r="136" ht="13.2" customHeight="1" s="49">
      <c r="A136" s="33" t="n">
        <v>134</v>
      </c>
      <c r="B136" s="34" t="inlineStr">
        <is>
          <t>การรักษาโรคงูสวัดด้วยยาต้านไวรัสชนิดรับประทาน ข้อใดกล่าวถูกต้องที่สุด</t>
        </is>
      </c>
      <c r="C136" s="35" t="n"/>
      <c r="D136" s="34" t="inlineStr">
        <is>
          <t>หากเป็นไม่มาก ทาเฉพาะยาทาภายนอกอย่างเดียวก็เพียงพอ</t>
        </is>
      </c>
      <c r="E136" s="34" t="inlineStr">
        <is>
          <t>ควรเริ่มรับประทานยาต้านไวรัสภายใน 72 ชั่วโมงหลังเกิดผื่นตุ่มน้ำ</t>
        </is>
      </c>
      <c r="F136" s="34" t="inlineStr">
        <is>
          <t>นำสมุนไพรสดหรือกระเทียมมาพอกบริเวณแผลเพื่อฆ่าเชื้อ</t>
        </is>
      </c>
      <c r="G136" s="34" t="inlineStr">
        <is>
          <t>ให้รับประทานยาต้านไวรัสเฉพาะเมื่อตุ่มน้ำแตกแห้งเป็นสะเก็ดแล้ว</t>
        </is>
      </c>
      <c r="H136" s="34" t="inlineStr">
        <is>
          <t>ให้ยาปฏิชีวนะ Cloxacillin เป็นยาหลักตัวแรกเสมอ</t>
        </is>
      </c>
      <c r="I136" s="33" t="n">
        <v>2</v>
      </c>
      <c r="J136" s="34"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35" t="n"/>
      <c r="L136" s="34" t="inlineStr">
        <is>
          <t>Herpes &amp; Zoster</t>
        </is>
      </c>
      <c r="M136" s="35" t="inlineStr">
        <is>
          <t>Clinic</t>
        </is>
      </c>
      <c r="N136" s="34" t="inlineStr">
        <is>
          <t>ข้อ 4 (PLE_CC1_2554 SET2.md)</t>
        </is>
      </c>
      <c r="O136" s="35" t="inlineStr">
        <is>
          <t>ข้อสอบจริง</t>
        </is>
      </c>
      <c r="P136" s="35" t="inlineStr">
        <is>
          <t>ปี 2554</t>
        </is>
      </c>
    </row>
    <row r="137" ht="13.2" customHeight="1" s="49">
      <c r="A137" s="33" t="n">
        <v>135</v>
      </c>
      <c r="B137" s="34" t="inlineStr">
        <is>
          <t>ข้อใดไม่ถูกต้องเกี่ยวกับเชื้อ Varicella zoster virus (VZV) และโรคงูสวัด</t>
        </is>
      </c>
      <c r="C137" s="35" t="n"/>
      <c r="D137" s="34" t="inlineStr">
        <is>
          <t>โรคงูสวัดเป็นแล้วร่างกายจะมีภูมิคุ้มกันถาวรและไม่สามารถกลับเป็นซ้ำได้อีก</t>
        </is>
      </c>
      <c r="E137" s="34" t="inlineStr">
        <is>
          <t>การติดเชื้อ VZV ครั้งแรกจะแสดงอาการเป็นโรคอีสุกอีใส (Chickenpox)</t>
        </is>
      </c>
      <c r="F137" s="34" t="inlineStr">
        <is>
          <t>หลังหายจากอีสุกอีใส เชื้อจะแฝงตัวอยู่ที่ปมประสาทรับความรู้สึก (Dorsal root ganglia)</t>
        </is>
      </c>
      <c r="G137" s="34" t="inlineStr">
        <is>
          <t>เชื้อสามารถแพร่กระจายไปยังผู้ที่ไม่เคยเป็นอีสุกอีใสมาก่อนได้จากการสัมผัสตุ่มน้ำ</t>
        </is>
      </c>
      <c r="H137" s="34" t="inlineStr">
        <is>
          <t>ผู้สูงอายุหรือผู้มีภูมิคุ้มกันต่ำมีความเสี่ยงต่อการเกิดงูสวัดสูงขึ้น</t>
        </is>
      </c>
      <c r="I137" s="33" t="n">
        <v>1</v>
      </c>
      <c r="J137" s="34"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35" t="n"/>
      <c r="L137" s="34" t="inlineStr">
        <is>
          <t>Herpes &amp; Zoster</t>
        </is>
      </c>
      <c r="M137" s="35" t="inlineStr">
        <is>
          <t>Clinic</t>
        </is>
      </c>
      <c r="N137" s="34" t="inlineStr">
        <is>
          <t>ข้อ 5 (PLE_CC1_2554 SET2.md)</t>
        </is>
      </c>
      <c r="O137" s="35" t="inlineStr">
        <is>
          <t>ข้อสอบจริง</t>
        </is>
      </c>
      <c r="P137" s="35" t="inlineStr">
        <is>
          <t>ปี 2554</t>
        </is>
      </c>
    </row>
    <row r="138" ht="13.2" customHeight="1" s="49">
      <c r="A138" s="33" t="n">
        <v>136</v>
      </c>
      <c r="B138" s="34" t="inlineStr">
        <is>
          <t>กรณีใดจัดเป็นยาผิดมาตรฐานตามพระราชบัญญัติยา พ.ศ. 2510</t>
        </is>
      </c>
      <c r="C138" s="35" t="n"/>
      <c r="D138" s="34" t="inlineStr">
        <is>
          <t>ยาที่มีการแสดงวันหมดอายุบนฉลากไม่ชัดเจน</t>
        </is>
      </c>
      <c r="E138" s="34" t="inlineStr">
        <is>
          <t>ยาที่ตรวจวิเคราะห์ปริมาณตัวยาสำคัญได้ 87% ของเกณฑ์ที่กำหนดในทะเบียนตำรับยา</t>
        </is>
      </c>
      <c r="F138" s="34" t="inlineStr">
        <is>
          <t>ยาที่มีการนำชื่อทางการค้าอื่นมาสวมแทน</t>
        </is>
      </c>
      <c r="G138" s="34" t="inlineStr">
        <is>
          <t>ยาที่มีส่วนผสมของสารต้องห้ามที่เป็นอันตรายร้ายแรง</t>
        </is>
      </c>
      <c r="H138" s="34" t="inlineStr">
        <is>
          <t>ยาที่ผลิตจากโรงงานที่ยังไม่ผ่านเกณฑ์ GMP</t>
        </is>
      </c>
      <c r="I138" s="33" t="n">
        <v>2</v>
      </c>
      <c r="J138" s="34"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35" t="n"/>
      <c r="L138" s="34" t="inlineStr">
        <is>
          <t>Regulatory &amp; Quality</t>
        </is>
      </c>
      <c r="M138" s="35" t="inlineStr">
        <is>
          <t>Clinic</t>
        </is>
      </c>
      <c r="N138" s="34" t="inlineStr">
        <is>
          <t>ข้อ 7 (PLE_CC1_2554 SET2.md)</t>
        </is>
      </c>
      <c r="O138" s="35" t="inlineStr">
        <is>
          <t>ข้อสอบจริง</t>
        </is>
      </c>
      <c r="P138" s="35" t="inlineStr">
        <is>
          <t>ปี 2554</t>
        </is>
      </c>
    </row>
    <row r="139" ht="13.2" customHeight="1" s="49">
      <c r="A139" s="33" t="n">
        <v>137</v>
      </c>
      <c r="B139" s="34" t="inlineStr">
        <is>
          <t>ผู้ป่วยแผลไฟไหม้ระยะต่อมามีตุ่มน้ำแตกและแผลเปิดออก สารละลายใดเหมาะสมที่สุดในการล้างทำความสะอาดแผล</t>
        </is>
      </c>
      <c r="C139" s="35" t="n"/>
      <c r="D139" s="34" t="inlineStr">
        <is>
          <t>Normal Saline Solution (0.9% NSS)</t>
        </is>
      </c>
      <c r="E139" s="34" t="inlineStr">
        <is>
          <t>Alcohol 70%</t>
        </is>
      </c>
      <c r="F139" s="34" t="inlineStr">
        <is>
          <t>Alcohol 95%</t>
        </is>
      </c>
      <c r="G139" s="34" t="inlineStr">
        <is>
          <t>น้ำยาบ้วนปากผสมสารฆ่าเชื้อ</t>
        </is>
      </c>
      <c r="H139" s="34" t="inlineStr">
        <is>
          <t>น้ำสบู่เข้มข้น</t>
        </is>
      </c>
      <c r="I139" s="33" t="n">
        <v>1</v>
      </c>
      <c r="J139" s="34"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35" t="n"/>
      <c r="L139" s="34" t="inlineStr">
        <is>
          <t>Wound</t>
        </is>
      </c>
      <c r="M139" s="35" t="inlineStr">
        <is>
          <t>Clinic</t>
        </is>
      </c>
      <c r="N139" s="34" t="inlineStr">
        <is>
          <t>ข้อ 22 (PLE_CC1_2554 SET2.md)</t>
        </is>
      </c>
      <c r="O139" s="35" t="inlineStr">
        <is>
          <t>ข้อสอบจริง</t>
        </is>
      </c>
      <c r="P139" s="35" t="inlineStr">
        <is>
          <t>ปี 2554</t>
        </is>
      </c>
    </row>
    <row r="140" ht="13.2" customHeight="1" s="49">
      <c r="A140" s="33" t="n">
        <v>138</v>
      </c>
      <c r="B140" s="34" t="inlineStr">
        <is>
          <t>เอกสารประกอบการเรียน เรื่อง Thyriod disorder ของอาจารย์วรนุช แสงเจริญ</t>
        </is>
      </c>
      <c r="C140" s="35" t="n"/>
      <c r="D140" s="34" t="inlineStr">
        <is>
          <t>Cetirizine 10 mg OD</t>
        </is>
      </c>
      <c r="E140" s="34" t="inlineStr">
        <is>
          <t>Isotretinoin 10 mg OD</t>
        </is>
      </c>
      <c r="F140" s="34" t="inlineStr">
        <is>
          <t>Terbinafine 1% cream</t>
        </is>
      </c>
      <c r="G140" s="34" t="inlineStr">
        <is>
          <t>Adapalene 0.1% gel</t>
        </is>
      </c>
      <c r="H140" s="34" t="inlineStr">
        <is>
          <t>Mupirocin 2% ointment</t>
        </is>
      </c>
      <c r="I140" s="33" t="inlineStr">
        <is>
          <t>1</t>
        </is>
      </c>
      <c r="J140" s="34"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35" t="n"/>
      <c r="L140" s="34" t="inlineStr">
        <is>
          <t>Superficial fungal</t>
        </is>
      </c>
      <c r="M140" s="35" t="inlineStr">
        <is>
          <t>Clinic</t>
        </is>
      </c>
      <c r="N140" s="34" t="inlineStr">
        <is>
          <t>ข้อ 1 (PLE_CC1_2554 SET2.md)</t>
        </is>
      </c>
      <c r="O140" s="35" t="inlineStr">
        <is>
          <t>ข้อสอบจริง</t>
        </is>
      </c>
      <c r="P140" s="35" t="inlineStr">
        <is>
          <t>ปี 2554</t>
        </is>
      </c>
    </row>
    <row r="141" ht="13.2" customHeight="1" s="49">
      <c r="A141" s="33" t="n">
        <v>139</v>
      </c>
      <c r="B141" s="34" t="inlineStr">
        <is>
          <t>ข้อใดคือลักษณะทางคลินิกที่เด่นและจำเพาะที่สุดของโรคงูสวัด (Herpes zoster)</t>
        </is>
      </c>
      <c r="C141" s="35" t="n"/>
      <c r="D141" s="34" t="inlineStr">
        <is>
          <t>ตุ่มน้ำใสบนฐานแดง กระจายทั่วบริเวณริมฝีปาก</t>
        </is>
      </c>
      <c r="E141" s="34" t="inlineStr">
        <is>
          <t>ตุ่มน้ำใสบนฐานแดง บริเวณอวัยวะเพศ</t>
        </is>
      </c>
      <c r="F141" s="34" t="inlineStr">
        <is>
          <t>ผื่นลมพิษนูนแดงคัน กระจายทั่วลำตัว</t>
        </is>
      </c>
      <c r="G141" s="34" t="inlineStr">
        <is>
          <t>ปื้นแดงหนามีสะเก็ดสีขาวเงิน ขูดแล้วมีจุดเลือดออก</t>
        </is>
      </c>
      <c r="H141" s="34" t="inlineStr">
        <is>
          <t>ตุ่มน้ำใสรวมกลุ่มเรียงตัวเป็นแนวยาวตามแนวเส้นประสาทข้างใดข้างหนึ่ง (Dermatomal pattern)</t>
        </is>
      </c>
      <c r="I141" s="33" t="n">
        <v>5</v>
      </c>
      <c r="J141" s="34"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35" t="n"/>
      <c r="L141" s="34" t="inlineStr">
        <is>
          <t>Herpes &amp; Zoster</t>
        </is>
      </c>
      <c r="M141" s="35" t="inlineStr">
        <is>
          <t>Clinic</t>
        </is>
      </c>
      <c r="N141" s="34" t="inlineStr">
        <is>
          <t>ข้อ 3 (PLE_CC1_2554 SET2.md)</t>
        </is>
      </c>
      <c r="O141" s="35" t="inlineStr">
        <is>
          <t>ข้อสอบจริง</t>
        </is>
      </c>
      <c r="P141" s="35" t="inlineStr">
        <is>
          <t>ปี 2554</t>
        </is>
      </c>
    </row>
    <row r="142" ht="13.2" customHeight="1" s="49">
      <c r="A142" s="33" t="n">
        <v>140</v>
      </c>
      <c r="B142" s="34" t="inlineStr">
        <is>
          <t>คำแนะนำในการใช้ครีมกันแดด (Sunscreen) ร่วมกับยารักษาสิวที่มีฤทธิ์ทำให้ผิวไวต่อแสง ข้อใดถูกต้องที่สุด</t>
        </is>
      </c>
      <c r="C142" s="35" t="n"/>
      <c r="D142" s="34" t="inlineStr">
        <is>
          <t>ทาครีมกันแดดที่มีค่า SPF 30 ขึ้นไปและ PA+++ ก่อนออกแดดอย่างน้อย 15-30 นาที</t>
        </is>
      </c>
      <c r="E142" s="34" t="inlineStr">
        <is>
          <t>ทาเฉพาะวันที่แดดจัดเท่านั้น วันที่ฟ้าครึ้มไม่ต้องทา</t>
        </is>
      </c>
      <c r="F142" s="34" t="inlineStr">
        <is>
          <t>ทาครีมกันแดดทับทันทีโดยไม่ต้องรอให้ยารักษาสิวซึมสู่ผิว</t>
        </is>
      </c>
      <c r="G142" s="34" t="inlineStr">
        <is>
          <t>เลือกใช้ครีมกันแดดชนิดที่มีความมันสูงเพื่อเพิ่มความชุ่มชื้นแก่ผิวที่เป็นสิว</t>
        </is>
      </c>
      <c r="H142" s="34" t="inlineStr">
        <is>
          <t>การทาครีมกันแดดเพียงครั้งเดียวในตอนเช้าสามารถปกป้องผิวได้ตลอดทั้งวันแม้เหงื่อออกมาก</t>
        </is>
      </c>
      <c r="I142" s="33" t="n">
        <v>1</v>
      </c>
      <c r="J142" s="34"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35" t="n"/>
      <c r="L142" s="34" t="inlineStr">
        <is>
          <t>Acne</t>
        </is>
      </c>
      <c r="M142" s="35" t="inlineStr">
        <is>
          <t>Clinic</t>
        </is>
      </c>
      <c r="N142" s="34" t="inlineStr">
        <is>
          <t>ข้อ 1 (PLE_CC1_2533.md)</t>
        </is>
      </c>
      <c r="O142" s="35" t="inlineStr">
        <is>
          <t>ข้อสอบจริง</t>
        </is>
      </c>
      <c r="P142" s="35" t="inlineStr">
        <is>
          <t>ปี 2533</t>
        </is>
      </c>
    </row>
    <row r="143" ht="13.2" customHeight="1" s="49">
      <c r="A143" s="33" t="n">
        <v>141</v>
      </c>
      <c r="B143" s="34" t="inlineStr">
        <is>
          <t>คำแนะนำที่ถูกต้องสำหรับผู้ป่วยที่เริ่มใช้ยาทารักษาสิวกลุ่ม Topical Retinoids (เช่น Tretinoin หรือ Adapalene) คือข้อใด</t>
        </is>
      </c>
      <c r="C143" s="35" t="n"/>
      <c r="D143" s="34" t="inlineStr">
        <is>
          <t>ทายาบางๆ ทั่วใบหน้าก่อนนอน และทาครีมกันแดดในตอนเช้าอย่างสม่ำเสมอ</t>
        </is>
      </c>
      <c r="E143" s="34" t="inlineStr">
        <is>
          <t>ทายาหนาๆ เฉพาะบริเวณหัวสิววันละ 3-4 ครั้งเพื่อให้สิวยุบเร็ว</t>
        </is>
      </c>
      <c r="F143" s="34" t="inlineStr">
        <is>
          <t>ทายาทันทีหลังล้างหน้าเสร็จขณะที่ผิวยังเปียกชื้นเพื่อเพิ่มการดูดซึม</t>
        </is>
      </c>
      <c r="G143" s="34" t="inlineStr">
        <is>
          <t>หยุดใช้ยาทันทีหากพบว่ามีสิวเห่อเพิ่มขึ้นเล็กน้อยในช่วง 2 สัปดาห์แรก</t>
        </is>
      </c>
      <c r="H143" s="34" t="inlineStr">
        <is>
          <t>สามารถทาร่วมกับ Benzoyl peroxide ในเวลาเดียวกันโดยไม่ต้องเว้นช่วงเวลา</t>
        </is>
      </c>
      <c r="I143" s="33" t="n">
        <v>1</v>
      </c>
      <c r="J143"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35" t="n"/>
      <c r="L143" s="34" t="inlineStr">
        <is>
          <t>Acne</t>
        </is>
      </c>
      <c r="M143" s="35" t="inlineStr">
        <is>
          <t>Clinic</t>
        </is>
      </c>
      <c r="N143" s="34" t="inlineStr">
        <is>
          <t>ข้อ 2 (PLE_CC1_2533.md)</t>
        </is>
      </c>
      <c r="O143" s="35" t="inlineStr">
        <is>
          <t>ข้อสอบจริง</t>
        </is>
      </c>
      <c r="P143" s="35" t="inlineStr">
        <is>
          <t>ปี 2533</t>
        </is>
      </c>
    </row>
    <row r="144" ht="13.2" customHeight="1" s="49">
      <c r="A144" s="33" t="n">
        <v>142</v>
      </c>
      <c r="B144" s="34"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44" s="35" t="n"/>
      <c r="D144" s="34" t="inlineStr">
        <is>
          <t>เพิ่ม Oral Doxycycline ร่วมกับ Topical BPO</t>
        </is>
      </c>
      <c r="E144" s="34" t="inlineStr">
        <is>
          <t>เปลี่ยนเป็น Topical Retinoid ชนิดเดียว</t>
        </is>
      </c>
      <c r="F144" s="34" t="inlineStr">
        <is>
          <t>ให้ Oral Isotretinoin ทันที</t>
        </is>
      </c>
      <c r="G144" s="34" t="inlineStr">
        <is>
          <t>หยุดยาทั้งหมดแล้วล้างหน้าด้วยสบู่</t>
        </is>
      </c>
      <c r="H144" s="34" t="inlineStr">
        <is>
          <t>ทา Topical Clindamycin เดี่ยวๆ</t>
        </is>
      </c>
      <c r="I144" s="33" t="n">
        <v>1</v>
      </c>
      <c r="J144" s="34"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44" s="35" t="n"/>
      <c r="L144" s="34" t="inlineStr">
        <is>
          <t>Acne</t>
        </is>
      </c>
      <c r="M144" s="35" t="inlineStr">
        <is>
          <t>Clinic</t>
        </is>
      </c>
      <c r="N144" s="34" t="inlineStr">
        <is>
          <t>ข้อ 2 (PLE_CC1_2533.md)</t>
        </is>
      </c>
      <c r="O144" s="35" t="inlineStr">
        <is>
          <t>ข้อสอบจริง</t>
        </is>
      </c>
      <c r="P144" s="35" t="inlineStr">
        <is>
          <t>ปี 2533</t>
        </is>
      </c>
    </row>
    <row r="145" ht="13.2" customHeight="1" s="49">
      <c r="A145" s="33" t="n">
        <v>143</v>
      </c>
      <c r="B145" s="34"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35" t="n"/>
      <c r="D145" s="34" t="inlineStr">
        <is>
          <t>Isotretinoin 10 mg OD</t>
        </is>
      </c>
      <c r="E145" s="34" t="inlineStr">
        <is>
          <t>Terbinafine 1% cream</t>
        </is>
      </c>
      <c r="F145" s="34" t="inlineStr">
        <is>
          <t>Adapalene 0.1% gel</t>
        </is>
      </c>
      <c r="G145" s="34" t="inlineStr">
        <is>
          <t>Mupirocin 2% ointment</t>
        </is>
      </c>
      <c r="H145" s="34" t="inlineStr">
        <is>
          <t>Betamethasone dipropionate 0.05% cream</t>
        </is>
      </c>
      <c r="I145" s="33" t="inlineStr">
        <is>
          <t>1</t>
        </is>
      </c>
      <c r="J145" s="34"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35" t="n"/>
      <c r="L145" s="34" t="inlineStr">
        <is>
          <t>Acne</t>
        </is>
      </c>
      <c r="M145" s="35" t="inlineStr">
        <is>
          <t>Clinic</t>
        </is>
      </c>
      <c r="N145" s="34" t="inlineStr">
        <is>
          <t>ข้อ 5 (PLE_CC1_2533.md)</t>
        </is>
      </c>
      <c r="O145" s="35" t="inlineStr">
        <is>
          <t>ข้อสอบจริง</t>
        </is>
      </c>
      <c r="P145" s="35" t="inlineStr">
        <is>
          <t>ปี 2533</t>
        </is>
      </c>
    </row>
    <row r="146" ht="13.2" customHeight="1" s="49">
      <c r="A146" s="33" t="n">
        <v>144</v>
      </c>
      <c r="B146" s="34" t="inlineStr">
        <is>
          <t>ระงับการเจริญของเชื้อแบคทีเรียต้นเหตุสิว</t>
        </is>
      </c>
      <c r="C146" s="35" t="n"/>
      <c r="D146" s="34" t="inlineStr">
        <is>
          <t>Mupirocin 2% ointment</t>
        </is>
      </c>
      <c r="E146" s="34" t="inlineStr">
        <is>
          <t>Betamethasone dipropionate 0.05% cream</t>
        </is>
      </c>
      <c r="F146" s="34" t="inlineStr">
        <is>
          <t>Clotrimazole 1% cream</t>
        </is>
      </c>
      <c r="G146" s="34" t="inlineStr">
        <is>
          <t>Hydrocortisone 1% cream</t>
        </is>
      </c>
      <c r="H146" s="34" t="inlineStr">
        <is>
          <t>Triamcinolone acetonide 0.1% cream</t>
        </is>
      </c>
      <c r="I146" s="33" t="inlineStr">
        <is>
          <t>1</t>
        </is>
      </c>
      <c r="J146"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35" t="n"/>
      <c r="L146" s="34" t="inlineStr">
        <is>
          <t>Acne</t>
        </is>
      </c>
      <c r="M146" s="35" t="inlineStr">
        <is>
          <t>Clinic</t>
        </is>
      </c>
      <c r="N146" s="34" t="inlineStr">
        <is>
          <t>ข้อ 1 (PLE_CC1_2533.md)</t>
        </is>
      </c>
      <c r="O146" s="35" t="inlineStr">
        <is>
          <t>ข้อสอบจริง</t>
        </is>
      </c>
      <c r="P146" s="35" t="inlineStr">
        <is>
          <t>ปี 2533</t>
        </is>
      </c>
    </row>
    <row r="147" ht="13.2" customHeight="1" s="49">
      <c r="A147" s="33" t="n">
        <v>145</v>
      </c>
      <c r="B147" s="34" t="inlineStr">
        <is>
          <t>ข้อใดต่อไปนี้ไม่ใช่หนึ่งใน 4 ปัจจัยหลักในการเกิดพยาธิกำเนิดของสิว (Pathogenesis of Acne vulgaris)</t>
        </is>
      </c>
      <c r="C147" s="35" t="n"/>
      <c r="D147" s="34" t="inlineStr">
        <is>
          <t>การสร้างสารไขมัน (Sebum) มากผิดปกติ</t>
        </is>
      </c>
      <c r="E147" s="34" t="inlineStr">
        <is>
          <t>การอุดตันของรูขุมขนจาก Abnormal follicular keratinization</t>
        </is>
      </c>
      <c r="F147" s="34" t="inlineStr">
        <is>
          <t>การเพิ่มจำนวนของเชื้อรา Candida albicans ในรูขุมขน</t>
        </is>
      </c>
      <c r="G147" s="34" t="inlineStr">
        <is>
          <t>การเจริญและเพิ่มจำนวนของ Cutibacterium acnes</t>
        </is>
      </c>
      <c r="H147" s="34" t="inlineStr">
        <is>
          <t>กระบวนการตอบสนองต่อการอักเสบ (Inflammation)</t>
        </is>
      </c>
      <c r="I147" s="33" t="n">
        <v>3</v>
      </c>
      <c r="J147" s="34"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35" t="n"/>
      <c r="L147" s="34" t="inlineStr">
        <is>
          <t>Acne</t>
        </is>
      </c>
      <c r="M147" s="35" t="inlineStr">
        <is>
          <t>Clinic</t>
        </is>
      </c>
      <c r="N147" s="34" t="inlineStr">
        <is>
          <t>ข้อ 7 (PLE_CC1_Practice_Exam.md)</t>
        </is>
      </c>
      <c r="O147" s="35" t="inlineStr">
        <is>
          <t>Mock</t>
        </is>
      </c>
      <c r="P147" s="35" t="inlineStr">
        <is>
          <t>Mock สภาเภสัชฯ Practice</t>
        </is>
      </c>
    </row>
    <row r="148" ht="13.2" customHeight="1" s="49">
      <c r="A148" s="33" t="n">
        <v>146</v>
      </c>
      <c r="B148" s="34" t="inlineStr">
        <is>
          <t>ข้อใดคือคำแนะนำในการใช้ยาพ่น corticosteroid DPI</t>
        </is>
      </c>
      <c r="C148" s="35" t="n"/>
      <c r="D148" s="34" t="inlineStr">
        <is>
          <t>เขย่าขวดก่อนใช้</t>
        </is>
      </c>
      <c r="E148" s="34" t="inlineStr">
        <is>
          <t>เงยหน้าขึ้นสูงขณะพ่นยา</t>
        </is>
      </c>
      <c r="F148" s="34" t="inlineStr">
        <is>
          <t>หลังพ่นยา ให้กลั้วปาก และคอด้วยน้ำแล้วบ้วนทิ้ง</t>
        </is>
      </c>
      <c r="G148" s="34" t="inlineStr">
        <is>
          <t>หลังพ่นยา ให้ดื่มน้ำตามมากๆ</t>
        </is>
      </c>
      <c r="H148" s="34" t="inlineStr">
        <is>
          <t>หลังพ่นยา ให้ล้างน้ำทำความสะอาดเครื่องพ่นยาทุกครั้ง</t>
        </is>
      </c>
      <c r="I148" s="33" t="inlineStr">
        <is>
          <t>1</t>
        </is>
      </c>
      <c r="J148" s="34"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35" t="n"/>
      <c r="L148" s="34" t="inlineStr">
        <is>
          <t>Superficial fungal</t>
        </is>
      </c>
      <c r="M148" s="35" t="inlineStr">
        <is>
          <t>Clinic</t>
        </is>
      </c>
      <c r="N148" s="34" t="inlineStr">
        <is>
          <t>ข้อ 21 (PLE_CC1_Practice_Exam.md)</t>
        </is>
      </c>
      <c r="O148" s="35" t="inlineStr">
        <is>
          <t>Mock</t>
        </is>
      </c>
      <c r="P148" s="35" t="inlineStr">
        <is>
          <t>Mock สภาเภสัชฯ Practice</t>
        </is>
      </c>
    </row>
    <row r="149" ht="13.2" customHeight="1" s="49">
      <c r="A149" s="33" t="n">
        <v>147</v>
      </c>
      <c r="B149" s="34" t="inlineStr">
        <is>
          <t>หมู่ฟังก์ชันใดบนโครงสร้างของ corticosteroid ที่ไม่จำเป็นต่อการจับกับ glucocorticoid receptor</t>
        </is>
      </c>
      <c r="C149" s="35" t="n"/>
      <c r="D149" s="34" t="inlineStr">
        <is>
          <t>3-carbonyl</t>
        </is>
      </c>
      <c r="E149" s="34" t="inlineStr">
        <is>
          <t>Double bond ตำแหน่งที่ 4-5</t>
        </is>
      </c>
      <c r="F149" s="34" t="inlineStr">
        <is>
          <t>9-methyl</t>
        </is>
      </c>
      <c r="G149" s="34" t="inlineStr">
        <is>
          <t>Oxygen atom ตำแหน่งที่ 11</t>
        </is>
      </c>
      <c r="H149" s="34" t="inlineStr">
        <is>
          <t>17-beta ketone-side chain</t>
        </is>
      </c>
      <c r="I149" s="33" t="inlineStr">
        <is>
          <t>1</t>
        </is>
      </c>
      <c r="J149" s="34"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35" t="n"/>
      <c r="L149" s="34" t="inlineStr">
        <is>
          <t>Superficial fungal</t>
        </is>
      </c>
      <c r="M149" s="35" t="inlineStr">
        <is>
          <t>Clinic</t>
        </is>
      </c>
      <c r="N149" s="34" t="inlineStr">
        <is>
          <t>ข้อ 22 (PLE_CC1_Practice_Exam.md)</t>
        </is>
      </c>
      <c r="O149" s="35" t="inlineStr">
        <is>
          <t>Mock</t>
        </is>
      </c>
      <c r="P149" s="35" t="inlineStr">
        <is>
          <t>Mock สภาเภสัชฯ Practice</t>
        </is>
      </c>
    </row>
    <row r="150" ht="13.2" customHeight="1" s="49">
      <c r="A150" s="33" t="n">
        <v>148</v>
      </c>
      <c r="B150" s="34"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50" s="35" t="n"/>
      <c r="D150" s="34" t="inlineStr">
        <is>
          <t>Hydrocortisone (Steroid)</t>
        </is>
      </c>
      <c r="E150" s="34" t="inlineStr">
        <is>
          <t>Zinc oxide (Astringent/Protectant)</t>
        </is>
      </c>
      <c r="F150" s="34" t="inlineStr">
        <is>
          <t>Benzocaine (Local anesthetic)</t>
        </is>
      </c>
      <c r="G150" s="34" t="inlineStr">
        <is>
          <t>Aesculin (Venotonic agent)</t>
        </is>
      </c>
      <c r="H150" s="34" t="inlineStr">
        <is>
          <t>Suppository base</t>
        </is>
      </c>
      <c r="I150" s="33" t="n">
        <v>1</v>
      </c>
      <c r="J150" s="34"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35" t="n"/>
      <c r="L150" s="34" t="inlineStr">
        <is>
          <t>Transdermal &amp; Topical</t>
        </is>
      </c>
      <c r="M150" s="35" t="inlineStr">
        <is>
          <t>Clinic</t>
        </is>
      </c>
      <c r="N150" s="34" t="inlineStr">
        <is>
          <t>ข้อ 2 (PLE_CC1_Practice_Exam.md)</t>
        </is>
      </c>
      <c r="O150" s="35" t="inlineStr">
        <is>
          <t>Mock</t>
        </is>
      </c>
      <c r="P150" s="35" t="inlineStr">
        <is>
          <t>Mock สภาเภสัชฯ Practice</t>
        </is>
      </c>
    </row>
    <row r="151" ht="13.2" customHeight="1" s="49">
      <c r="A151" s="33" t="n">
        <v>149</v>
      </c>
      <c r="B151" s="34" t="inlineStr">
        <is>
          <t>โรคผิวหนัง โดย ฝ่ายวิชาการ สโมสรนักศึกษาคณะเภสัชศาสตร์ มหาวิทยาลัยอุบลราชธานี ป๊2560</t>
        </is>
      </c>
      <c r="C151" s="35" t="n"/>
      <c r="D151" s="34" t="inlineStr">
        <is>
          <t>Betamethasone dipropionate 0.05% cream</t>
        </is>
      </c>
      <c r="E151" s="34" t="inlineStr">
        <is>
          <t>Clotrimazole 1% cream</t>
        </is>
      </c>
      <c r="F151" s="34" t="inlineStr">
        <is>
          <t>Hydrocortisone 1% cream</t>
        </is>
      </c>
      <c r="G151" s="34" t="inlineStr">
        <is>
          <t>Triamcinolone acetonide 0.1% cream</t>
        </is>
      </c>
      <c r="H151" s="34" t="inlineStr">
        <is>
          <t>Clobetasol propionate 0.05% cream</t>
        </is>
      </c>
      <c r="I151" s="33" t="inlineStr">
        <is>
          <t>1</t>
        </is>
      </c>
      <c r="J151"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35" t="n"/>
      <c r="L151" s="34" t="inlineStr">
        <is>
          <t>Superficial fungal</t>
        </is>
      </c>
      <c r="M151" s="35" t="inlineStr">
        <is>
          <t>Clinic</t>
        </is>
      </c>
      <c r="N151" s="34" t="inlineStr">
        <is>
          <t>ข้อ 7 (PLE_CC1_Practice_Exam.md)</t>
        </is>
      </c>
      <c r="O151" s="35" t="inlineStr">
        <is>
          <t>Mock</t>
        </is>
      </c>
      <c r="P151" s="35" t="inlineStr">
        <is>
          <t>Mock สภาเภสัชฯ Practice</t>
        </is>
      </c>
    </row>
    <row r="152" ht="13.2" customHeight="1" s="49">
      <c r="A152" s="33" t="n">
        <v>150</v>
      </c>
      <c r="B152" s="34"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35" t="n"/>
      <c r="D152" s="34" t="inlineStr">
        <is>
          <t>Contact dermatitis</t>
        </is>
      </c>
      <c r="E152" s="34" t="inlineStr">
        <is>
          <t>Atopic dermatitis</t>
        </is>
      </c>
      <c r="F152" s="34" t="inlineStr">
        <is>
          <t>Seborrheic dermatitis</t>
        </is>
      </c>
      <c r="G152" s="34" t="inlineStr">
        <is>
          <t>Dandruff</t>
        </is>
      </c>
      <c r="H152" s="34" t="inlineStr">
        <is>
          <t>Scalp psoriasis</t>
        </is>
      </c>
      <c r="I152" s="33" t="n">
        <v>3</v>
      </c>
      <c r="J152" s="34" t="inlineStr">
        <is>
          <t>✅ คำตอบที่ถูกต้อง: ข้อ ก. Contact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35" t="n"/>
      <c r="L152" s="34" t="inlineStr">
        <is>
          <t>Eczema &amp; Dermatitis</t>
        </is>
      </c>
      <c r="M152" s="35" t="inlineStr">
        <is>
          <t>Clinic</t>
        </is>
      </c>
      <c r="N152" s="34" t="inlineStr">
        <is>
          <t>ข้อ 1 (PLE_CC1_Practice_Exam.md)</t>
        </is>
      </c>
      <c r="O152" s="35" t="inlineStr">
        <is>
          <t>Mock</t>
        </is>
      </c>
      <c r="P152" s="35" t="inlineStr">
        <is>
          <t>Mock สภาเภสัชฯ Practice</t>
        </is>
      </c>
    </row>
    <row r="153" ht="13.2" customHeight="1" s="49">
      <c r="A153" s="33" t="n">
        <v>151</v>
      </c>
      <c r="B153" s="34" t="inlineStr">
        <is>
          <t>ยาที่เหมาะสมสำหรับการรักษาของผู้ป่วยรายนี้คือยาใด</t>
        </is>
      </c>
      <c r="C153" s="35" t="n"/>
      <c r="D153" s="34" t="inlineStr">
        <is>
          <t>Ketoconazole 2% foam ฟอกบริเวณที่เป็น 2 ครั้งต่อสัปดาห์</t>
        </is>
      </c>
      <c r="E153" s="34" t="inlineStr">
        <is>
          <t>Tacrolimus 0.1% ointment ทาบริเวณที่เป็น 2 ครั้งต่อสัปดาห์</t>
        </is>
      </c>
      <c r="F153" s="34" t="inlineStr">
        <is>
          <t>Betamethasone dipropionate 0.05% ointment ทาบริเวณที่เป็นวันละ 2-4 ครั้ง เป็นเวลา 2 สัปดาห์</t>
        </is>
      </c>
      <c r="G153" s="34" t="inlineStr">
        <is>
          <t>รับประทานยา Itraconazole ขนาด 200 มิลลิกรัมต่อวัน เป็นเวลา 1 เดือน</t>
        </is>
      </c>
      <c r="H153" s="34" t="inlineStr">
        <is>
          <t>รับประทานยา Methotrexate ขนาด 7.5-15 มิลลิกรัมต่อสัปดาห์</t>
        </is>
      </c>
      <c r="I153" s="33" t="n">
        <v>1</v>
      </c>
      <c r="J153" s="34"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35" t="n"/>
      <c r="L153" s="34" t="inlineStr">
        <is>
          <t>Eczema &amp; Dermatitis</t>
        </is>
      </c>
      <c r="M153" s="35" t="inlineStr">
        <is>
          <t>Clinic</t>
        </is>
      </c>
      <c r="N153" s="34" t="inlineStr">
        <is>
          <t>ข้อ 3 (PLE_CC1_Practice_Exam.md)</t>
        </is>
      </c>
      <c r="O153" s="35" t="inlineStr">
        <is>
          <t>Mock</t>
        </is>
      </c>
      <c r="P153" s="35" t="inlineStr">
        <is>
          <t>Mock สภาเภสัชฯ Practice</t>
        </is>
      </c>
    </row>
    <row r="154" ht="13.2" customHeight="1" s="49">
      <c r="A154" s="33" t="n">
        <v>152</v>
      </c>
      <c r="B154" s="34"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35" t="n"/>
      <c r="D154" s="34" t="inlineStr">
        <is>
          <t>Acyclovir 200 มิลลิกรัม รับประทานวันละ 5 ครั้ง เป็นเวลา 10 วัน</t>
        </is>
      </c>
      <c r="E154" s="34" t="inlineStr">
        <is>
          <t>Acyclovir 400 มิลลิกรัม รับประทานวันละ 3 ครั้ง เป็นเวลา 10 วัน</t>
        </is>
      </c>
      <c r="F154" s="34" t="inlineStr">
        <is>
          <t>Famicyclovir 500 มิลลิกรัม รับประทานวันละ 3 ครั้ง เป็นเวลา 10 วัน</t>
        </is>
      </c>
      <c r="G154" s="34" t="inlineStr">
        <is>
          <t>Valacyclovir 1000 มิลลิกรัม รับประทานวันละ 2 ครั้ง เป็นเวลา 10 วัน</t>
        </is>
      </c>
      <c r="H154" s="34" t="inlineStr">
        <is>
          <t>ยาทา Acyclovir โดยทาทุกๆ 2 ชั่วโมง เป็นเวลา 4 วัน</t>
        </is>
      </c>
      <c r="I154" s="33" t="inlineStr">
        <is>
          <t>1</t>
        </is>
      </c>
      <c r="J154" s="34"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35" t="n"/>
      <c r="L154" s="34" t="inlineStr">
        <is>
          <t>Superficial fungal</t>
        </is>
      </c>
      <c r="M154" s="35" t="inlineStr">
        <is>
          <t>Clinic</t>
        </is>
      </c>
      <c r="N154" s="34" t="inlineStr">
        <is>
          <t>ข้อ 4 (PLE_CC1_Practice_Exam.md)</t>
        </is>
      </c>
      <c r="O154" s="35" t="inlineStr">
        <is>
          <t>Mock</t>
        </is>
      </c>
      <c r="P154" s="35" t="inlineStr">
        <is>
          <t>Mock สภาเภสัชฯ Practice</t>
        </is>
      </c>
    </row>
    <row r="155" ht="13.2" customHeight="1" s="49">
      <c r="A155" s="33" t="n">
        <v>153</v>
      </c>
      <c r="B155" s="34"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35" t="n"/>
      <c r="D155" s="34" t="inlineStr">
        <is>
          <t>Oral Isotretinoin</t>
        </is>
      </c>
      <c r="E155" s="34" t="inlineStr">
        <is>
          <t>Oral Doxycycline ร่วมกับทา topical retinoid</t>
        </is>
      </c>
      <c r="F155" s="34" t="inlineStr">
        <is>
          <t>Oral Doxycycline ร่วมกับทา Benzoyl peroxide 5% และ clindamycin gel</t>
        </is>
      </c>
      <c r="G155" s="34" t="inlineStr">
        <is>
          <t>Oral Doxycycline ร่วมกับทา topical retinoid และ Benzoyl peroxide 5%</t>
        </is>
      </c>
      <c r="H155" s="34" t="inlineStr">
        <is>
          <t>Oral Doxycycline ร่วมกับทา topical retinoid และ Benzoyl peroxide 5% และ clindamycin gel</t>
        </is>
      </c>
      <c r="I155" s="33" t="n">
        <v>2</v>
      </c>
      <c r="J155" s="34" t="inlineStr">
        <is>
          <t>✅ คำตอบที่ถูกต้อง: ข้อ ก. Oral Isotretinoin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Isotretinoin การเลือก Oral Isotretinoin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35" t="n"/>
      <c r="L155" s="34" t="inlineStr">
        <is>
          <t>Acne</t>
        </is>
      </c>
      <c r="M155" s="35" t="inlineStr">
        <is>
          <t>Clinic</t>
        </is>
      </c>
      <c r="N155" s="34" t="inlineStr">
        <is>
          <t>ข้อ 6 (PLE_CC1_Practice_Exam.md)</t>
        </is>
      </c>
      <c r="O155" s="35" t="inlineStr">
        <is>
          <t>Mock</t>
        </is>
      </c>
      <c r="P155" s="35" t="inlineStr">
        <is>
          <t>Mock สภาเภสัชฯ Practice</t>
        </is>
      </c>
    </row>
    <row r="156" ht="13.2" customHeight="1" s="49">
      <c r="A156" s="33" t="n">
        <v>154</v>
      </c>
      <c r="B156" s="34"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35" t="n"/>
      <c r="D156" s="34" t="inlineStr">
        <is>
          <t>Methotrexate</t>
        </is>
      </c>
      <c r="E156" s="34" t="inlineStr">
        <is>
          <t>Phototherapy</t>
        </is>
      </c>
      <c r="F156" s="34" t="inlineStr">
        <is>
          <t>Emollient</t>
        </is>
      </c>
      <c r="G156" s="34" t="inlineStr">
        <is>
          <t>Cyclosporine</t>
        </is>
      </c>
      <c r="H156" s="34" t="inlineStr">
        <is>
          <t>Coal tar</t>
        </is>
      </c>
      <c r="I156" s="33" t="inlineStr">
        <is>
          <t>1</t>
        </is>
      </c>
      <c r="J156" s="34"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35" t="n"/>
      <c r="L156" s="34" t="inlineStr">
        <is>
          <t>Eczema &amp; Dermatitis</t>
        </is>
      </c>
      <c r="M156" s="35" t="inlineStr">
        <is>
          <t>Clinic</t>
        </is>
      </c>
      <c r="N156" s="34" t="inlineStr">
        <is>
          <t>ข้อ 7 (PLE_CC1_Practice_Exam.md)</t>
        </is>
      </c>
      <c r="O156" s="35" t="inlineStr">
        <is>
          <t>Mock</t>
        </is>
      </c>
      <c r="P156" s="35" t="inlineStr">
        <is>
          <t>Mock สภาเภสัชฯ Practice</t>
        </is>
      </c>
    </row>
    <row r="157" ht="13.2" customHeight="1" s="49">
      <c r="A157" s="33" t="n">
        <v>155</v>
      </c>
      <c r="B157" s="34"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35" t="n"/>
      <c r="D157" s="34" t="inlineStr">
        <is>
          <t>Dermatophytosis</t>
        </is>
      </c>
      <c r="E157" s="34" t="inlineStr">
        <is>
          <t>Warts</t>
        </is>
      </c>
      <c r="F157" s="34" t="inlineStr">
        <is>
          <t>Corn and callus</t>
        </is>
      </c>
      <c r="G157" s="34" t="inlineStr">
        <is>
          <t>Pityriasis versicolor</t>
        </is>
      </c>
      <c r="H157" s="34" t="inlineStr">
        <is>
          <t>SLE</t>
        </is>
      </c>
      <c r="I157" s="33" t="n">
        <v>4</v>
      </c>
      <c r="J157" s="34" t="inlineStr">
        <is>
          <t>✅ คำตอบที่ถูกต้อง: ข้อ ก. Dermatophytosis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Dermatophytosis การเลือก Dermatophytosis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35" t="n"/>
      <c r="L157" s="34" t="inlineStr">
        <is>
          <t>Superficial fungal</t>
        </is>
      </c>
      <c r="M157" s="35" t="inlineStr">
        <is>
          <t>Clinic</t>
        </is>
      </c>
      <c r="N157" s="34" t="inlineStr">
        <is>
          <t>ข้อ 10 (PLE_CC1_Practice_Exam.md)</t>
        </is>
      </c>
      <c r="O157" s="35" t="inlineStr">
        <is>
          <t>Mock</t>
        </is>
      </c>
      <c r="P157" s="35" t="inlineStr">
        <is>
          <t>Mock สภาเภสัชฯ Practice</t>
        </is>
      </c>
    </row>
    <row r="158" ht="13.2" customHeight="1" s="49">
      <c r="A158" s="33" t="n">
        <v>156</v>
      </c>
      <c r="B158" s="34" t="inlineStr">
        <is>
          <t>จากการวินิจฉัยในข้อก่อนหน้า จงเลือกใช้ยาให้เหมาะสมกับโรคของผู้ป่วย</t>
        </is>
      </c>
      <c r="C158" s="35" t="n"/>
      <c r="D158" s="34" t="inlineStr">
        <is>
          <t>Oral Griseofulvin 500 มิลลิกรัมต่อวัน ติดต่อกัน 6-8 สัปดาห์</t>
        </is>
      </c>
      <c r="E158" s="34" t="inlineStr">
        <is>
          <t>Oral Terbinafine 250 มิลลิกรัมต่อวัน ติดต่อกัน 14 วัน</t>
        </is>
      </c>
      <c r="F158" s="34" t="inlineStr">
        <is>
          <t>2.5% Selenium sulfide shampoo ฟอกตัวทิ้งไว้ 15 นาที วันละครั้ง 2-4 สัปดาห์</t>
        </is>
      </c>
      <c r="G158" s="34" t="inlineStr">
        <is>
          <t>Oral Ketoconazole 200 มิลลิกรัมต่อวัน เป็นเวลา 10-14 วัน</t>
        </is>
      </c>
      <c r="H158" s="34" t="inlineStr">
        <is>
          <t>Oral Ketoconazole 200 mg OD ร่วมกับ Selenium sulfide shampoo</t>
        </is>
      </c>
      <c r="I158" s="33" t="n">
        <v>3</v>
      </c>
      <c r="J158" s="34" t="inlineStr">
        <is>
          <t>✅ คำตอบที่ถูกต้อง: ข้อ ก. Oral Griseofulvin 500 มิลลิกรัมต่อวัน ติดต่อกัน 6-8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Oral Griseofulvin 500 มิลลิกรัมต่อวัน ติดต่อกัน 6-8 สัปดาห์ การเลือก Oral Griseofulvin 500 มิลลิกรัมต่อวัน ติดต่อกัน 6-8 สัปดาห์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35" t="n"/>
      <c r="L158" s="34" t="inlineStr">
        <is>
          <t>Superficial fungal</t>
        </is>
      </c>
      <c r="M158" s="35" t="inlineStr">
        <is>
          <t>Clinic</t>
        </is>
      </c>
      <c r="N158" s="34" t="inlineStr">
        <is>
          <t>ข้อ 11 (PLE_CC1_Practice_Exam.md)</t>
        </is>
      </c>
      <c r="O158" s="35" t="inlineStr">
        <is>
          <t>Mock</t>
        </is>
      </c>
      <c r="P158" s="35" t="inlineStr">
        <is>
          <t>Mock สภาเภสัชฯ Practice</t>
        </is>
      </c>
    </row>
    <row r="159" ht="13.2" customHeight="1" s="49">
      <c r="A159" s="33" t="n">
        <v>157</v>
      </c>
      <c r="B159" s="34"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35" t="n"/>
      <c r="D159" s="34" t="inlineStr">
        <is>
          <t>Corticosteroids</t>
        </is>
      </c>
      <c r="E159" s="34" t="inlineStr">
        <is>
          <t>Hydroquinone</t>
        </is>
      </c>
      <c r="F159" s="34" t="inlineStr">
        <is>
          <t>Azelaic acid</t>
        </is>
      </c>
      <c r="G159" s="34" t="inlineStr">
        <is>
          <t>Tretinoin</t>
        </is>
      </c>
      <c r="H159" s="34" t="inlineStr">
        <is>
          <t>Isopropylcatechol</t>
        </is>
      </c>
      <c r="I159" s="33" t="n">
        <v>2</v>
      </c>
      <c r="J159" s="34" t="inlineStr">
        <is>
          <t>✅ คำตอบที่ถูกต้อง: ข้อ ก. Corticosteroids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Corticosteroids การเลือก Corticosteroids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35" t="n"/>
      <c r="L159" s="34" t="inlineStr">
        <is>
          <t>Pigmentary &amp; Cosmetic</t>
        </is>
      </c>
      <c r="M159" s="35" t="inlineStr">
        <is>
          <t>Clinic</t>
        </is>
      </c>
      <c r="N159" s="34" t="inlineStr">
        <is>
          <t>ข้อ 24 (PLE_CC1_Practice_Exam.md)</t>
        </is>
      </c>
      <c r="O159" s="35" t="inlineStr">
        <is>
          <t>Mock</t>
        </is>
      </c>
      <c r="P159" s="35" t="inlineStr">
        <is>
          <t>Mock สภาเภสัชฯ Practice</t>
        </is>
      </c>
    </row>
    <row r="160" ht="13.2" customHeight="1" s="49">
      <c r="A160" s="33" t="n">
        <v>158</v>
      </c>
      <c r="B160" s="34"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35" t="n"/>
      <c r="D160" s="34" t="inlineStr">
        <is>
          <t>Scabies</t>
        </is>
      </c>
      <c r="E160" s="34" t="inlineStr">
        <is>
          <t>Lice</t>
        </is>
      </c>
      <c r="F160" s="34" t="inlineStr">
        <is>
          <t>Pediculosis pubis</t>
        </is>
      </c>
      <c r="G160" s="34" t="inlineStr">
        <is>
          <t>Eczema</t>
        </is>
      </c>
      <c r="H160" s="34" t="inlineStr">
        <is>
          <t>Chicken pox</t>
        </is>
      </c>
      <c r="I160" s="33" t="n">
        <v>1</v>
      </c>
      <c r="J160" s="34"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35" t="n"/>
      <c r="L160" s="34" t="inlineStr">
        <is>
          <t>Parasitic &amp; Infestation</t>
        </is>
      </c>
      <c r="M160" s="35" t="inlineStr">
        <is>
          <t>Clinic</t>
        </is>
      </c>
      <c r="N160" s="34" t="inlineStr">
        <is>
          <t>ข้อ 28 (PLE_CC1_Practice_Exam.md)</t>
        </is>
      </c>
      <c r="O160" s="35" t="inlineStr">
        <is>
          <t>Mock</t>
        </is>
      </c>
      <c r="P160" s="35" t="inlineStr">
        <is>
          <t>Mock สภาเภสัชฯ Practice</t>
        </is>
      </c>
    </row>
    <row r="161" ht="13.2" customHeight="1" s="49">
      <c r="A161" s="33" t="n">
        <v>159</v>
      </c>
      <c r="B161" s="34" t="inlineStr">
        <is>
          <t>จากข้อ 28. ผู้ป่วยรายนี้ควรได้รับการรักษาอย่างไร</t>
        </is>
      </c>
      <c r="C161" s="35" t="n"/>
      <c r="D161" s="34" t="inlineStr">
        <is>
          <t>Acyclovir</t>
        </is>
      </c>
      <c r="E161" s="34" t="inlineStr">
        <is>
          <t>Triamcinolone</t>
        </is>
      </c>
      <c r="F161" s="34" t="inlineStr">
        <is>
          <t>Benzyl benzoate 25% lotion</t>
        </is>
      </c>
      <c r="G161" s="34" t="inlineStr">
        <is>
          <t>Malathion shampoo</t>
        </is>
      </c>
      <c r="H161" s="34" t="inlineStr">
        <is>
          <t>Pyretrin shampoo</t>
        </is>
      </c>
      <c r="I161" s="33" t="n">
        <v>3</v>
      </c>
      <c r="J161" s="34" t="inlineStr">
        <is>
          <t>✅ คำตอบที่ถูกต้อง: ข้อ ก. Acyclovir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35" t="n"/>
      <c r="L161" s="34" t="inlineStr">
        <is>
          <t>Parasitic &amp; Infestation</t>
        </is>
      </c>
      <c r="M161" s="35" t="inlineStr">
        <is>
          <t>Clinic</t>
        </is>
      </c>
      <c r="N161" s="34" t="inlineStr">
        <is>
          <t>ข้อ 29 (PLE_CC1_Practice_Exam.md)</t>
        </is>
      </c>
      <c r="O161" s="35" t="inlineStr">
        <is>
          <t>Mock</t>
        </is>
      </c>
      <c r="P161" s="35" t="inlineStr">
        <is>
          <t>Mock สภาเภสัชฯ Practice</t>
        </is>
      </c>
    </row>
    <row r="162" ht="13.2" customHeight="1" s="49">
      <c r="A162" s="33" t="n">
        <v>160</v>
      </c>
      <c r="B162" s="34" t="inlineStr">
        <is>
          <t>ข้อใดถูกต้องเกี่ยวกับการเลือกใช้ยาทาเพื่อรักษาโรคผิวหนัง</t>
        </is>
      </c>
      <c r="C162" s="35" t="n"/>
      <c r="D162" s="34" t="inlineStr">
        <is>
          <t>ยาพื้นที่มีสารลอกขุยจะเพิ่มการดูดซึมของตัวยา</t>
        </is>
      </c>
      <c r="E162" s="34" t="inlineStr">
        <is>
          <t>ควรใช้ topical corticosteroid อย่างต่อเนื่องนาน 4-8 สัปดาห์</t>
        </is>
      </c>
      <c r="F162" s="34" t="inlineStr">
        <is>
          <t>ควรใช้ topical corticosteroid ที่มีความแรงสูงก่อนจึงค่อยใช้ความแรงต่ำ</t>
        </is>
      </c>
      <c r="G162" s="34" t="inlineStr">
        <is>
          <t>ยาพื้นที่เป็นขี้ผึ้ง ควรใช้กับผิวหนังอักเสบที่มีน้ำเหลืองซึมเพื่อดูดซับน้ำเหลือง</t>
        </is>
      </c>
      <c r="H162" s="34" t="inlineStr">
        <is>
          <t>ยาพื้นที่มีแอลกอฮอล์ผสมอยู่ควรใช้กับแผลเปิดสดเพื่อฆ่าเชื้อ</t>
        </is>
      </c>
      <c r="I162" s="33" t="n">
        <v>1</v>
      </c>
      <c r="J162" s="34"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35" t="n"/>
      <c r="L162" s="34" t="inlineStr">
        <is>
          <t>Transdermal &amp; Topical</t>
        </is>
      </c>
      <c r="M162" s="35" t="inlineStr">
        <is>
          <t>Clinic</t>
        </is>
      </c>
      <c r="N162" s="34" t="inlineStr">
        <is>
          <t>ข้อ 32 (PLE_CC1_Practice_Exam.md)</t>
        </is>
      </c>
      <c r="O162" s="35" t="inlineStr">
        <is>
          <t>Mock</t>
        </is>
      </c>
      <c r="P162" s="35" t="inlineStr">
        <is>
          <t>Mock สภาเภสัชฯ Practice</t>
        </is>
      </c>
    </row>
    <row r="163" ht="13.2" customHeight="1" s="49">
      <c r="A163" s="33" t="n">
        <v>161</v>
      </c>
      <c r="B163" s="34"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35" t="n"/>
      <c r="D163" s="34" t="inlineStr">
        <is>
          <t>Exfoliative dermatitis</t>
        </is>
      </c>
      <c r="E163" s="34" t="inlineStr">
        <is>
          <t>AGEP</t>
        </is>
      </c>
      <c r="F163" s="34" t="inlineStr">
        <is>
          <t>DRESS</t>
        </is>
      </c>
      <c r="G163" s="34" t="inlineStr">
        <is>
          <t>SJS</t>
        </is>
      </c>
      <c r="H163" s="34" t="inlineStr">
        <is>
          <t>TEN</t>
        </is>
      </c>
      <c r="I163" s="33" t="n">
        <v>3</v>
      </c>
      <c r="J163" s="34" t="inlineStr">
        <is>
          <t>✅ คำตอบที่ถูกต้อง: ข้อ ก. Exfoliative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Exfoliative dermatitis การเลือก Exfoliative dermatitis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35" t="n"/>
      <c r="L163" s="34" t="inlineStr">
        <is>
          <t>ADR &amp; Allergy</t>
        </is>
      </c>
      <c r="M163" s="35" t="inlineStr">
        <is>
          <t>Clinic</t>
        </is>
      </c>
      <c r="N163" s="34" t="inlineStr">
        <is>
          <t>ข้อ 34 (PLE_CC1_Practice_Exam.md)</t>
        </is>
      </c>
      <c r="O163" s="35" t="inlineStr">
        <is>
          <t>Mock</t>
        </is>
      </c>
      <c r="P163" s="35" t="inlineStr">
        <is>
          <t>Mock สภาเภสัชฯ Practice</t>
        </is>
      </c>
    </row>
    <row r="164" ht="13.2" customHeight="1" s="49">
      <c r="A164" s="33" t="n">
        <v>162</v>
      </c>
      <c r="B164" s="34" t="inlineStr">
        <is>
          <t>เชื้อไวรัสในข้อใดก่อให้เกิดอาการดังกล่าว</t>
        </is>
      </c>
      <c r="C164" s="35" t="n"/>
      <c r="D164" s="34" t="inlineStr">
        <is>
          <t>Human corona virus</t>
        </is>
      </c>
      <c r="E164" s="34" t="inlineStr">
        <is>
          <t>Human papilloma virus</t>
        </is>
      </c>
      <c r="F164" s="34" t="inlineStr">
        <is>
          <t>Human herpes virus 4</t>
        </is>
      </c>
      <c r="G164" s="34" t="inlineStr">
        <is>
          <t>Adenovirus</t>
        </is>
      </c>
      <c r="H164" s="34" t="inlineStr">
        <is>
          <t>Cytomegalovirus</t>
        </is>
      </c>
      <c r="I164" s="33" t="n">
        <v>2</v>
      </c>
      <c r="J164" s="34" t="inlineStr">
        <is>
          <t>✅ คำตอบที่ถูกต้อง: ข้อ ก. Human corona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Human corona virus การเลือก Human corona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35" t="n"/>
      <c r="L164" s="34" t="inlineStr">
        <is>
          <t>Viral Skin Infection</t>
        </is>
      </c>
      <c r="M164" s="35" t="inlineStr">
        <is>
          <t>Clinic</t>
        </is>
      </c>
      <c r="N164" s="34" t="inlineStr">
        <is>
          <t>ข้อ 39 (PLE_CC1_Practice_Exam.md)</t>
        </is>
      </c>
      <c r="O164" s="35" t="inlineStr">
        <is>
          <t>Mock</t>
        </is>
      </c>
      <c r="P164" s="35" t="inlineStr">
        <is>
          <t>Mock สภาเภสัชฯ Practice</t>
        </is>
      </c>
    </row>
    <row r="165" ht="13.2" customHeight="1" s="49">
      <c r="A165" s="33" t="n">
        <v>163</v>
      </c>
      <c r="B165" s="34" t="inlineStr">
        <is>
          <t>ข้อใดกล่าวไม่ถูกต้องเกี่ยวกับการใช้ยารักษาสิว</t>
        </is>
      </c>
      <c r="C165" s="35" t="n"/>
      <c r="D165" s="34" t="inlineStr">
        <is>
          <t>หากเป็นสิวระดับ mild สามารถใช้ topical retinoid ในการรักษาเพียงตัวเดียวได้</t>
        </is>
      </c>
      <c r="E165" s="34" t="inlineStr">
        <is>
          <t>หากเป็นสิวระดับ mild สามารถใช้ benzoyl peroxide ในการรักษาเพียงตัวเดียวได้</t>
        </is>
      </c>
      <c r="F165" s="34" t="inlineStr">
        <is>
          <t>Oral isotretinoid ใช้สำหรับ Severe acne เท่านั้น และห้ามใช้ในหญิงตั้งครรภ์</t>
        </is>
      </c>
      <c r="G165" s="34" t="inlineStr">
        <is>
          <t>Oral antibiotic ไม่สามารถใช้ในการรักษาสิวเพียงตัวเดียวได้</t>
        </is>
      </c>
      <c r="H165" s="34" t="inlineStr">
        <is>
          <t>Benzoyl peroxide และ topical retinoid สามารถทาติดต่อกันได้ทันที เพื่อการรักษาที่มีประสิทธิภาพ</t>
        </is>
      </c>
      <c r="I165" s="33" t="n">
        <v>5</v>
      </c>
      <c r="J165" s="34" t="inlineStr">
        <is>
          <t>✅ คำตอบที่ถูกต้อง: ข้อ ค. Oral isotretinoid ใช้สำหรับ Severe acne เท่านั้น และห้ามใช้ในหญิงตั้งครรภ์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Oral isotretinoid ใช้สำหรับ Severe acne เท่านั้น และห้ามใช้ในหญิงตั้งครรภ์ เด็กๆ ซึ่งสามารถบ่งชี้ได้ว่าโรคนี้มีการถ่ายทอดทางพันธุกรรม นอกจากนั้นผู้ป่วยยังมีอาการมากขึ้นหากอากาศ โดยสามารถเพิ่มค่า sCr ได้, มีพิษต่อตับ ดังนั้นในการรักษาจึงควรคำนึงถึงและตรวจติดตามอาการเหล่านี้เสมอ ระยะเวลาที่รวดเร็วหลังจากที่ได้รับยา จากโจทย์คือประมาณ 2 ชั่วโมง ซึ่งจัดเป็น Type I hypersensitivity วัน ซึ่งก่อนหน้านี้ไม่เคยมีอาการเช่นนี้มาก่อน ดังนั้นจึงสรุปได้ว่าอาการของผู้ป่วยที่เกิดขึ้น เกิดจากรองเท้าคู่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โดยบางครั้งหากใช้นิ้วมือสางขนอาจรู้สึกสากมือเหมือนลูบด้วยเม็ดทราย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35" t="n"/>
      <c r="L165" s="34" t="inlineStr">
        <is>
          <t>Acne</t>
        </is>
      </c>
      <c r="M165" s="35" t="inlineStr">
        <is>
          <t>Clinic</t>
        </is>
      </c>
      <c r="N165" s="34" t="inlineStr">
        <is>
          <t>ข้อ 40 (PLE_CC1_Practice_Exam.md)</t>
        </is>
      </c>
      <c r="O165" s="35" t="inlineStr">
        <is>
          <t>Mock</t>
        </is>
      </c>
      <c r="P165" s="35" t="inlineStr">
        <is>
          <t>Mock สภาเภสัชฯ Practice</t>
        </is>
      </c>
    </row>
    <row r="166" ht="13.2" customHeight="1" s="49">
      <c r="A166" s="33" t="n">
        <v>164</v>
      </c>
      <c r="B166" s="34" t="inlineStr">
        <is>
          <t>โรคระบบภูมิคุ้มกัน โดย นักศึกษาเภสัชศาสตร์ชั้นป๊ที่ 4 รุ่นที่ 22 มหาวิทยาลัยนเรศวร</t>
        </is>
      </c>
      <c r="C166" s="35" t="n"/>
      <c r="D166" s="34" t="inlineStr">
        <is>
          <t>ข้อใดต่อไปนี้ไม่ถูกต้องเกี่ยวกับการใช้ยากลุ่ม Glucocorticoid</t>
        </is>
      </c>
      <c r="E166" s="34" t="inlineStr">
        <is>
          <t>ระวังการในผู้ป่วยโรคเบาหวาน เพราะมีฤทธิ์เพิ่มระดับน้ำตาลในเลือด</t>
        </is>
      </c>
      <c r="F166" s="34" t="inlineStr">
        <is>
          <t>ทำให้เกิด Cushing ’syndrome เช่น moon face, hirsutism, buffalo hump, weight loss, Easy bruising เป็นต้น</t>
        </is>
      </c>
      <c r="G166" s="34" t="inlineStr">
        <is>
          <t>ระหว่างได้ยาแนะนำให้รับประทานอาหารที่มีแคลเซียมสูง</t>
        </is>
      </c>
      <c r="H166" s="34" t="inlineStr">
        <is>
          <t>ห้ามใช้ในผู้ป่วยที่ติดเชื้อ Herpes simplex</t>
        </is>
      </c>
      <c r="I166" s="33" t="inlineStr">
        <is>
          <t>1</t>
        </is>
      </c>
      <c r="J166" s="34"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35" t="n"/>
      <c r="L166" s="34" t="inlineStr">
        <is>
          <t>Superficial fungal</t>
        </is>
      </c>
      <c r="M166" s="35" t="inlineStr">
        <is>
          <t>Clinic</t>
        </is>
      </c>
      <c r="N166" s="34" t="inlineStr">
        <is>
          <t>ข้อ 11 (PLE_CC1_Practice_Exam.md)</t>
        </is>
      </c>
      <c r="O166" s="35" t="inlineStr">
        <is>
          <t>Mock</t>
        </is>
      </c>
      <c r="P166" s="35" t="inlineStr">
        <is>
          <t>Mock สภาเภสัชฯ Practice</t>
        </is>
      </c>
    </row>
    <row r="167" ht="13.2" customHeight="1" s="49">
      <c r="A167" s="33" t="n">
        <v>165</v>
      </c>
      <c r="B167" s="34"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35" t="n"/>
      <c r="D167" s="34" t="inlineStr">
        <is>
          <t>Chlorpheniramine 4 mg PO TID</t>
        </is>
      </c>
      <c r="E167" s="34" t="inlineStr">
        <is>
          <t>Loratadine 10 mg PO OD</t>
        </is>
      </c>
      <c r="F167" s="34" t="inlineStr">
        <is>
          <t>Fexofenadine 180 mg PO OD</t>
        </is>
      </c>
      <c r="G167" s="34" t="inlineStr">
        <is>
          <t>Cetirizine 10 mg PO OD</t>
        </is>
      </c>
      <c r="H167" s="34" t="inlineStr">
        <is>
          <t>Fluticasone furoate nasal spray 2 sprays each nostril OD</t>
        </is>
      </c>
      <c r="I167" s="33" t="n">
        <v>4</v>
      </c>
      <c r="J167" s="34"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67" s="35" t="n"/>
      <c r="L167" s="34" t="inlineStr">
        <is>
          <t>Superficial fungal</t>
        </is>
      </c>
      <c r="M167" s="35" t="inlineStr">
        <is>
          <t>Clinic</t>
        </is>
      </c>
      <c r="N167" s="34" t="inlineStr">
        <is>
          <t>ข้อ 24 (PLE_CC1_Practice_Exam.md)</t>
        </is>
      </c>
      <c r="O167" s="35" t="inlineStr">
        <is>
          <t>Mock</t>
        </is>
      </c>
      <c r="P167" s="35" t="inlineStr">
        <is>
          <t>Mock สภาเภสัชฯ Practice</t>
        </is>
      </c>
    </row>
    <row r="168" ht="13.2" customHeight="1" s="49">
      <c r="A168" s="33" t="n">
        <v>166</v>
      </c>
      <c r="B168" s="34"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35" t="n"/>
      <c r="D168" s="34" t="inlineStr">
        <is>
          <t>IgA</t>
        </is>
      </c>
      <c r="E168" s="34" t="inlineStr">
        <is>
          <t>IgD</t>
        </is>
      </c>
      <c r="F168" s="34" t="inlineStr">
        <is>
          <t>IgE</t>
        </is>
      </c>
      <c r="G168" s="34" t="inlineStr">
        <is>
          <t>IgG</t>
        </is>
      </c>
      <c r="H168" s="34" t="inlineStr">
        <is>
          <t>IgM</t>
        </is>
      </c>
      <c r="I168" s="33" t="n">
        <v>3</v>
      </c>
      <c r="J168" s="34" t="inlineStr">
        <is>
          <t>✅ คำตอบที่ถูกต้อง: ข้อ ก. IgA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IgA การเลือก IgA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แนวทางเวชปฏิบัติโรคผิวหนังที่พบบ่อย พ.ศ. 2562 (สมาคมแพทย์ผิวหนังแห่งประเทศไทย)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35" t="n"/>
      <c r="L168" s="34" t="inlineStr">
        <is>
          <t>ADR &amp; Allergy</t>
        </is>
      </c>
      <c r="M168" s="35" t="inlineStr">
        <is>
          <t>Clinic</t>
        </is>
      </c>
      <c r="N168" s="34" t="inlineStr">
        <is>
          <t>ข้อ 31 (PLE_CC1_Practice_Exam.md)</t>
        </is>
      </c>
      <c r="O168" s="35" t="inlineStr">
        <is>
          <t>Mock</t>
        </is>
      </c>
      <c r="P168" s="35" t="inlineStr">
        <is>
          <t>Mock สภาเภสัชฯ Practice</t>
        </is>
      </c>
    </row>
    <row r="169" ht="13.2" customHeight="1" s="49">
      <c r="A169" s="33" t="n">
        <v>167</v>
      </c>
      <c r="B169" s="34"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35" t="n"/>
      <c r="D169" s="34" t="inlineStr">
        <is>
          <t>หยุดยากลุ่มเสี่ยงทันที</t>
        </is>
      </c>
      <c r="E169" s="34" t="inlineStr">
        <is>
          <t>ให้ยาสเตียรอยด์ในระยะแรกที่ยังมีการดำเนินไปของผื่น</t>
        </is>
      </c>
      <c r="F169" s="34" t="inlineStr">
        <is>
          <t>ออกบัตรแพ้ยากลุ่มเสี่ยง</t>
        </is>
      </c>
      <c r="G169" s="34" t="inlineStr">
        <is>
          <t>ทำ rechallenge ในผู้ป่วยรายนี้</t>
        </is>
      </c>
      <c r="H169" s="34" t="inlineStr">
        <is>
          <t>ตรวจนับเม็ดเลือด ตรวจการทำงานของไต</t>
        </is>
      </c>
      <c r="I169" s="33" t="n">
        <v>4</v>
      </c>
      <c r="J169" s="34" t="inlineStr">
        <is>
          <t>✅ คำตอบที่ถูกต้อง: ข้อ ก. หยุดยากลุ่มเสี่ยงทันที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หยุดยากลุ่มเสี่ยงทันที การเลือก หยุดยากลุ่มเสี่ยงทันที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35" t="n"/>
      <c r="L169" s="34" t="inlineStr">
        <is>
          <t>ADR &amp; Allergy</t>
        </is>
      </c>
      <c r="M169" s="35" t="inlineStr">
        <is>
          <t>Clinic</t>
        </is>
      </c>
      <c r="N169" s="34" t="inlineStr">
        <is>
          <t>ข้อ 33 (PLE_CC1_Practice_Exam.md)</t>
        </is>
      </c>
      <c r="O169" s="35" t="inlineStr">
        <is>
          <t>Mock</t>
        </is>
      </c>
      <c r="P169" s="35" t="inlineStr">
        <is>
          <t>Mock สภาเภสัชฯ Practice</t>
        </is>
      </c>
    </row>
    <row r="170" ht="13.2" customHeight="1" s="49">
      <c r="A170" s="33" t="n">
        <v>168</v>
      </c>
      <c r="B170" s="34" t="inlineStr">
        <is>
          <t>รูปแบบยาเตรียมทาเฉพาะที่ชนิดใดต่อไปนี้ไม่เหมาะสมอย่างยิ่งสำหรับใช้ทาบริเวณผิวหนังที่มีขนดกหรือหนังศีรษะ</t>
        </is>
      </c>
      <c r="C170" s="35" t="n"/>
      <c r="D170" s="34" t="inlineStr">
        <is>
          <t>Ointment (ขี้ผึ้ง)</t>
        </is>
      </c>
      <c r="E170" s="34" t="inlineStr">
        <is>
          <t>Lotion (โลชั่น)</t>
        </is>
      </c>
      <c r="F170" s="34" t="inlineStr">
        <is>
          <t>Gel (เจล)</t>
        </is>
      </c>
      <c r="G170" s="34" t="inlineStr">
        <is>
          <t>Solution (สารละลายใส)</t>
        </is>
      </c>
      <c r="H170" s="34" t="inlineStr">
        <is>
          <t>Foam (โฟม)</t>
        </is>
      </c>
      <c r="I170" s="33" t="n">
        <v>1</v>
      </c>
      <c r="J170"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35" t="n"/>
      <c r="L170" s="34" t="inlineStr">
        <is>
          <t>Transdermal &amp; Topical</t>
        </is>
      </c>
      <c r="M170" s="35" t="inlineStr">
        <is>
          <t>Clinic</t>
        </is>
      </c>
      <c r="N170" s="34" t="inlineStr">
        <is>
          <t>ข้อ 3 (PLE_CC1_Practice_Exam.md)</t>
        </is>
      </c>
      <c r="O170" s="35" t="inlineStr">
        <is>
          <t>Mock</t>
        </is>
      </c>
      <c r="P170" s="35" t="inlineStr">
        <is>
          <t>Mock สภาเภสัชฯ Practice</t>
        </is>
      </c>
    </row>
    <row r="171" ht="13.2" customHeight="1" s="49">
      <c r="A171" s="33" t="n">
        <v>169</v>
      </c>
      <c r="B171" s="34"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35" t="n"/>
      <c r="D171" s="34" t="inlineStr">
        <is>
          <t>ได้ เพราะเป็นยาอันตราย</t>
        </is>
      </c>
      <c r="E171" s="34" t="inlineStr">
        <is>
          <t>ได้ เพราะเป็นยาควบคุมพิเศษที่เคยได้รับการสั่งใช้ยาจากแพทย์มาแล้ว</t>
        </is>
      </c>
      <c r="F171" s="34" t="inlineStr">
        <is>
          <t>ไม่ได้ เพราะเป็นยาควบคุมพิเศษ ต้องมีใบสั่งใช้ยาโดยแพทย์ประกอบการจ่ายทุกครั้ง</t>
        </is>
      </c>
      <c r="G171" s="34" t="inlineStr">
        <is>
          <t>ไม่ได้ เพราะเป็นยาควบคุมพิเศษ ที่ขายได้เฉพาะในคลินิกแพทย์เท่านั้น</t>
        </is>
      </c>
      <c r="H171" s="34" t="inlineStr">
        <is>
          <t>ไม่ได้ เพราะเป็นยาควบคุมพิเศษ ที่ขายได้ในโรงพยาบาลเท่านั้น</t>
        </is>
      </c>
      <c r="I171" s="33" t="inlineStr">
        <is>
          <t>1</t>
        </is>
      </c>
      <c r="J171" s="34"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35" t="n"/>
      <c r="L171" s="34" t="inlineStr">
        <is>
          <t>Acne</t>
        </is>
      </c>
      <c r="M171" s="35" t="inlineStr">
        <is>
          <t>Clinic</t>
        </is>
      </c>
      <c r="N171" s="34" t="inlineStr">
        <is>
          <t>ข้อ 35 (PLE_CC1_Practice_Exam.md)</t>
        </is>
      </c>
      <c r="O171" s="35" t="inlineStr">
        <is>
          <t>Mock</t>
        </is>
      </c>
      <c r="P171" s="35" t="inlineStr">
        <is>
          <t>Mock สภาเภสัชฯ Practice</t>
        </is>
      </c>
    </row>
    <row r="172" ht="13.2" customHeight="1" s="49">
      <c r="A172" s="33" t="n">
        <v>170</v>
      </c>
      <c r="B172" s="34" t="inlineStr">
        <is>
          <t>คำแนะนำการใช้ Capsaicin gel สำหรับบรรเทาอาการปวดปลายประสาท ข้อใดถูกต้องที่สุด</t>
        </is>
      </c>
      <c r="C172" s="35" t="n"/>
      <c r="D172" s="34" t="inlineStr">
        <is>
          <t>ต้องทาติดต่อกันสม่ำเสมออย่างน้อย 2-4 สัปดาห์ จึงจะเห็นผลบรรเทาปวดเต็มที่จากการหมดไปของ Substance P</t>
        </is>
      </c>
      <c r="E172" s="34" t="inlineStr">
        <is>
          <t>ควรทาถูนวดอย่างรุนแรงและประคบร้อนทับทันทีเพื่อเพิ่มการดูดซึม</t>
        </is>
      </c>
      <c r="F172" s="34" t="inlineStr">
        <is>
          <t>หากรู้สึกแสบร้อนในวันแรกๆ ให้หยุดยาทันทีเพราะแสดงว่าแพ้ยา</t>
        </is>
      </c>
      <c r="G172" s="34" t="inlineStr">
        <is>
          <t>สามารถทาบริเวณแผลสดหรือเยื่อบุตาได้โดยไม่อันตราย</t>
        </is>
      </c>
      <c r="H172" s="34" t="inlineStr">
        <is>
          <t>ควรล้างมือด้วยน้ำอุ่นจัดทันทีหลังทายาโดยไม่ต้องใช้สบู่</t>
        </is>
      </c>
      <c r="I172" s="33" t="n">
        <v>1</v>
      </c>
      <c r="J172" s="34"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35" t="n"/>
      <c r="L172" s="34" t="inlineStr">
        <is>
          <t>Transdermal &amp; Topical</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ไม่มี Emulsifier ในตำรับ</t>
        </is>
      </c>
      <c r="C173" s="35" t="n"/>
      <c r="D173" s="34" t="inlineStr">
        <is>
          <t>Isotretinoin 10 mg OD</t>
        </is>
      </c>
      <c r="E173" s="34" t="inlineStr">
        <is>
          <t>Terbinafine 1% cream</t>
        </is>
      </c>
      <c r="F173" s="34" t="inlineStr">
        <is>
          <t>Adapalene 0.1% gel</t>
        </is>
      </c>
      <c r="G173" s="34" t="inlineStr">
        <is>
          <t>Mupirocin 2% ointment</t>
        </is>
      </c>
      <c r="H173" s="34" t="inlineStr">
        <is>
          <t>Betamethasone dipropionate 0.05% cream</t>
        </is>
      </c>
      <c r="I173" s="33" t="inlineStr">
        <is>
          <t>1</t>
        </is>
      </c>
      <c r="J173"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35" t="n"/>
      <c r="L173" s="34" t="inlineStr">
        <is>
          <t>Superficial fungal</t>
        </is>
      </c>
      <c r="M173" s="35" t="inlineStr">
        <is>
          <t>Clinic</t>
        </is>
      </c>
      <c r="N173" s="34" t="inlineStr">
        <is>
          <t>ข้อ 4 (PLE_CC1_Key_Rx20_UBU.md)</t>
        </is>
      </c>
      <c r="O173" s="35" t="inlineStr">
        <is>
          <t>Mock</t>
        </is>
      </c>
      <c r="P173" s="35" t="inlineStr">
        <is>
          <t>Mock Rx20 UBU</t>
        </is>
      </c>
    </row>
    <row r="174" ht="13.2" customHeight="1" s="49">
      <c r="A174" s="33" t="n">
        <v>172</v>
      </c>
      <c r="B174" s="34" t="inlineStr">
        <is>
          <t>ควรเลือกยาใดให้ผู้ป่วยรายนี้เป็นทางเลือกแรก</t>
        </is>
      </c>
      <c r="C174" s="35" t="n"/>
      <c r="D174" s="34" t="inlineStr">
        <is>
          <t>Mupirocin 2% ointment</t>
        </is>
      </c>
      <c r="E174" s="34" t="inlineStr">
        <is>
          <t>Betamethasone dipropionate 0.05% cream</t>
        </is>
      </c>
      <c r="F174" s="34" t="inlineStr">
        <is>
          <t>Clotrimazole 1% cream</t>
        </is>
      </c>
      <c r="G174" s="34" t="inlineStr">
        <is>
          <t>Hydrocortisone 1% cream</t>
        </is>
      </c>
      <c r="H174" s="34" t="inlineStr">
        <is>
          <t>Triamcinolone acetonide 0.1% cream</t>
        </is>
      </c>
      <c r="I174" s="33" t="inlineStr">
        <is>
          <t>1</t>
        </is>
      </c>
      <c r="J174" s="34"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35" t="n"/>
      <c r="L174" s="34" t="inlineStr">
        <is>
          <t>Superficial fungal</t>
        </is>
      </c>
      <c r="M174" s="35" t="inlineStr">
        <is>
          <t>Clinic</t>
        </is>
      </c>
      <c r="N174" s="34" t="inlineStr">
        <is>
          <t>ข้อ 62 (PLE_CC1_Key_Rx20_UBU.md)</t>
        </is>
      </c>
      <c r="O174" s="35" t="inlineStr">
        <is>
          <t>Mock</t>
        </is>
      </c>
      <c r="P174" s="35" t="inlineStr">
        <is>
          <t>Mock Rx20 UBU</t>
        </is>
      </c>
    </row>
    <row r="175" ht="13.2" customHeight="1" s="49">
      <c r="A175" s="33" t="n">
        <v>173</v>
      </c>
      <c r="B175" s="34" t="inlineStr">
        <is>
          <t>รอยโรคสิวชนิดใดต่อไปนี้จัดอยู่ในกลุ่มสิวไม่อักเสบ (Non-inflammatory acne)</t>
        </is>
      </c>
      <c r="C175" s="35" t="n"/>
      <c r="D175" s="34" t="inlineStr">
        <is>
          <t>Open and closed comedones (สิวหัวดำและสิวหัวขาว)</t>
        </is>
      </c>
      <c r="E175" s="34" t="inlineStr">
        <is>
          <t>Erythematous papules (ตุ่มนูนแดง)</t>
        </is>
      </c>
      <c r="F175" s="34" t="inlineStr">
        <is>
          <t>Pustules (ตุ่มหนอง)</t>
        </is>
      </c>
      <c r="G175" s="34" t="inlineStr">
        <is>
          <t>Cysts (ถุงซีสต์ใต้ผิวหนัง)</t>
        </is>
      </c>
      <c r="H175" s="34" t="inlineStr">
        <is>
          <t>Nodules (ตุ่มก้อนไตลึก)</t>
        </is>
      </c>
      <c r="I175" s="33" t="n">
        <v>1</v>
      </c>
      <c r="J175"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35" t="n"/>
      <c r="L175" s="34" t="inlineStr">
        <is>
          <t>Acne</t>
        </is>
      </c>
      <c r="M175" s="35" t="inlineStr">
        <is>
          <t>Clinic</t>
        </is>
      </c>
      <c r="N175" s="34" t="inlineStr">
        <is>
          <t>ข้อ 2 (PLE_CC1_Key_Rx20_UBU.md)</t>
        </is>
      </c>
      <c r="O175" s="35" t="inlineStr">
        <is>
          <t>Mock</t>
        </is>
      </c>
      <c r="P175" s="35" t="inlineStr">
        <is>
          <t>Mock Rx20 UBU</t>
        </is>
      </c>
    </row>
    <row r="176" ht="13.2" customHeight="1" s="49">
      <c r="A176" s="33" t="n">
        <v>174</v>
      </c>
      <c r="B176" s="34"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76" s="35" t="n"/>
      <c r="D176" s="34" t="inlineStr">
        <is>
          <t>Oral Isotretinoin</t>
        </is>
      </c>
      <c r="E176" s="34" t="inlineStr">
        <is>
          <t>Oral Tetracycline</t>
        </is>
      </c>
      <c r="F176" s="34" t="inlineStr">
        <is>
          <t>Oral Erythromycin</t>
        </is>
      </c>
      <c r="G176" s="34" t="inlineStr">
        <is>
          <t>Oral Prednisolone</t>
        </is>
      </c>
      <c r="H176" s="34" t="inlineStr">
        <is>
          <t>Oral Metronidazole</t>
        </is>
      </c>
      <c r="I176" s="33" t="n">
        <v>1</v>
      </c>
      <c r="J176" s="34"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76" s="35" t="n"/>
      <c r="L176" s="34" t="inlineStr">
        <is>
          <t>Acne</t>
        </is>
      </c>
      <c r="M176" s="35" t="inlineStr">
        <is>
          <t>Clinic</t>
        </is>
      </c>
      <c r="N176" s="34" t="inlineStr">
        <is>
          <t>ข้อ 4 (PLE_CC1_Key_Rx20_UBU.md)</t>
        </is>
      </c>
      <c r="O176" s="35" t="inlineStr">
        <is>
          <t>Mock</t>
        </is>
      </c>
      <c r="P176" s="35" t="inlineStr">
        <is>
          <t>Mock Rx20 UBU</t>
        </is>
      </c>
    </row>
    <row r="177" ht="13.2" customHeight="1" s="49">
      <c r="A177" s="33" t="n">
        <v>175</v>
      </c>
      <c r="B177" s="34" t="inlineStr">
        <is>
          <t>ข้อใดกล่าวถูกต้องเกี่ยวกับคุณสมบัติทางเภสัชวิทยาของ Benzoyl peroxide ในการรักษาสิว</t>
        </is>
      </c>
      <c r="C177" s="35" t="n"/>
      <c r="D177" s="34" t="inlineStr">
        <is>
          <t>ปล่อย Free oxygen radicals ฆ่าเชื้อ C. acnes และไม่ก่อให้เกิดการดื้อยาของเชื้อ</t>
        </is>
      </c>
      <c r="E177" s="34" t="inlineStr">
        <is>
          <t>ออกฤทธิ์ลดการผลิตไขมันจากต่อมไขมันโดยตรง (Antisebum)</t>
        </is>
      </c>
      <c r="F177" s="34" t="inlineStr">
        <is>
          <t>ทำให้เกิดเชื้อแบคทีเรียดื้อยาได้ง่ายหากใช้ต่อเนื่องเกิน 4 สัปดาห์</t>
        </is>
      </c>
      <c r="G177" s="34" t="inlineStr">
        <is>
          <t>มีฤทธิ์ยับยั้งการสร้างเม็ดสีเมลานินอย่างถาวร</t>
        </is>
      </c>
      <c r="H177" s="34" t="inlineStr">
        <is>
          <t>ไม่ก่อให้เกิดอาการระคายเคือง แสบ แดง หรือผิวแห้งลอก</t>
        </is>
      </c>
      <c r="I177" s="33" t="n">
        <v>1</v>
      </c>
      <c r="J177" s="34"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35" t="n"/>
      <c r="L177" s="34" t="inlineStr">
        <is>
          <t>Acne</t>
        </is>
      </c>
      <c r="M177" s="35" t="inlineStr">
        <is>
          <t>Clinic</t>
        </is>
      </c>
      <c r="N177" s="34" t="inlineStr">
        <is>
          <t>ข้อ 5 (PLE_CC1_Key_Rx20_UBU.md)</t>
        </is>
      </c>
      <c r="O177" s="35" t="inlineStr">
        <is>
          <t>Mock</t>
        </is>
      </c>
      <c r="P177" s="35" t="inlineStr">
        <is>
          <t>Mock Rx20 UBU</t>
        </is>
      </c>
    </row>
    <row r="178" ht="13.2" customHeight="1" s="49">
      <c r="A178" s="33" t="n">
        <v>176</v>
      </c>
      <c r="B178" s="34" t="inlineStr">
        <is>
          <t>P. acne ดื้อเป็นปัญหาสำคัญ</t>
        </is>
      </c>
      <c r="C178" s="35" t="n"/>
      <c r="D178" s="34" t="inlineStr">
        <is>
          <t>Terbinafine 1% cream</t>
        </is>
      </c>
      <c r="E178" s="34" t="inlineStr">
        <is>
          <t>Adapalene 0.1% gel</t>
        </is>
      </c>
      <c r="F178" s="34" t="inlineStr">
        <is>
          <t>Mupirocin 2% ointment</t>
        </is>
      </c>
      <c r="G178" s="34" t="inlineStr">
        <is>
          <t>Betamethasone dipropionate 0.05% cream</t>
        </is>
      </c>
      <c r="H178" s="34" t="inlineStr">
        <is>
          <t>Clotrimazole 1% cream</t>
        </is>
      </c>
      <c r="I178" s="33" t="inlineStr">
        <is>
          <t>1</t>
        </is>
      </c>
      <c r="J178" s="34"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35" t="n"/>
      <c r="L178" s="34" t="inlineStr">
        <is>
          <t>Acne</t>
        </is>
      </c>
      <c r="M178" s="35" t="inlineStr">
        <is>
          <t>Clinic</t>
        </is>
      </c>
      <c r="N178" s="34" t="inlineStr">
        <is>
          <t>ข้อ 4 (PLE_CC1_Key_Rx20_UBU.md)</t>
        </is>
      </c>
      <c r="O178" s="35" t="inlineStr">
        <is>
          <t>Mock</t>
        </is>
      </c>
      <c r="P178" s="35" t="inlineStr">
        <is>
          <t>Mock Rx20 UBU</t>
        </is>
      </c>
    </row>
    <row r="179" ht="13.2" customHeight="1" s="49">
      <c r="A179" s="33" t="n">
        <v>177</v>
      </c>
      <c r="B179" s="34" t="inlineStr">
        <is>
          <t>ควรเลือกใช้ยาใดในการรักษา จึงจะเหมาะสมที่สุด</t>
        </is>
      </c>
      <c r="C179" s="35" t="n"/>
      <c r="D179" s="34" t="inlineStr">
        <is>
          <t>Betamethasone dipropionate 0.05% cream</t>
        </is>
      </c>
      <c r="E179" s="34" t="inlineStr">
        <is>
          <t>Clotrimazole 1% cream</t>
        </is>
      </c>
      <c r="F179" s="34" t="inlineStr">
        <is>
          <t>Hydrocortisone 1% cream</t>
        </is>
      </c>
      <c r="G179" s="34" t="inlineStr">
        <is>
          <t>Triamcinolone acetonide 0.1% cream</t>
        </is>
      </c>
      <c r="H179" s="34" t="inlineStr">
        <is>
          <t>Clobetasol propionate 0.05% cream</t>
        </is>
      </c>
      <c r="I179" s="33" t="inlineStr">
        <is>
          <t>1</t>
        </is>
      </c>
      <c r="J179"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35" t="n"/>
      <c r="L179" s="34" t="inlineStr">
        <is>
          <t>Superficial fungal</t>
        </is>
      </c>
      <c r="M179" s="35" t="inlineStr">
        <is>
          <t>Clinic</t>
        </is>
      </c>
      <c r="N179" s="34" t="inlineStr">
        <is>
          <t>ข้อ 90 (PLE_CC1_Key_Rx20_UBU.md)</t>
        </is>
      </c>
      <c r="O179" s="35" t="inlineStr">
        <is>
          <t>Mock</t>
        </is>
      </c>
      <c r="P179" s="35" t="inlineStr">
        <is>
          <t>Mock Rx20 UBU</t>
        </is>
      </c>
    </row>
    <row r="180" ht="13.2" customHeight="1" s="49">
      <c r="A180" s="33" t="n">
        <v>178</v>
      </c>
      <c r="B180" s="34" t="inlineStr">
        <is>
          <t>หากผู้ป่วยได้รับยาต้านเชื้อรา Ketoconazole ชนิดรับประทาน คำแนะนำและการเฝ้าระวังที่สำคัญที่สุดคือข้อใด</t>
        </is>
      </c>
      <c r="C180" s="35" t="n"/>
      <c r="D180" s="34" t="inlineStr">
        <is>
          <t>เฝ้าระวังอาการพิษต่อตับ (Hepatotoxicity) เช่น คลื่นไส้ อ่อนเพลีย ตัวเหลืองตาเหลือง และตรวจการทำงานของตับ (LFTs)</t>
        </is>
      </c>
      <c r="E180" s="34" t="inlineStr">
        <is>
          <t>ควรรับประทานร่วมกับยาลดกรด Omeprazole เพื่อป้องกันการระคายเคืองกระเพาะอาหาร</t>
        </is>
      </c>
      <c r="F180" s="34" t="inlineStr">
        <is>
          <t>ยานี้ไม่มีปฏิกิริยาระหว่างยาผ่านเอนไซม์ CYP450 สามารถทานร่วมกับยาทุกชนิดได้ปลอดภัย</t>
        </is>
      </c>
      <c r="G180" s="34" t="inlineStr">
        <is>
          <t>แนะนำให้รับประทานยาวันละ 4 ครั้งก่อนอาหารเพื่อเพิ่มการดูดซึม</t>
        </is>
      </c>
      <c r="H180" s="34" t="inlineStr">
        <is>
          <t>หากลืมรับประทานยา ให้เพิ่มขนาดยาเป็นสองเท่าในมื้อถัดไปทันที</t>
        </is>
      </c>
      <c r="I180" s="33" t="n">
        <v>1</v>
      </c>
      <c r="J180"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35" t="n"/>
      <c r="L180" s="34" t="inlineStr">
        <is>
          <t>Superficial fungal</t>
        </is>
      </c>
      <c r="M180" s="35" t="inlineStr">
        <is>
          <t>Clinic</t>
        </is>
      </c>
      <c r="N180" s="34" t="inlineStr">
        <is>
          <t>ข้อ 91 (PLE_CC1_Key_Rx20_UBU.md)</t>
        </is>
      </c>
      <c r="O180" s="35" t="inlineStr">
        <is>
          <t>Mock</t>
        </is>
      </c>
      <c r="P180" s="35" t="inlineStr">
        <is>
          <t>Mock Rx20 UBU</t>
        </is>
      </c>
    </row>
    <row r="181" ht="13.2" customHeight="1" s="49">
      <c r="A181" s="33" t="n">
        <v>179</v>
      </c>
      <c r="B181" s="34" t="inlineStr">
        <is>
          <t>ถ้าผู้ป่วยได้รับ Ketoconazole ร่วมด้วย จะเกิดอะไรขึ้น</t>
        </is>
      </c>
      <c r="C181" s="35" t="n"/>
      <c r="D181" s="34" t="inlineStr">
        <is>
          <t>Benzoyl peroxide 2.5% gel</t>
        </is>
      </c>
      <c r="E181" s="34" t="inlineStr">
        <is>
          <t>Acyclovir 5% cream</t>
        </is>
      </c>
      <c r="F181" s="34" t="inlineStr">
        <is>
          <t>Silver sulfadiazine 1% cream</t>
        </is>
      </c>
      <c r="G181" s="34" t="inlineStr">
        <is>
          <t>Cetirizine 10 mg OD</t>
        </is>
      </c>
      <c r="H181" s="34" t="inlineStr">
        <is>
          <t>Isotretinoin 10 mg OD</t>
        </is>
      </c>
      <c r="I181" s="33" t="inlineStr">
        <is>
          <t>1</t>
        </is>
      </c>
      <c r="J181" s="34"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35" t="n"/>
      <c r="L181" s="34" t="inlineStr">
        <is>
          <t>Superficial fungal</t>
        </is>
      </c>
      <c r="M181" s="35" t="inlineStr">
        <is>
          <t>Clinic</t>
        </is>
      </c>
      <c r="N181" s="34" t="inlineStr">
        <is>
          <t>ข้อ 4 (PLE_CC1_Key_Rx20_UBU.md)</t>
        </is>
      </c>
      <c r="O181" s="35" t="inlineStr">
        <is>
          <t>Mock</t>
        </is>
      </c>
      <c r="P181" s="35" t="inlineStr">
        <is>
          <t>Mock Rx20 UBU</t>
        </is>
      </c>
    </row>
    <row r="182" ht="13.2" customHeight="1" s="49">
      <c r="A182" s="33" t="n">
        <v>180</v>
      </c>
      <c r="B182" s="34" t="inlineStr">
        <is>
          <t>คำแนะนำใดเหมาะสมในผู้ป่วยรายนี้</t>
        </is>
      </c>
      <c r="C182" s="35" t="n"/>
      <c r="D182" s="34" t="inlineStr">
        <is>
          <t>ควรรับประทานยาคุมเพื่อป้องกันการตั้งครรภ์ทารกวิรูป</t>
        </is>
      </c>
      <c r="E182" s="34" t="inlineStr">
        <is>
          <t>ระหว่างที่กินยานี้ หลีกเลี่ยงรังสี UV</t>
        </is>
      </c>
      <c r="F182" s="34" t="inlineStr">
        <is>
          <t>ควรกินยาก่อนอาหารเช้า-ก่อนนอน</t>
        </is>
      </c>
      <c r="G182" s="34" t="inlineStr">
        <is>
          <t>อาจทำให้ผิวหนัง-เล็บเปลี่ยนสี</t>
        </is>
      </c>
      <c r="H182" s="34" t="inlineStr">
        <is>
          <t>ถ้ามีอาการไข้ เจ็บคอ และมีผื่นขึ้นควรไปพบแพทย์ คำอธิบาย carbamazepine -- HLAB 1502 -- SJS</t>
        </is>
      </c>
      <c r="I182" s="33" t="inlineStr">
        <is>
          <t>5</t>
        </is>
      </c>
      <c r="J182" s="34"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แนวทางเวชปฏิบัติโรคผิวหนังที่พบบ่อย พ.ศ. 2562 (สมาคมแพทย์ผิวหนังแห่งประเทศไทย)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35" t="n"/>
      <c r="L182" s="34" t="inlineStr">
        <is>
          <t>Superficial fungal</t>
        </is>
      </c>
      <c r="M182" s="35" t="inlineStr">
        <is>
          <t>Clinic</t>
        </is>
      </c>
      <c r="N182" s="34" t="inlineStr">
        <is>
          <t>ข้อ 1 (PLE_CC1_Key_Rx20_UBU.md)</t>
        </is>
      </c>
      <c r="O182" s="35" t="inlineStr">
        <is>
          <t>Mock</t>
        </is>
      </c>
      <c r="P182" s="35" t="inlineStr">
        <is>
          <t>Mock Rx20 UBU</t>
        </is>
      </c>
    </row>
    <row r="183" ht="13.2" customHeight="1" s="49">
      <c r="A183" s="33" t="n">
        <v>181</v>
      </c>
      <c r="B183" s="34" t="inlineStr">
        <is>
          <t>ผู้ป่วยเป็นโรคอะไร</t>
        </is>
      </c>
      <c r="C183" s="35" t="n"/>
      <c r="D183" s="34" t="inlineStr">
        <is>
          <t>Impetigo</t>
        </is>
      </c>
      <c r="E183" s="34" t="inlineStr">
        <is>
          <t>Eczema</t>
        </is>
      </c>
      <c r="F183" s="34" t="inlineStr">
        <is>
          <t>Folliculitis</t>
        </is>
      </c>
      <c r="G183" s="34" t="inlineStr">
        <is>
          <t>Rosacea</t>
        </is>
      </c>
      <c r="H183" s="34" t="inlineStr">
        <is>
          <t>Tinea corporis</t>
        </is>
      </c>
      <c r="I183" s="33" t="inlineStr">
        <is>
          <t>2</t>
        </is>
      </c>
      <c r="J183" s="34"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35" t="n"/>
      <c r="L183" s="34" t="inlineStr">
        <is>
          <t>Superficial fungal</t>
        </is>
      </c>
      <c r="M183" s="35" t="inlineStr">
        <is>
          <t>Clinic</t>
        </is>
      </c>
      <c r="N183" s="34" t="inlineStr">
        <is>
          <t>ข้อ 1 (PLE_CC1_Key_Rx20_UBU.md)</t>
        </is>
      </c>
      <c r="O183" s="35" t="inlineStr">
        <is>
          <t>Mock</t>
        </is>
      </c>
      <c r="P183" s="35" t="inlineStr">
        <is>
          <t>Mock Rx20 UBU</t>
        </is>
      </c>
    </row>
    <row r="184" ht="13.2" customHeight="1" s="49">
      <c r="A184" s="33" t="n">
        <v>182</v>
      </c>
      <c r="B184" s="34" t="inlineStr">
        <is>
          <t>ยาต้านเชื้อราในข้อใดมีกลไกการออกฤทธิ์โดยยับยั้งการสังเคราะห์ DNA และ RNA ของเซลล์เชื้อรา</t>
        </is>
      </c>
      <c r="C184" s="35" t="n"/>
      <c r="D184" s="34" t="inlineStr">
        <is>
          <t>Flucytosine (5-FC)</t>
        </is>
      </c>
      <c r="E184" s="34" t="inlineStr">
        <is>
          <t>Ketoconazole</t>
        </is>
      </c>
      <c r="F184" s="34" t="inlineStr">
        <is>
          <t>Terbinafine</t>
        </is>
      </c>
      <c r="G184" s="34" t="inlineStr">
        <is>
          <t>Amphotericin B</t>
        </is>
      </c>
      <c r="H184" s="34" t="inlineStr">
        <is>
          <t>Caspofungin</t>
        </is>
      </c>
      <c r="I184" s="33" t="n">
        <v>1</v>
      </c>
      <c r="J184" s="34"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35" t="n"/>
      <c r="L184" s="34" t="inlineStr">
        <is>
          <t>Antifungals</t>
        </is>
      </c>
      <c r="M184" s="35" t="inlineStr">
        <is>
          <t>Clinic</t>
        </is>
      </c>
      <c r="N184" s="34" t="inlineStr">
        <is>
          <t>ข้อ 5 (PLE_CC1_Key_Rx20_UBU.md)</t>
        </is>
      </c>
      <c r="O184" s="35" t="inlineStr">
        <is>
          <t>Mock</t>
        </is>
      </c>
      <c r="P184" s="35" t="inlineStr">
        <is>
          <t>Mock Rx20 UBU</t>
        </is>
      </c>
    </row>
    <row r="185" ht="13.2" customHeight="1" s="49">
      <c r="A185" s="33" t="n">
        <v>183</v>
      </c>
      <c r="B185" s="34"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85" s="35" t="n"/>
      <c r="D185" s="34" t="inlineStr">
        <is>
          <t>พิจารณาเพิ่มความแรงของ Topical Corticosteroid เป็น Potent agent ระยะสั้น หรือใช้ Topical Calcineurin Inhibitor</t>
        </is>
      </c>
      <c r="E185" s="34" t="inlineStr">
        <is>
          <t>เปลี่ยนไปใช้ยาฆ่าเชื้อรา Ketoconazole 2% cream ทาทันที</t>
        </is>
      </c>
      <c r="F185" s="34" t="inlineStr">
        <is>
          <t>ให้รับประทานยาปฏิชีวนะ Doxycycline 100 mg วันละ 2 ครั้ง</t>
        </is>
      </c>
      <c r="G185" s="34" t="inlineStr">
        <is>
          <t>หยุดทายาทุกชนิดแล้วล้างแผลด้วยแอลกอฮอล์ 70%</t>
        </is>
      </c>
      <c r="H185" s="34" t="inlineStr">
        <is>
          <t>เปลี่ยนไปทา Benzoyl peroxide 5% gel เช้า-เย็น</t>
        </is>
      </c>
      <c r="I185" s="33" t="n">
        <v>1</v>
      </c>
      <c r="J185" s="34"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35" t="n"/>
      <c r="L185" s="34" t="inlineStr">
        <is>
          <t>Eczema &amp; Dermatitis</t>
        </is>
      </c>
      <c r="M185" s="35" t="inlineStr">
        <is>
          <t>Clinic</t>
        </is>
      </c>
      <c r="N185" s="34" t="inlineStr">
        <is>
          <t>ข้อ 6 (PLE_CC1_Key_Rx20_UBU.md)</t>
        </is>
      </c>
      <c r="O185" s="35" t="inlineStr">
        <is>
          <t>Mock</t>
        </is>
      </c>
      <c r="P185" s="35" t="inlineStr">
        <is>
          <t>Mock Rx20 UBU</t>
        </is>
      </c>
    </row>
    <row r="186" ht="13.2" customHeight="1" s="49">
      <c r="A186" s="33" t="n">
        <v>184</v>
      </c>
      <c r="B186" s="34"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86" s="35" t="n"/>
      <c r="D186" s="34" t="inlineStr">
        <is>
          <t>Auspitz sign</t>
        </is>
      </c>
      <c r="E186" s="34" t="inlineStr">
        <is>
          <t>Koebner phenomenon</t>
        </is>
      </c>
      <c r="F186" s="34" t="inlineStr">
        <is>
          <t>Nikolsky sign</t>
        </is>
      </c>
      <c r="G186" s="34" t="inlineStr">
        <is>
          <t>Darier sign</t>
        </is>
      </c>
      <c r="H186" s="34" t="inlineStr">
        <is>
          <t>Hutchinson sign</t>
        </is>
      </c>
      <c r="I186" s="33" t="n">
        <v>1</v>
      </c>
      <c r="J186" s="34"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86" s="35" t="n"/>
      <c r="L186" s="34" t="inlineStr">
        <is>
          <t>Psoriasis</t>
        </is>
      </c>
      <c r="M186" s="35" t="inlineStr">
        <is>
          <t>Clinic</t>
        </is>
      </c>
      <c r="N186" s="34" t="inlineStr">
        <is>
          <t>ข้อ 92 (PLE_CC1_Key_Rx20_UBU.md)</t>
        </is>
      </c>
      <c r="O186" s="35" t="inlineStr">
        <is>
          <t>Mock</t>
        </is>
      </c>
      <c r="P186" s="35" t="inlineStr">
        <is>
          <t>Mock Rx20 UBU</t>
        </is>
      </c>
    </row>
    <row r="187" ht="13.2" customHeight="1" s="49">
      <c r="A187" s="33" t="n">
        <v>185</v>
      </c>
      <c r="B187" s="34" t="inlineStr">
        <is>
          <t>Ketoconazole shampoo</t>
        </is>
      </c>
      <c r="C187" s="35" t="n"/>
      <c r="D187" s="34" t="inlineStr">
        <is>
          <t>Isotretinoin 10 mg OD</t>
        </is>
      </c>
      <c r="E187" s="34" t="inlineStr">
        <is>
          <t>Terbinafine 1% cream</t>
        </is>
      </c>
      <c r="F187" s="34" t="inlineStr">
        <is>
          <t>Adapalene 0.1% gel</t>
        </is>
      </c>
      <c r="G187" s="34" t="inlineStr">
        <is>
          <t>Mupirocin 2% ointment</t>
        </is>
      </c>
      <c r="H187" s="34" t="inlineStr">
        <is>
          <t>Betamethasone dipropionate 0.05% cream</t>
        </is>
      </c>
      <c r="I187" s="33" t="inlineStr">
        <is>
          <t>1</t>
        </is>
      </c>
      <c r="J187" s="34"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35" t="n"/>
      <c r="L187" s="34" t="inlineStr">
        <is>
          <t>Superficial fungal</t>
        </is>
      </c>
      <c r="M187" s="35" t="inlineStr">
        <is>
          <t>Clinic</t>
        </is>
      </c>
      <c r="N187" s="34" t="inlineStr">
        <is>
          <t>ข้อ 4 (PLE_CC1_Key_Rx20_UBU.md)</t>
        </is>
      </c>
      <c r="O187" s="35" t="inlineStr">
        <is>
          <t>Mock</t>
        </is>
      </c>
      <c r="P187" s="35" t="inlineStr">
        <is>
          <t>Mock Rx20 UBU</t>
        </is>
      </c>
    </row>
    <row r="188" ht="13.2" customHeight="1" s="49">
      <c r="A188" s="33" t="n">
        <v>186</v>
      </c>
      <c r="B188" s="34" t="inlineStr">
        <is>
          <t>กลไกยา topical steroid</t>
        </is>
      </c>
      <c r="C188" s="35" t="n"/>
      <c r="D188" s="34" t="inlineStr">
        <is>
          <t>Mupirocin 2% ointment</t>
        </is>
      </c>
      <c r="E188" s="34" t="inlineStr">
        <is>
          <t>Betamethasone dipropionate 0.05% cream</t>
        </is>
      </c>
      <c r="F188" s="34" t="inlineStr">
        <is>
          <t>Clotrimazole 1% cream</t>
        </is>
      </c>
      <c r="G188" s="34" t="inlineStr">
        <is>
          <t>Hydrocortisone 1% cream</t>
        </is>
      </c>
      <c r="H188" s="34" t="inlineStr">
        <is>
          <t>Triamcinolone acetonide 0.1% cream</t>
        </is>
      </c>
      <c r="I188" s="33" t="inlineStr">
        <is>
          <t>1</t>
        </is>
      </c>
      <c r="J188" s="34"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35" t="n"/>
      <c r="L188" s="34" t="inlineStr">
        <is>
          <t>Eczema &amp; Dermatitis</t>
        </is>
      </c>
      <c r="M188" s="35" t="inlineStr">
        <is>
          <t>Clinic</t>
        </is>
      </c>
      <c r="N188" s="34" t="inlineStr">
        <is>
          <t>ข้อ 97 (PLE_CC1_Key_Rx20_UBU.md)</t>
        </is>
      </c>
      <c r="O188" s="35" t="inlineStr">
        <is>
          <t>Mock</t>
        </is>
      </c>
      <c r="P188" s="35" t="inlineStr">
        <is>
          <t>Mock Rx20 UBU</t>
        </is>
      </c>
    </row>
    <row r="189" ht="13.2" customHeight="1" s="49">
      <c r="A189" s="33" t="n">
        <v>187</v>
      </c>
      <c r="B189" s="34" t="inlineStr">
        <is>
          <t>ข้อใดเป็นคำแนะนำที่ถูกต้องสำหรับผู้ป่วยที่เป็นสิวอักเสบระดับปานกลาง</t>
        </is>
      </c>
      <c r="C189" s="35" t="n"/>
      <c r="D189" s="34" t="inlineStr">
        <is>
          <t>หลีกเลี่ยงการบีบแกะสิว และล้างหน้าด้วยผลิตภัณฑ์สูตรอ่อนโยนวันละไม่เกิน 2 ครั้ง</t>
        </is>
      </c>
      <c r="E189" s="34" t="inlineStr">
        <is>
          <t>ควรขัดถูใบหน้าแรงๆ ทุกวันเพื่อขจัดสิ่งอุดตันในรูขุมขน</t>
        </is>
      </c>
      <c r="F189" s="34" t="inlineStr">
        <is>
          <t>งดการทาครีมกันแดดเพราะจะทำให้รูขุมขนอุดตันเสมอ</t>
        </is>
      </c>
      <c r="G189" s="34" t="inlineStr">
        <is>
          <t>หากใช้ยาทาแล้วมีอาการแสบลอก ให้ทายาปริมาณมากขึ้นเพื่อให้ผิวปรับตัว</t>
        </is>
      </c>
      <c r="H189" s="34" t="inlineStr">
        <is>
          <t>หยุดยาทันทีเมื่อตุ่มสิวยุบลงโดยไม่ต้องทายาป้องกันการเกิดซ้ำ</t>
        </is>
      </c>
      <c r="I189" s="33" t="n">
        <v>1</v>
      </c>
      <c r="J189" s="34"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35" t="n"/>
      <c r="L189" s="34" t="inlineStr">
        <is>
          <t>Acne</t>
        </is>
      </c>
      <c r="M189" s="35" t="inlineStr">
        <is>
          <t>Clinic</t>
        </is>
      </c>
      <c r="N189" s="34" t="inlineStr">
        <is>
          <t>ข้อ 5 (PLE_CC1_Key_Rx20_UBU.md)</t>
        </is>
      </c>
      <c r="O189" s="35" t="inlineStr">
        <is>
          <t>Mock</t>
        </is>
      </c>
      <c r="P189" s="35" t="inlineStr">
        <is>
          <t>Mock Rx20 UBU</t>
        </is>
      </c>
    </row>
    <row r="190" ht="13.2" customHeight="1" s="49">
      <c r="A190" s="33" t="n">
        <v>188</v>
      </c>
      <c r="B190" s="34"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35" t="n"/>
      <c r="D190" s="34" t="inlineStr">
        <is>
          <t>Ketoconazole 2% shampoo</t>
        </is>
      </c>
      <c r="E190" s="34" t="inlineStr">
        <is>
          <t>Benzoyl peroxide 2.5% gel</t>
        </is>
      </c>
      <c r="F190" s="34" t="inlineStr">
        <is>
          <t>Acyclovir 5% cream</t>
        </is>
      </c>
      <c r="G190" s="34" t="inlineStr">
        <is>
          <t>Silver sulfadiazine 1% cream</t>
        </is>
      </c>
      <c r="H190" s="34" t="inlineStr">
        <is>
          <t>Cetirizine 10 mg OD</t>
        </is>
      </c>
      <c r="I190" s="33" t="inlineStr">
        <is>
          <t>1</t>
        </is>
      </c>
      <c r="J190" s="34"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35" t="n"/>
      <c r="L190" s="34" t="inlineStr">
        <is>
          <t>Acne</t>
        </is>
      </c>
      <c r="M190" s="35" t="inlineStr">
        <is>
          <t>Clinic</t>
        </is>
      </c>
      <c r="N190" s="34" t="inlineStr">
        <is>
          <t>ข้อ 5 (PLE_CC1_Key_Rx20_UBU.md)</t>
        </is>
      </c>
      <c r="O190" s="35" t="inlineStr">
        <is>
          <t>Mock</t>
        </is>
      </c>
      <c r="P190" s="35" t="inlineStr">
        <is>
          <t>Mock Rx20 UBU</t>
        </is>
      </c>
    </row>
    <row r="191" ht="13.2" customHeight="1" s="49">
      <c r="A191" s="33" t="n">
        <v>189</v>
      </c>
      <c r="B191" s="34"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91" s="35" t="n"/>
      <c r="D191" s="34" t="inlineStr">
        <is>
          <t>Nystatin oral suspension</t>
        </is>
      </c>
      <c r="E191" s="34" t="inlineStr">
        <is>
          <t>Acyclovir tablet</t>
        </is>
      </c>
      <c r="F191" s="34" t="inlineStr">
        <is>
          <t>Metronidazole gel</t>
        </is>
      </c>
      <c r="G191" s="34" t="inlineStr">
        <is>
          <t>Amoxicillin dry syrup</t>
        </is>
      </c>
      <c r="H191" s="34" t="inlineStr">
        <is>
          <t>Hydrocortisone oral paste</t>
        </is>
      </c>
      <c r="I191" s="33" t="n">
        <v>1</v>
      </c>
      <c r="J191" s="34"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91" s="35" t="n"/>
      <c r="L191" s="34" t="inlineStr">
        <is>
          <t>Superficial fungal</t>
        </is>
      </c>
      <c r="M191" s="35" t="inlineStr">
        <is>
          <t>Clinic</t>
        </is>
      </c>
      <c r="N191" s="34" t="inlineStr">
        <is>
          <t>ข้อ 2 (PLE_CC1_Key_Rx20_UBU.md)</t>
        </is>
      </c>
      <c r="O191" s="35" t="inlineStr">
        <is>
          <t>Mock</t>
        </is>
      </c>
      <c r="P191" s="35" t="inlineStr">
        <is>
          <t>Mock Rx20 UBU</t>
        </is>
      </c>
    </row>
    <row r="192" ht="13.2" customHeight="1" s="49">
      <c r="A192" s="33" t="n">
        <v>190</v>
      </c>
      <c r="B192" s="34" t="inlineStr">
        <is>
          <t>ยาในข้อใดไม่สามารถนำมาใช้รักษาโรคกลากได้</t>
        </is>
      </c>
      <c r="C192" s="35" t="n"/>
      <c r="D192" s="34" t="inlineStr">
        <is>
          <t>Terbinafine 1% cream</t>
        </is>
      </c>
      <c r="E192" s="34" t="inlineStr">
        <is>
          <t>Adapalene 0.1% gel</t>
        </is>
      </c>
      <c r="F192" s="34" t="inlineStr">
        <is>
          <t>Mupirocin 2% ointment</t>
        </is>
      </c>
      <c r="G192" s="34" t="inlineStr">
        <is>
          <t>Betamethasone dipropionate 0.05% cream</t>
        </is>
      </c>
      <c r="H192" s="34" t="inlineStr">
        <is>
          <t>Clotrimazole 1% cream</t>
        </is>
      </c>
      <c r="I192" s="33" t="inlineStr">
        <is>
          <t>1</t>
        </is>
      </c>
      <c r="J192" s="34"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35" t="n"/>
      <c r="L192" s="34" t="inlineStr">
        <is>
          <t>Superficial fungal</t>
        </is>
      </c>
      <c r="M192" s="35" t="inlineStr">
        <is>
          <t>Clinic</t>
        </is>
      </c>
      <c r="N192" s="34" t="inlineStr">
        <is>
          <t>ข้อ 54 (PLE_CC1_Key_Rx20_UBU.md)</t>
        </is>
      </c>
      <c r="O192" s="35" t="inlineStr">
        <is>
          <t>Mock</t>
        </is>
      </c>
      <c r="P192" s="35" t="inlineStr">
        <is>
          <t>Mock Rx20 UBU</t>
        </is>
      </c>
    </row>
    <row r="193" ht="13.2" customHeight="1" s="49">
      <c r="A193" s="33" t="n">
        <v>191</v>
      </c>
      <c r="B193" s="34" t="inlineStr">
        <is>
          <t>ถ้าหากเพื่อนเป็นเกลื้อนยาในข้อใดใช้ไม่ได้ผล</t>
        </is>
      </c>
      <c r="C193" s="35" t="n"/>
      <c r="D193" s="34" t="inlineStr">
        <is>
          <t>Betamethasone dipropionate 0.05% cream</t>
        </is>
      </c>
      <c r="E193" s="34" t="inlineStr">
        <is>
          <t>Clotrimazole 1% cream</t>
        </is>
      </c>
      <c r="F193" s="34" t="inlineStr">
        <is>
          <t>Hydrocortisone 1% cream</t>
        </is>
      </c>
      <c r="G193" s="34" t="inlineStr">
        <is>
          <t>Triamcinolone acetonide 0.1% cream</t>
        </is>
      </c>
      <c r="H193" s="34" t="inlineStr">
        <is>
          <t>Clobetasol propionate 0.05% cream</t>
        </is>
      </c>
      <c r="I193" s="33" t="inlineStr">
        <is>
          <t>1</t>
        </is>
      </c>
      <c r="J193" s="34"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35" t="n"/>
      <c r="L193" s="34" t="inlineStr">
        <is>
          <t>Superficial fungal</t>
        </is>
      </c>
      <c r="M193" s="35" t="inlineStr">
        <is>
          <t>Clinic</t>
        </is>
      </c>
      <c r="N193" s="34" t="inlineStr">
        <is>
          <t>ข้อ 55 (PLE_CC1_Key_Rx20_UBU.md)</t>
        </is>
      </c>
      <c r="O193" s="35" t="inlineStr">
        <is>
          <t>Mock</t>
        </is>
      </c>
      <c r="P193" s="35" t="inlineStr">
        <is>
          <t>Mock Rx20 UBU</t>
        </is>
      </c>
    </row>
    <row r="194" ht="13.2" customHeight="1" s="49">
      <c r="A194" s="33" t="n">
        <v>192</v>
      </c>
      <c r="B194" s="34" t="inlineStr">
        <is>
          <t>ชั้นผิวหนังชั้นใดที่มีบทบาทเป็น Main barrier / Rate-limiting barrier ในการควบคุมการดูดซึมของยาทาเข้าสู่ผิวหนัง</t>
        </is>
      </c>
      <c r="C194" s="35" t="n"/>
      <c r="D194" s="34" t="inlineStr">
        <is>
          <t>Stratum corneum</t>
        </is>
      </c>
      <c r="E194" s="34" t="inlineStr">
        <is>
          <t>Stratum lucidum</t>
        </is>
      </c>
      <c r="F194" s="34" t="inlineStr">
        <is>
          <t>Stratum granulosum</t>
        </is>
      </c>
      <c r="G194" s="34" t="inlineStr">
        <is>
          <t>Stratum spinosum</t>
        </is>
      </c>
      <c r="H194" s="34" t="inlineStr">
        <is>
          <t>Dermis</t>
        </is>
      </c>
      <c r="I194" s="33" t="n">
        <v>1</v>
      </c>
      <c r="J194"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35" t="n"/>
      <c r="L194" s="34" t="inlineStr">
        <is>
          <t>Transdermal &amp; Topical</t>
        </is>
      </c>
      <c r="M194" s="35" t="inlineStr">
        <is>
          <t>Clinic</t>
        </is>
      </c>
      <c r="N194" s="34" t="inlineStr">
        <is>
          <t>ข้อ 67 (PLE_CC1_Key_Rx20_UBU.md)</t>
        </is>
      </c>
      <c r="O194" s="35" t="inlineStr">
        <is>
          <t>Mock</t>
        </is>
      </c>
      <c r="P194" s="35" t="inlineStr">
        <is>
          <t>Mock Rx20 UBU</t>
        </is>
      </c>
    </row>
    <row r="195" ht="13.2" customHeight="1" s="49">
      <c r="A195" s="33" t="n">
        <v>193</v>
      </c>
      <c r="B195" s="34" t="inlineStr">
        <is>
          <t>ชั้นผิวหนังชั้นใดที่มีบทบาทสำคัญที่สุดในการขัดขวางและจำกัดอัตราการดูดซึมยาผ่านผิวหนัง (Rate-limiting barrier / Major barrier)</t>
        </is>
      </c>
      <c r="C195" s="35" t="n"/>
      <c r="D195" s="34" t="inlineStr">
        <is>
          <t>Stratum corneum</t>
        </is>
      </c>
      <c r="E195" s="34" t="inlineStr">
        <is>
          <t>Stratum spinosum</t>
        </is>
      </c>
      <c r="F195" s="34" t="inlineStr">
        <is>
          <t>Stratum granulosum</t>
        </is>
      </c>
      <c r="G195" s="34" t="inlineStr">
        <is>
          <t>Stratum basale</t>
        </is>
      </c>
      <c r="H195" s="34" t="inlineStr">
        <is>
          <t>Dermis layer</t>
        </is>
      </c>
      <c r="I195" s="33" t="n">
        <v>1</v>
      </c>
      <c r="J195" s="34"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95" s="35" t="n"/>
      <c r="L195" s="34" t="inlineStr">
        <is>
          <t>Transdermal &amp; Topical</t>
        </is>
      </c>
      <c r="M195" s="35" t="inlineStr">
        <is>
          <t>Clinic</t>
        </is>
      </c>
      <c r="N195" s="34" t="inlineStr">
        <is>
          <t>ข้อ 84 (PLE_CC1_Key_Rx20_UBU.md)</t>
        </is>
      </c>
      <c r="O195" s="35" t="inlineStr">
        <is>
          <t>Mock</t>
        </is>
      </c>
      <c r="P195" s="35" t="inlineStr">
        <is>
          <t>Mock Rx20 UBU</t>
        </is>
      </c>
    </row>
    <row r="196" ht="13.2" customHeight="1" s="49">
      <c r="A196" s="33" t="n">
        <v>194</v>
      </c>
      <c r="B196" s="34" t="inlineStr">
        <is>
          <t>การปฐมพยาบาลเบื้องต$นที่เหมาะสมที่สุดสำหรับผู$ป&amp;วยรายนี้คือข$อใด</t>
        </is>
      </c>
      <c r="C196" s="35" t="n"/>
      <c r="D196" s="34" t="inlineStr">
        <is>
          <t>ใช$ยาสีฟ[นทา</t>
        </is>
      </c>
      <c r="E196" s="34" t="inlineStr">
        <is>
          <t>ราดด$วยน้ำมันมะกอก</t>
        </is>
      </c>
      <c r="F196" s="34" t="inlineStr">
        <is>
          <t>ล$างด$วยน้ำเย็น</t>
        </is>
      </c>
      <c r="G196" s="34" t="inlineStr">
        <is>
          <t>ล$างด$วยนำเย็นสลับกับน้ำอุGน</t>
        </is>
      </c>
      <c r="H196" s="34" t="inlineStr">
        <is>
          <t>ล$างด$วยน้ำอุGน</t>
        </is>
      </c>
      <c r="I196" s="33" t="n">
        <v>3</v>
      </c>
      <c r="J196" s="34" t="inlineStr">
        <is>
          <t>✅ คำตอบที่ถูกต้อง: ข้อ จ. ล$างด$วยน้ำอุGน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ล$างด$วยน้ำอุGน ล$างด$วยน้ำอุ G น ล$างด$วยน้ำอุ G น ล$างด$วยน้ำอุ G น ล$างด$วยน้ำอุ G น การเลือก ล$างด$วยน้ำอุ G 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35" t="n"/>
      <c r="L196" s="34" t="inlineStr">
        <is>
          <t>Wound</t>
        </is>
      </c>
      <c r="M196" s="35" t="inlineStr">
        <is>
          <t>Clinic</t>
        </is>
      </c>
      <c r="N196" s="34" t="inlineStr">
        <is>
          <t>ข้อ 1 (PLE_CC1_Key_Rx20_UBU.md)</t>
        </is>
      </c>
      <c r="O196" s="35" t="inlineStr">
        <is>
          <t>Mock</t>
        </is>
      </c>
      <c r="P196" s="35" t="inlineStr">
        <is>
          <t>Mock Rx20 UBU</t>
        </is>
      </c>
    </row>
    <row r="197" ht="13.2" customHeight="1" s="49">
      <c r="A197" s="33" t="n">
        <v>195</v>
      </c>
      <c r="B197" s="34" t="inlineStr">
        <is>
          <t>ตGอมาตุGมน้ำแตก ผู$ป&amp;วยควรทำความสะอาดแผลด$วยสารตGอไปนี้ ยกเว$นข$อใด</t>
        </is>
      </c>
      <c r="C197" s="35" t="n"/>
      <c r="D197" s="34" t="inlineStr">
        <is>
          <t>Rubbing alcohol</t>
        </is>
      </c>
      <c r="E197" s="34" t="inlineStr">
        <is>
          <t>Chlorhexidine</t>
        </is>
      </c>
      <c r="F197" s="34" t="inlineStr">
        <is>
          <t>Irrigated normal saline solution</t>
        </is>
      </c>
      <c r="G197" s="34" t="inlineStr">
        <is>
          <t>Acetic acid</t>
        </is>
      </c>
      <c r="H197" s="34" t="inlineStr">
        <is>
          <t>Povidone iodine</t>
        </is>
      </c>
      <c r="I197" s="33" t="inlineStr">
        <is>
          <t>1</t>
        </is>
      </c>
      <c r="J197" s="34"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35" t="n"/>
      <c r="L197" s="34" t="inlineStr">
        <is>
          <t>Wound</t>
        </is>
      </c>
      <c r="M197" s="35" t="inlineStr">
        <is>
          <t>Clinic</t>
        </is>
      </c>
      <c r="N197" s="34" t="inlineStr">
        <is>
          <t>ข้อ 3 (PLE_CC1_Key_Rx20_UBU.md)</t>
        </is>
      </c>
      <c r="O197" s="35" t="inlineStr">
        <is>
          <t>Mock</t>
        </is>
      </c>
      <c r="P197" s="35" t="inlineStr">
        <is>
          <t>Mock Rx20 UBU</t>
        </is>
      </c>
    </row>
    <row r="198" ht="13.2" customHeight="1" s="49">
      <c r="A198" s="33" t="n">
        <v>196</v>
      </c>
      <c r="B198" s="34" t="inlineStr">
        <is>
          <t>ตGอมาพบวGา ผู$ป&amp;วยมีตุGมหนองเกิดขึ้นบริเวณแผล เชื้อสาเหตุที่พบได$บGอยที่สุดคือข$อใด</t>
        </is>
      </c>
      <c r="C198" s="35" t="n"/>
      <c r="D198" s="34" t="inlineStr">
        <is>
          <t>Streptococcus pyogenes</t>
        </is>
      </c>
      <c r="E198" s="34" t="inlineStr">
        <is>
          <t>Streptococcus pneumoniae</t>
        </is>
      </c>
      <c r="F198" s="34" t="inlineStr">
        <is>
          <t>Staphylococcus aureus</t>
        </is>
      </c>
      <c r="G198" s="34" t="inlineStr">
        <is>
          <t>Staphylococcus epidemidis</t>
        </is>
      </c>
      <c r="H198" s="34" t="inlineStr">
        <is>
          <t>Escherichia coli</t>
        </is>
      </c>
      <c r="I198" s="33" t="inlineStr">
        <is>
          <t>3</t>
        </is>
      </c>
      <c r="J198" s="34"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35" t="n"/>
      <c r="L198" s="34" t="inlineStr">
        <is>
          <t>Wound</t>
        </is>
      </c>
      <c r="M198" s="35" t="inlineStr">
        <is>
          <t>Clinic</t>
        </is>
      </c>
      <c r="N198" s="34" t="inlineStr">
        <is>
          <t>ข้อ 5 (PLE_CC1_Key_Rx20_UBU.md)</t>
        </is>
      </c>
      <c r="O198" s="35" t="inlineStr">
        <is>
          <t>Mock</t>
        </is>
      </c>
      <c r="P198" s="35" t="inlineStr">
        <is>
          <t>Mock Rx20 UBU</t>
        </is>
      </c>
    </row>
    <row r="199" ht="13.2" customHeight="1" s="49">
      <c r="A199" s="33" t="n">
        <v>197</v>
      </c>
      <c r="B199" s="34" t="inlineStr">
        <is>
          <t>ผู$ป&amp;วยควรได$รับยาปฏิชีวนะชนิดรับประทานตามข$อใด</t>
        </is>
      </c>
      <c r="C199" s="35" t="n"/>
      <c r="D199" s="34" t="inlineStr">
        <is>
          <t>Doxycycline</t>
        </is>
      </c>
      <c r="E199" s="34" t="inlineStr">
        <is>
          <t>Chloramphenicol</t>
        </is>
      </c>
      <c r="F199" s="34" t="inlineStr">
        <is>
          <t>Sulfacillin 250mg podlD ย 2 yน น</t>
        </is>
      </c>
      <c r="G199" s="34" t="inlineStr">
        <is>
          <t>Dicloxacillin</t>
        </is>
      </c>
      <c r="H199" s="34" t="inlineStr">
        <is>
          <t>Clindamycin 150 →ออmg po QlDEE 2 yน x.</t>
        </is>
      </c>
      <c r="I199" s="33" t="inlineStr">
        <is>
          <t>1</t>
        </is>
      </c>
      <c r="J199" s="34"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35" t="n"/>
      <c r="L199" s="34" t="inlineStr">
        <is>
          <t>Superficial fungal</t>
        </is>
      </c>
      <c r="M199" s="35" t="inlineStr">
        <is>
          <t>Clinic</t>
        </is>
      </c>
      <c r="N199" s="34" t="inlineStr">
        <is>
          <t>ข้อ 6 (PLE_CC1_Key_Rx20_UBU.md)</t>
        </is>
      </c>
      <c r="O199" s="35" t="inlineStr">
        <is>
          <t>Mock</t>
        </is>
      </c>
      <c r="P199" s="35" t="inlineStr">
        <is>
          <t>Mock Rx20 UBU</t>
        </is>
      </c>
    </row>
    <row r="200" ht="13.2" customHeight="1" s="49">
      <c r="A200" s="33" t="n">
        <v>198</v>
      </c>
      <c r="B200" s="34" t="inlineStr">
        <is>
          <t>ภายหลังมีการนำเอาหนองจากแผลของผู$ป&amp;วยไปเพาะเชื้อพบวGา MRSA positive ควรเลือกใช$ยาปฏิชีวนะชนิดใช$เฉพาะที่ในข$อใด</t>
        </is>
      </c>
      <c r="C200" s="35" t="n"/>
      <c r="D200" s="34" t="inlineStr">
        <is>
          <t>Bacitracin</t>
        </is>
      </c>
      <c r="E200" s="34" t="inlineStr">
        <is>
          <t>Polymyxin</t>
        </is>
      </c>
      <c r="F200" s="34" t="inlineStr">
        <is>
          <t>Neomycin</t>
        </is>
      </c>
      <c r="G200" s="34" t="inlineStr">
        <is>
          <t>Mupirocin</t>
        </is>
      </c>
      <c r="H200" s="34" t="inlineStr">
        <is>
          <t>Chloramphenicol</t>
        </is>
      </c>
      <c r="I200" s="33" t="inlineStr">
        <is>
          <t>4</t>
        </is>
      </c>
      <c r="J200" s="34"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35" t="n"/>
      <c r="L200" s="34" t="inlineStr">
        <is>
          <t>Wound</t>
        </is>
      </c>
      <c r="M200" s="35" t="inlineStr">
        <is>
          <t>Clinic</t>
        </is>
      </c>
      <c r="N200" s="34" t="inlineStr">
        <is>
          <t>ข้อ 7 (PLE_CC1_Key_Rx20_UBU.md)</t>
        </is>
      </c>
      <c r="O200" s="35" t="inlineStr">
        <is>
          <t>Mock</t>
        </is>
      </c>
      <c r="P200" s="35" t="inlineStr">
        <is>
          <t>Mock Rx20 UBU</t>
        </is>
      </c>
    </row>
    <row r="201" ht="13.2" customHeight="1" s="49">
      <c r="A201" s="33" t="n">
        <v>199</v>
      </c>
      <c r="B201" s="34"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35" t="n"/>
      <c r="D201" s="34" t="inlineStr">
        <is>
          <t>Isotretinoin 10 mg OD</t>
        </is>
      </c>
      <c r="E201" s="34" t="inlineStr">
        <is>
          <t>Terbinafine 1% cream</t>
        </is>
      </c>
      <c r="F201" s="34" t="inlineStr">
        <is>
          <t>Adapalene 0.1% gel</t>
        </is>
      </c>
      <c r="G201" s="34" t="inlineStr">
        <is>
          <t>Mupirocin 2% ointment</t>
        </is>
      </c>
      <c r="H201" s="34" t="inlineStr">
        <is>
          <t>Betamethasone dipropionate 0.05% cream</t>
        </is>
      </c>
      <c r="I201" s="33" t="inlineStr">
        <is>
          <t>1</t>
        </is>
      </c>
      <c r="J201" s="34"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35" t="n"/>
      <c r="L201" s="34" t="inlineStr">
        <is>
          <t>Urticaria &amp; Angioedema</t>
        </is>
      </c>
      <c r="M201" s="35" t="inlineStr">
        <is>
          <t>Clinic</t>
        </is>
      </c>
      <c r="N201" s="34" t="inlineStr">
        <is>
          <t>ข้อ 78 (PLE_CC1_Key_Rx20_UBU.md)</t>
        </is>
      </c>
      <c r="O201" s="35" t="inlineStr">
        <is>
          <t>Mock</t>
        </is>
      </c>
      <c r="P201" s="35" t="inlineStr">
        <is>
          <t>Mock Rx20 UBU</t>
        </is>
      </c>
    </row>
    <row r="202" ht="13.2" customHeight="1" s="49">
      <c r="A202" s="33" t="n">
        <v>200</v>
      </c>
      <c r="B202" s="34" t="inlineStr">
        <is>
          <t>ลักษณะสิวข$างต$นจัดอยูGในความรุนแรงระดับใด</t>
        </is>
      </c>
      <c r="C202" s="35" t="n"/>
      <c r="D202" s="34" t="inlineStr">
        <is>
          <t>Mupirocin 2% ointment</t>
        </is>
      </c>
      <c r="E202" s="34" t="inlineStr">
        <is>
          <t>Betamethasone dipropionate 0.05% cream</t>
        </is>
      </c>
      <c r="F202" s="34" t="inlineStr">
        <is>
          <t>Clotrimazole 1% cream</t>
        </is>
      </c>
      <c r="G202" s="34" t="inlineStr">
        <is>
          <t>Hydrocortisone 1% cream</t>
        </is>
      </c>
      <c r="H202" s="34" t="inlineStr">
        <is>
          <t>Triamcinolone acetonide 0.1% cream</t>
        </is>
      </c>
      <c r="I202" s="33" t="inlineStr">
        <is>
          <t>1</t>
        </is>
      </c>
      <c r="J202" s="34"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35" t="n"/>
      <c r="L202" s="34" t="inlineStr">
        <is>
          <t>Acne</t>
        </is>
      </c>
      <c r="M202" s="35" t="inlineStr">
        <is>
          <t>Clinic</t>
        </is>
      </c>
      <c r="N202" s="34" t="inlineStr">
        <is>
          <t>ข้อ 1 (PLE_CC1_Key_Rx20_UBU.md)</t>
        </is>
      </c>
      <c r="O202" s="35" t="inlineStr">
        <is>
          <t>Mock</t>
        </is>
      </c>
      <c r="P202" s="35" t="inlineStr">
        <is>
          <t>Mock Rx20 UBU</t>
        </is>
      </c>
    </row>
    <row r="203" ht="13.2" customHeight="1" s="49">
      <c r="A203" s="33" t="n">
        <v>201</v>
      </c>
      <c r="B203" s="34" t="inlineStr">
        <is>
          <t>ผู้ป่วยวัยรุ่นมีสิวอุดตันเป็นหลัก (Comedonal acne) ยาทาชนิดใดที่เลือกใช้เป็นอันดับแรก (First-line topical monotherapy)</t>
        </is>
      </c>
      <c r="C203" s="35" t="n"/>
      <c r="D203" s="34" t="inlineStr">
        <is>
          <t>Topical Retinoid (เช่น Adapalene หรือ Tretinoin)</t>
        </is>
      </c>
      <c r="E203" s="34" t="inlineStr">
        <is>
          <t>Topical Clindamycin gel เดี่ยวๆ</t>
        </is>
      </c>
      <c r="F203" s="34" t="inlineStr">
        <is>
          <t>Oral Doxycycline</t>
        </is>
      </c>
      <c r="G203" s="34" t="inlineStr">
        <is>
          <t>Oral Isotretinoin</t>
        </is>
      </c>
      <c r="H203" s="34" t="inlineStr">
        <is>
          <t>Hydrocortisone 1% cream</t>
        </is>
      </c>
      <c r="I203" s="33" t="n">
        <v>1</v>
      </c>
      <c r="J203" s="34"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35" t="n"/>
      <c r="L203" s="34" t="inlineStr">
        <is>
          <t>Acne</t>
        </is>
      </c>
      <c r="M203" s="35" t="inlineStr">
        <is>
          <t>Clinic</t>
        </is>
      </c>
      <c r="N203" s="34" t="inlineStr">
        <is>
          <t>ข้อ 2 (PLE_CC1_Key_Rx20_UBU.md)</t>
        </is>
      </c>
      <c r="O203" s="35" t="inlineStr">
        <is>
          <t>Mock</t>
        </is>
      </c>
      <c r="P203" s="35" t="inlineStr">
        <is>
          <t>Mock Rx20 UBU</t>
        </is>
      </c>
    </row>
    <row r="204" ht="13.2" customHeight="1" s="49">
      <c r="A204" s="33" t="n">
        <v>202</v>
      </c>
      <c r="B204" s="34" t="inlineStr">
        <is>
          <t>เชื้อแบคทีเรียประจำถิ่นที่เจริญในรูขุมขนและมีบทบาทสำคัญในการกระตุ้นการอักเสบของสิว (Acne vulgaris) คือเชื้อใด</t>
        </is>
      </c>
      <c r="C204" s="35" t="n"/>
      <c r="D204" s="34" t="inlineStr">
        <is>
          <t>Cutibacterium acnes (Propionibacterium acnes)</t>
        </is>
      </c>
      <c r="E204" s="34" t="inlineStr">
        <is>
          <t>Staphylococcus epidermidis</t>
        </is>
      </c>
      <c r="F204" s="34" t="inlineStr">
        <is>
          <t>Malassezia furfur</t>
        </is>
      </c>
      <c r="G204" s="34" t="inlineStr">
        <is>
          <t>Streptococcus pyogenes</t>
        </is>
      </c>
      <c r="H204" s="34" t="inlineStr">
        <is>
          <t>Pseudomonas aeruginosa</t>
        </is>
      </c>
      <c r="I204" s="33" t="n">
        <v>1</v>
      </c>
      <c r="J204" s="34"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204" s="35" t="n"/>
      <c r="L204" s="34" t="inlineStr">
        <is>
          <t>Acne</t>
        </is>
      </c>
      <c r="M204" s="35" t="inlineStr">
        <is>
          <t>Clinic</t>
        </is>
      </c>
      <c r="N204" s="34" t="inlineStr">
        <is>
          <t>ข้อ 3 (PLE_CC1_Key_Rx20_UBU.md)</t>
        </is>
      </c>
      <c r="O204" s="35" t="inlineStr">
        <is>
          <t>Mock</t>
        </is>
      </c>
      <c r="P204" s="35" t="inlineStr">
        <is>
          <t>Mock Rx20 UBU</t>
        </is>
      </c>
    </row>
    <row r="205" ht="13.2" customHeight="1" s="49">
      <c r="A205" s="33" t="n">
        <v>203</v>
      </c>
      <c r="B205" s="34"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205" s="35" t="n"/>
      <c r="D205" s="34" t="inlineStr">
        <is>
          <t>สิวระดับปานกลาง (Moderate acne)</t>
        </is>
      </c>
      <c r="E205" s="34" t="inlineStr">
        <is>
          <t>สิวระดับเล็กน้อย (Mild acne)</t>
        </is>
      </c>
      <c r="F205" s="34" t="inlineStr">
        <is>
          <t>สิวระดับรุนแรง (Severe acne)</t>
        </is>
      </c>
      <c r="G205" s="34" t="inlineStr">
        <is>
          <t>สิวหัวช้าง (Nodulocystic acne)</t>
        </is>
      </c>
      <c r="H205" s="34" t="inlineStr">
        <is>
          <t>สิวที่เกิดจากยา (Drug-induced acne)</t>
        </is>
      </c>
      <c r="I205" s="33" t="n">
        <v>1</v>
      </c>
      <c r="J205" s="34"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205" s="35" t="n"/>
      <c r="L205" s="34" t="inlineStr">
        <is>
          <t>Acne</t>
        </is>
      </c>
      <c r="M205" s="35" t="inlineStr">
        <is>
          <t>Clinic</t>
        </is>
      </c>
      <c r="N205" s="34" t="inlineStr">
        <is>
          <t>ข้อ 4 (PLE_CC1_Key_Rx20_UBU.md)</t>
        </is>
      </c>
      <c r="O205" s="35" t="inlineStr">
        <is>
          <t>Mock</t>
        </is>
      </c>
      <c r="P205" s="35" t="inlineStr">
        <is>
          <t>Mock Rx20 UBU</t>
        </is>
      </c>
    </row>
    <row r="206" ht="13.2" customHeight="1" s="49">
      <c r="A206" s="33" t="n">
        <v>204</v>
      </c>
      <c r="B206" s="34" t="inlineStr">
        <is>
          <t>ข้อใดไม่ถูกต้องเกี่ยวกับยา Isotretinoin ชนิดรับประทานในการรักษาสิว</t>
        </is>
      </c>
      <c r="C206" s="35" t="n"/>
      <c r="D206" s="34" t="inlineStr">
        <is>
          <t>สามารถจ่ายให้กับหญิงวัยเจริญพันธุ์ได้ทันทีโดยไม่ต้องตรวจการตั้งครรภ์หรือคุมกำเนิด</t>
        </is>
      </c>
      <c r="E206" s="34" t="inlineStr">
        <is>
          <t>ควรรับประทานพร้อมอาหารหรือหลังอาหารทันทีเพื่อเพิ่มการดูดซึม</t>
        </is>
      </c>
      <c r="F206" s="34" t="inlineStr">
        <is>
          <t>ผลข้างเคียงเด่นคือ ริมฝีปากแห้ง ผิวแห้ง ตาแห้ง และเยื่อบุแห้ง</t>
        </is>
      </c>
      <c r="G206" s="34" t="inlineStr">
        <is>
          <t>อาจทำให้ระดับไตรกลีเซอไรด์และเอนไซม์การทำงานของตับในเลือดสูงขึ้นได้</t>
        </is>
      </c>
      <c r="H206" s="34" t="inlineStr">
        <is>
          <t>มีข้อห้ามใช้ร่วมกับยากลุ่ม Tetracyclines เนื่องจากเสี่ยงต่อภาวะ Pseudotumor cerebri</t>
        </is>
      </c>
      <c r="I206" s="33" t="n">
        <v>1</v>
      </c>
      <c r="J206" s="34"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35" t="n"/>
      <c r="L206" s="34" t="inlineStr">
        <is>
          <t>Acne</t>
        </is>
      </c>
      <c r="M206" s="35" t="inlineStr">
        <is>
          <t>Clinic</t>
        </is>
      </c>
      <c r="N206" s="34" t="inlineStr">
        <is>
          <t>ข้อ 6 (PLE_CC1_Key_Rx20_UBU.md)</t>
        </is>
      </c>
      <c r="O206" s="35" t="inlineStr">
        <is>
          <t>Mock</t>
        </is>
      </c>
      <c r="P206" s="35" t="inlineStr">
        <is>
          <t>Mock Rx20 UBU</t>
        </is>
      </c>
    </row>
    <row r="207" ht="13.2" customHeight="1" s="49">
      <c r="A207" s="33" t="n">
        <v>205</v>
      </c>
      <c r="B207" s="34"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207" s="35" t="n"/>
      <c r="D207" s="34" t="inlineStr">
        <is>
          <t>Pseudomonas aeruginosa</t>
        </is>
      </c>
      <c r="E207" s="34" t="inlineStr">
        <is>
          <t>Cutibacterium acnes</t>
        </is>
      </c>
      <c r="F207" s="34" t="inlineStr">
        <is>
          <t>Malassezia furfur</t>
        </is>
      </c>
      <c r="G207" s="34" t="inlineStr">
        <is>
          <t>Trichophyton rubrum</t>
        </is>
      </c>
      <c r="H207" s="34" t="inlineStr">
        <is>
          <t>Sarcoptes scabiei</t>
        </is>
      </c>
      <c r="I207" s="33" t="n">
        <v>1</v>
      </c>
      <c r="J207" s="34"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35" t="n"/>
      <c r="L207" s="34" t="inlineStr">
        <is>
          <t>Infectious Diseases</t>
        </is>
      </c>
      <c r="M207" s="35" t="inlineStr">
        <is>
          <t>Clinic</t>
        </is>
      </c>
      <c r="N207" s="34" t="inlineStr">
        <is>
          <t>ข้อ 25 (PLE_CC1_Key_Rx20_UBU.md)</t>
        </is>
      </c>
      <c r="O207" s="35" t="inlineStr">
        <is>
          <t>Mock</t>
        </is>
      </c>
      <c r="P207" s="35" t="inlineStr">
        <is>
          <t>Mock Rx20 UBU</t>
        </is>
      </c>
    </row>
    <row r="208" ht="13.2" customHeight="1" s="49">
      <c r="A208" s="33" t="n">
        <v>206</v>
      </c>
      <c r="B208" s="34"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208" s="35" t="n"/>
      <c r="D208" s="34" t="inlineStr">
        <is>
          <t>ยาอันตราย</t>
        </is>
      </c>
      <c r="E208" s="34" t="inlineStr">
        <is>
          <t>ยาควบคุมพิเศษ</t>
        </is>
      </c>
      <c r="F208" s="34" t="inlineStr">
        <is>
          <t>ยาสามัญประจำบ้านแผนปัจจุบัน</t>
        </is>
      </c>
      <c r="G208" s="34" t="inlineStr">
        <is>
          <t>ยาบรรจุเสร็จที่ไม่ใช่ยาอันตราย</t>
        </is>
      </c>
      <c r="H208" s="34" t="inlineStr">
        <is>
          <t>วัตถุออกฤทธิ์ต่อจิตและประสาทประเภท 4</t>
        </is>
      </c>
      <c r="I208" s="33" t="n">
        <v>1</v>
      </c>
      <c r="J208" s="34"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35" t="n"/>
      <c r="L208" s="34" t="inlineStr">
        <is>
          <t>Regulatory &amp; Quality</t>
        </is>
      </c>
      <c r="M208" s="35" t="inlineStr">
        <is>
          <t>Clinic</t>
        </is>
      </c>
      <c r="N208" s="34" t="inlineStr">
        <is>
          <t>ข้อ 3 (PLE_CC1_Key_Rx20_UBU.md)</t>
        </is>
      </c>
      <c r="O208" s="35" t="inlineStr">
        <is>
          <t>Mock</t>
        </is>
      </c>
      <c r="P208" s="35" t="inlineStr">
        <is>
          <t>Mock Rx20 UBU</t>
        </is>
      </c>
    </row>
    <row r="209" ht="13.2" customHeight="1" s="49">
      <c r="A209" s="33" t="n">
        <v>207</v>
      </c>
      <c r="B209" s="34"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209" s="35" t="n"/>
      <c r="D209" s="34" t="inlineStr">
        <is>
          <t>ไม่เกิน 1 มิลลิลิตร</t>
        </is>
      </c>
      <c r="E209" s="34" t="inlineStr">
        <is>
          <t>ไม่เกิน 2 ถึง 5 มิลลิลิตร (ขึ้นกับขนาดกล้ามเนื้อ)</t>
        </is>
      </c>
      <c r="F209" s="34" t="inlineStr">
        <is>
          <t>ไม่เกิน 10 มิลลิลิตร</t>
        </is>
      </c>
      <c r="G209" s="34" t="inlineStr">
        <is>
          <t>ไม่เกิน 15 มิลลิลิตร</t>
        </is>
      </c>
      <c r="H209" s="34" t="inlineStr">
        <is>
          <t>ไม่จำกัดปริมาตรหากฉีดช้าๆ</t>
        </is>
      </c>
      <c r="I209" s="33" t="n">
        <v>2</v>
      </c>
      <c r="J209" s="34"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35" t="n"/>
      <c r="L209" s="34" t="inlineStr">
        <is>
          <t>Pharmaceutics</t>
        </is>
      </c>
      <c r="M209" s="35" t="inlineStr">
        <is>
          <t>Clinic</t>
        </is>
      </c>
      <c r="N209" s="34" t="inlineStr">
        <is>
          <t>ข้อ 5 (PLE_CC1_Key_Rx20_UBU.md)</t>
        </is>
      </c>
      <c r="O209" s="35" t="inlineStr">
        <is>
          <t>Mock</t>
        </is>
      </c>
      <c r="P209" s="35" t="inlineStr">
        <is>
          <t>Mock Rx20 UBU</t>
        </is>
      </c>
    </row>
    <row r="210" ht="13.2" customHeight="1" s="49">
      <c r="A210" s="33" t="n">
        <v>208</v>
      </c>
      <c r="B210" s="34" t="inlineStr">
        <is>
          <t>ข$อใดไมGใชGวิธีการปฐมพยาบาลเบื้องต$นที่เหมาะสม</t>
        </is>
      </c>
      <c r="C210" s="35" t="n"/>
      <c r="D210" s="34" t="inlineStr">
        <is>
          <t>ล$างแผลด$วยน้ำสบูGปริมาณมาก</t>
        </is>
      </c>
      <c r="E210" s="34" t="inlineStr">
        <is>
          <t>เช็ดแผลด$วย Chlorhexidine</t>
        </is>
      </c>
      <c r="F210" s="34" t="inlineStr">
        <is>
          <t>เช็ดแผลด$วย Rubbing alcohol</t>
        </is>
      </c>
      <c r="G210" s="34" t="inlineStr">
        <is>
          <t>ทานยาแก$ปวด Paracetamol ได$ตามสมควร</t>
        </is>
      </c>
      <c r="H210" s="34" t="inlineStr">
        <is>
          <t>ทาครีม Clindamycin เพื่อฆGาเชื้อแบคทีเรีย (จากแนวทางการดำเนินงานปนองกันควบคุมโรคพิษสุนัขบ$า 2560)</t>
        </is>
      </c>
      <c r="I210" s="33" t="inlineStr">
        <is>
          <t>2</t>
        </is>
      </c>
      <c r="J210" s="34"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35" t="n"/>
      <c r="L210" s="34" t="inlineStr">
        <is>
          <t>Superficial fungal</t>
        </is>
      </c>
      <c r="M210" s="35" t="inlineStr">
        <is>
          <t>Clinic</t>
        </is>
      </c>
      <c r="N210" s="34" t="inlineStr">
        <is>
          <t>ข้อ 92 (PLE_CC1_Key_Rx20_UBU.md)</t>
        </is>
      </c>
      <c r="O210" s="35" t="inlineStr">
        <is>
          <t>Mock</t>
        </is>
      </c>
      <c r="P210" s="35" t="inlineStr">
        <is>
          <t>Mock Rx20 UBU</t>
        </is>
      </c>
    </row>
    <row r="211" ht="13.2" customHeight="1" s="49">
      <c r="A211" s="33" t="n">
        <v>209</v>
      </c>
      <c r="B211" s="34" t="inlineStr">
        <is>
          <t>ปัจจัยใดน่าจะเป็นสาเหตุที่ทำให้ผู้ป่วยเป็นโรคดังกล่าวมากที่สุด</t>
        </is>
      </c>
      <c r="C211" s="35" t="n"/>
      <c r="D211" s="34" t="inlineStr">
        <is>
          <t>ใส่เสื้อผ้าอับชื้น</t>
        </is>
      </c>
      <c r="E211" s="34" t="inlineStr">
        <is>
          <t>น้ำที่ใช้อาบไม่สะอาด</t>
        </is>
      </c>
      <c r="F211" s="34" t="inlineStr">
        <is>
          <t>เคยเป็นเริมที่ผิวหนัง</t>
        </is>
      </c>
      <c r="G211" s="34" t="inlineStr">
        <is>
          <t>สูบบุหรี่</t>
        </is>
      </c>
      <c r="H211" s="34" t="inlineStr">
        <is>
          <t>โรคความดันโลหิตสูง ตอบ ก. ใส่เสื้อผ้าอับชื้น</t>
        </is>
      </c>
      <c r="I211" s="33" t="inlineStr">
        <is>
          <t>1</t>
        </is>
      </c>
      <c r="J211" s="34"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5" t="n"/>
      <c r="L211" s="34" t="inlineStr">
        <is>
          <t>Superficial fungal</t>
        </is>
      </c>
      <c r="M211" s="35" t="inlineStr">
        <is>
          <t>Clinic</t>
        </is>
      </c>
      <c r="N211" s="34" t="inlineStr">
        <is>
          <t>ข้อ 2 (PLE_CC1_Key_Rx20_UBU.md)</t>
        </is>
      </c>
      <c r="O211" s="35" t="inlineStr">
        <is>
          <t>Mock</t>
        </is>
      </c>
      <c r="P211" s="35" t="inlineStr">
        <is>
          <t>Mock Rx20 UBU</t>
        </is>
      </c>
    </row>
    <row r="212" ht="13.2" customHeight="1" s="49">
      <c r="A212" s="33" t="n">
        <v>210</v>
      </c>
      <c r="B212" s="34" t="inlineStr">
        <is>
          <t>ยาที่ผู้ป่วยควรได้รับ</t>
        </is>
      </c>
      <c r="C212" s="35" t="n"/>
      <c r="D212" s="34" t="inlineStr">
        <is>
          <t>Griseofluvin</t>
        </is>
      </c>
      <c r="E212" s="34" t="inlineStr">
        <is>
          <t>Itraconazole</t>
        </is>
      </c>
      <c r="F212" s="34" t="inlineStr">
        <is>
          <t>Ketoclonazole</t>
        </is>
      </c>
      <c r="G212" s="34" t="inlineStr">
        <is>
          <t>Teribinafine</t>
        </is>
      </c>
      <c r="H212" s="34" t="inlineStr">
        <is>
          <t>Benzyl benzoate ตอบ ข. Itraconazole</t>
        </is>
      </c>
      <c r="I212" s="33" t="inlineStr">
        <is>
          <t>1</t>
        </is>
      </c>
      <c r="J212"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35" t="n"/>
      <c r="L212" s="34" t="inlineStr">
        <is>
          <t>Superficial fungal</t>
        </is>
      </c>
      <c r="M212" s="35" t="inlineStr">
        <is>
          <t>Clinic</t>
        </is>
      </c>
      <c r="N212" s="34" t="inlineStr">
        <is>
          <t>ข้อ 3 (PLE_CC1_Key_Rx20_UBU.md)</t>
        </is>
      </c>
      <c r="O212" s="35" t="inlineStr">
        <is>
          <t>Mock</t>
        </is>
      </c>
      <c r="P212" s="35" t="inlineStr">
        <is>
          <t>Mock Rx20 UBU</t>
        </is>
      </c>
    </row>
    <row r="213" ht="13.2" customHeight="1" s="49">
      <c r="A213" s="33" t="n">
        <v>211</v>
      </c>
      <c r="B213" s="34" t="inlineStr">
        <is>
          <t>ยาใดมีพิษต่อตับมากที่สุด</t>
        </is>
      </c>
      <c r="C213" s="35" t="n"/>
      <c r="D213" s="34" t="inlineStr">
        <is>
          <t>Griseofluvin</t>
        </is>
      </c>
      <c r="E213" s="34" t="inlineStr">
        <is>
          <t>Itraconazole</t>
        </is>
      </c>
      <c r="F213" s="34" t="inlineStr">
        <is>
          <t>Ketoclonazole</t>
        </is>
      </c>
      <c r="G213" s="34" t="inlineStr">
        <is>
          <t>Terbenafine</t>
        </is>
      </c>
      <c r="H213" s="34" t="inlineStr">
        <is>
          <t>… ตอบ ค. Ketoclonazole</t>
        </is>
      </c>
      <c r="I213" s="33" t="inlineStr">
        <is>
          <t>1</t>
        </is>
      </c>
      <c r="J213" s="34"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อันดับแรกในระดับสากล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5" t="n"/>
      <c r="L213" s="34" t="inlineStr">
        <is>
          <t>Superficial fungal</t>
        </is>
      </c>
      <c r="M213" s="35" t="inlineStr">
        <is>
          <t>Clinic</t>
        </is>
      </c>
      <c r="N213" s="34" t="inlineStr">
        <is>
          <t>ข้อ 6 (PLE_CC1_Key_Rx20_UBU.md)</t>
        </is>
      </c>
      <c r="O213" s="35" t="inlineStr">
        <is>
          <t>Mock</t>
        </is>
      </c>
      <c r="P213" s="35" t="inlineStr">
        <is>
          <t>Mock Rx20 UBU</t>
        </is>
      </c>
    </row>
    <row r="214" ht="13.2" customHeight="1" s="49">
      <c r="A214" s="33" t="n">
        <v>212</v>
      </c>
      <c r="B214" s="34"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214" s="35" t="n"/>
      <c r="D214" s="34" t="inlineStr">
        <is>
          <t>Measles (โรคหัด)</t>
        </is>
      </c>
      <c r="E214" s="34" t="inlineStr">
        <is>
          <t>Rubella (หัดเยอรมัน)</t>
        </is>
      </c>
      <c r="F214" s="34" t="inlineStr">
        <is>
          <t>Chickenpox (อีสุกอีใส)</t>
        </is>
      </c>
      <c r="G214" s="34" t="inlineStr">
        <is>
          <t>Roseola infantum</t>
        </is>
      </c>
      <c r="H214" s="34" t="inlineStr">
        <is>
          <t>Scarlet fever</t>
        </is>
      </c>
      <c r="I214" s="33" t="n">
        <v>1</v>
      </c>
      <c r="J214" s="34" t="inlineStr">
        <is>
          <t>✅ คำตอบที่ถูกต้อง: ข้อ ง. Isotretinoin 10 mg OD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35" t="n"/>
      <c r="L214" s="34" t="inlineStr">
        <is>
          <t>Viral Skin Infection</t>
        </is>
      </c>
      <c r="M214" s="35" t="inlineStr">
        <is>
          <t>Clinic</t>
        </is>
      </c>
      <c r="N214" s="34" t="inlineStr">
        <is>
          <t>ข้อ 5 (PLE_CC1_Key_Rx20_UBU.md)</t>
        </is>
      </c>
      <c r="O214" s="35" t="inlineStr">
        <is>
          <t>Mock</t>
        </is>
      </c>
      <c r="P214" s="35" t="inlineStr">
        <is>
          <t>Mock Rx20 UBU</t>
        </is>
      </c>
    </row>
    <row r="215" ht="13.2" customHeight="1" s="49">
      <c r="A215" s="33" t="n">
        <v>213</v>
      </c>
      <c r="B215" s="34" t="inlineStr">
        <is>
          <t>Norfloxacin ต่อมาผู้ป่วยมีอาการตกขาวซ้ำ มีอาการคัน แพทยวินิจฉัย เป็นตกขาวจากเชื้อรา จึงได้สั่งจายยา fluconazole ให้</t>
        </is>
      </c>
      <c r="C215" s="35" t="n"/>
      <c r="D215" s="34" t="inlineStr">
        <is>
          <t>Isotretinoin 10 mg OD</t>
        </is>
      </c>
      <c r="E215" s="34" t="inlineStr">
        <is>
          <t>Terbinafine 1% cream</t>
        </is>
      </c>
      <c r="F215" s="34" t="inlineStr">
        <is>
          <t>Adapalene 0.1% gel</t>
        </is>
      </c>
      <c r="G215" s="34" t="inlineStr">
        <is>
          <t>Mupirocin 2% ointment</t>
        </is>
      </c>
      <c r="H215" s="34" t="inlineStr">
        <is>
          <t>Betamethasone dipropionate 0.05% cream</t>
        </is>
      </c>
      <c r="I215" s="33" t="inlineStr">
        <is>
          <t>5</t>
        </is>
      </c>
      <c r="J215" s="34"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5" t="n"/>
      <c r="L215" s="34" t="inlineStr">
        <is>
          <t>Superficial fungal</t>
        </is>
      </c>
      <c r="M215" s="35" t="inlineStr">
        <is>
          <t>Clinic</t>
        </is>
      </c>
      <c r="N215" s="34" t="inlineStr">
        <is>
          <t>ข้อ 5 (PLE_CC1_Key_Rx20_UBU.md)</t>
        </is>
      </c>
      <c r="O215" s="35" t="inlineStr">
        <is>
          <t>Mock</t>
        </is>
      </c>
      <c r="P215" s="35" t="inlineStr">
        <is>
          <t>Mock Rx20 UBU</t>
        </is>
      </c>
    </row>
    <row r="216" ht="13.2" customHeight="1" s="49">
      <c r="A216" s="33" t="n">
        <v>214</v>
      </c>
      <c r="B216" s="34" t="inlineStr">
        <is>
          <t>ข้อใดน่าจะเป็นสาเหตุของ Toxic epidermal necrolyisis นี้</t>
        </is>
      </c>
      <c r="C216" s="35" t="n"/>
      <c r="D216" s="34" t="inlineStr">
        <is>
          <t>Mupirocin 2% ointment</t>
        </is>
      </c>
      <c r="E216" s="34" t="inlineStr">
        <is>
          <t>Betamethasone dipropionate 0.05% cream</t>
        </is>
      </c>
      <c r="F216" s="34" t="inlineStr">
        <is>
          <t>Clotrimazole 1% cream</t>
        </is>
      </c>
      <c r="G216" s="34" t="inlineStr">
        <is>
          <t>Hydrocortisone 1% cream</t>
        </is>
      </c>
      <c r="H216" s="34" t="inlineStr">
        <is>
          <t>Triamcinolone acetonide 0.1% cream</t>
        </is>
      </c>
      <c r="I216" s="33" t="inlineStr">
        <is>
          <t>1</t>
        </is>
      </c>
      <c r="J216" s="34"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35" t="n"/>
      <c r="L216" s="34" t="inlineStr">
        <is>
          <t>Superficial fungal</t>
        </is>
      </c>
      <c r="M216" s="35" t="inlineStr">
        <is>
          <t>Clinic</t>
        </is>
      </c>
      <c r="N216" s="34" t="inlineStr">
        <is>
          <t>ข้อ 1 (PLE_CC1_Key_Rx20_UBU.md)</t>
        </is>
      </c>
      <c r="O216" s="35" t="inlineStr">
        <is>
          <t>Mock</t>
        </is>
      </c>
      <c r="P216" s="35" t="inlineStr">
        <is>
          <t>Mock Rx20 UBU</t>
        </is>
      </c>
    </row>
    <row r="217" ht="13.2" customHeight="1" s="49">
      <c r="A217" s="33" t="n">
        <v>215</v>
      </c>
      <c r="B217" s="34" t="inlineStr">
        <is>
          <t>ข้อใดไม่ใช่ลักษณะที่แพทย์ใช้แยกภาวะ Toxic Epidermal Necrolysis (TEN) ออกจาก Stevens-Johnson Syndrome (SJS)</t>
        </is>
      </c>
      <c r="C217" s="35" t="n"/>
      <c r="D217" s="34" t="inlineStr">
        <is>
          <t>พื้นที่ผิวหนังหลุดลอก (Detachment of BSA) มากกว่า 30%</t>
        </is>
      </c>
      <c r="E217" s="34" t="inlineStr">
        <is>
          <t>อาการแสดงของ Nikolsky sign ให้ผลบวก</t>
        </is>
      </c>
      <c r="F217" s="34" t="inlineStr">
        <is>
          <t>อัตราการเสียชีวิต (Mortality rate) ของ TEN สูงกว่า SJS อย่างมีนัยสำคัญ</t>
        </is>
      </c>
      <c r="G217" s="34" t="inlineStr">
        <is>
          <t>รอยโรคในเยื่อบุ (Mucosal involvement) รุนแรงและกว้างขวางกว่า</t>
        </is>
      </c>
      <c r="H217" s="34" t="inlineStr">
        <is>
          <t>การเกิดผื่นเป็นผลมาจากปฏิกิริยา Type I IgE-mediated hypersensitivity</t>
        </is>
      </c>
      <c r="I217" s="33" t="n">
        <v>5</v>
      </c>
      <c r="J217" s="34" t="inlineStr">
        <is>
          <t>✅ คำตอบที่ถูกต้อง: ข้อ ก. Hydrocortisone 1% cream
💡 Background:
ภาวะ acute poisoning ต้องได้รับการประเมิน supportive care ควบคู่กับการให้ specific antidote อย่างทันท่วงที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35" t="n"/>
      <c r="L217" s="34" t="inlineStr">
        <is>
          <t>ADR &amp; Allergy</t>
        </is>
      </c>
      <c r="M217" s="35" t="inlineStr">
        <is>
          <t>Clinic</t>
        </is>
      </c>
      <c r="N217" s="34" t="inlineStr">
        <is>
          <t>ข้อ 2 (PLE_CC1_Key_Rx20_UBU.md)</t>
        </is>
      </c>
      <c r="O217" s="35" t="inlineStr">
        <is>
          <t>Mock</t>
        </is>
      </c>
      <c r="P217" s="35" t="inlineStr">
        <is>
          <t>Mock Rx20 UBU</t>
        </is>
      </c>
    </row>
    <row r="218" ht="13.2" customHeight="1" s="49">
      <c r="A218" s="33" t="n">
        <v>216</v>
      </c>
      <c r="B218" s="34"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218" s="35" t="n"/>
      <c r="D218" s="34" t="inlineStr">
        <is>
          <t>Toxic Epidermal Necrolysis (TEN)</t>
        </is>
      </c>
      <c r="E218" s="34" t="inlineStr">
        <is>
          <t>Stevens-Johnson Syndrome (SJS)</t>
        </is>
      </c>
      <c r="F218" s="34" t="inlineStr">
        <is>
          <t>SJS/TEN overlap</t>
        </is>
      </c>
      <c r="G218" s="34" t="inlineStr">
        <is>
          <t>Exfoliative dermatitis</t>
        </is>
      </c>
      <c r="H218" s="34" t="inlineStr">
        <is>
          <t>Staphylococcal Scalded Skin Syndrome (SSSS)</t>
        </is>
      </c>
      <c r="I218" s="33" t="n">
        <v>1</v>
      </c>
      <c r="J218" s="34"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218" s="35" t="n"/>
      <c r="L218" s="34" t="inlineStr">
        <is>
          <t>ADR &amp; Allergy</t>
        </is>
      </c>
      <c r="M218" s="35" t="inlineStr">
        <is>
          <t>Clinic</t>
        </is>
      </c>
      <c r="N218" s="34" t="inlineStr">
        <is>
          <t>ข้อ 2 (PLE_CC1_Key_Rx20_UBU.md)</t>
        </is>
      </c>
      <c r="O218" s="35" t="inlineStr">
        <is>
          <t>Mock</t>
        </is>
      </c>
      <c r="P218" s="35" t="inlineStr">
        <is>
          <t>Mock Rx20 UBU</t>
        </is>
      </c>
    </row>
    <row r="219" ht="13.2" customHeight="1" s="49">
      <c r="A219" s="33" t="n">
        <v>217</v>
      </c>
      <c r="B219" s="34" t="inlineStr">
        <is>
          <t>เหตุผลสำคัญที่สุดในการทำการทดสอบทางผิวหนัง (Skin test) ก่อนให้เซรุ่มแก้พิษงูที่เตรียมจากม้า (Equine antivenom) คือข้อใด</t>
        </is>
      </c>
      <c r="C219" s="35" t="n"/>
      <c r="D219" s="34" t="inlineStr">
        <is>
          <t>เพื่อประเมินความเสี่ยงต่อการเกิด Immediate IgE-mediated anaphylaxis จากโปรตีนแปลกปลอมของม้า</t>
        </is>
      </c>
      <c r="E219" s="34" t="inlineStr">
        <is>
          <t>เพื่อตรวจวัดระดับภูมิต้านทานต่อพิษงูที่มีอยู่เดิมในร่างกายผู้ป่วย</t>
        </is>
      </c>
      <c r="F219" s="34" t="inlineStr">
        <is>
          <t>เพื่อคำนวณขนาดยาเซรุ่มที่ต้องใช้ในการรักษาให้แม่นยำขึ้น</t>
        </is>
      </c>
      <c r="G219" s="34" t="inlineStr">
        <is>
          <t>เพื่อป้องกันการเกิดภาวะไตวายเฉียบพลันจากพิษงู</t>
        </is>
      </c>
      <c r="H219" s="34" t="inlineStr">
        <is>
          <t>เพื่อทดสอบประสิทธิภาพในการทำลายพิษงูของเซรุ่ม</t>
        </is>
      </c>
      <c r="I219" s="33" t="n">
        <v>1</v>
      </c>
      <c r="J219" s="34"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35" t="n"/>
      <c r="L219" s="34" t="inlineStr">
        <is>
          <t>Toxicology &amp; ADR</t>
        </is>
      </c>
      <c r="M219" s="35" t="inlineStr">
        <is>
          <t>Clinic</t>
        </is>
      </c>
      <c r="N219" s="34" t="inlineStr">
        <is>
          <t>ข้อ 1 (PLE_CC1_Key_Rx20_UBU.md)</t>
        </is>
      </c>
      <c r="O219" s="35" t="inlineStr">
        <is>
          <t>Mock</t>
        </is>
      </c>
      <c r="P219" s="35" t="inlineStr">
        <is>
          <t>Mock Rx20 UBU</t>
        </is>
      </c>
    </row>
    <row r="220" ht="13.2" customHeight="1" s="49">
      <c r="A220" s="33" t="n">
        <v>218</v>
      </c>
      <c r="B220" s="34" t="inlineStr">
        <is>
          <t>ข้อใดต่อไปนี้ถูกต้องเกี่ยวกับเกลื้อน</t>
        </is>
      </c>
      <c r="C220" s="35" t="n"/>
      <c r="D220" s="34" t="inlineStr">
        <is>
          <t>เกิดจากเชื้อ Malassezia furfur</t>
        </is>
      </c>
      <c r="E220" s="34" t="inlineStr">
        <is>
          <t>หากมีอาการรุนแรง จะเป็นขุย แดง คัน</t>
        </is>
      </c>
      <c r="F220" s="34" t="inlineStr">
        <is>
          <t>เมื่อทดสอบด้วย 10% KOH แล้วนาไปส่องกล้องจุลทรรศน์ จะเห็น long pseudohyphae</t>
        </is>
      </c>
      <c r="G220" s="34" t="inlineStr">
        <is>
          <t>ใช้ยาทา Topical selenium sulfide ในการรักษา</t>
        </is>
      </c>
      <c r="H220" s="34" t="inlineStr">
        <is>
          <t>หากเป็นโรคบ่อยๆ ควรได้รับยาป้องกัน</t>
        </is>
      </c>
      <c r="I220" s="33" t="inlineStr">
        <is>
          <t>1</t>
        </is>
      </c>
      <c r="J220" s="34"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35" t="n"/>
      <c r="L220" s="34" t="inlineStr">
        <is>
          <t>Superficial fungal</t>
        </is>
      </c>
      <c r="M220" s="35" t="inlineStr">
        <is>
          <t>Clinic</t>
        </is>
      </c>
      <c r="N220" s="34" t="inlineStr">
        <is>
          <t>ข้อ 11 (PLE_CC1_Key_Rx20_UBU.md)</t>
        </is>
      </c>
      <c r="O220" s="35" t="inlineStr">
        <is>
          <t>Mock</t>
        </is>
      </c>
      <c r="P220" s="35" t="inlineStr">
        <is>
          <t>Mock Rx20 UBU</t>
        </is>
      </c>
    </row>
    <row r="221" ht="13.2" customHeight="1" s="49">
      <c r="A221" s="33" t="n">
        <v>219</v>
      </c>
      <c r="B221" s="34" t="inlineStr">
        <is>
          <t>หากไม่มียา Fluocinolone acetonide 0.01% เภสัชกรสามารถจ่ายยาใดแทนได้</t>
        </is>
      </c>
      <c r="C221" s="35" t="n"/>
      <c r="D221" s="34" t="inlineStr">
        <is>
          <t>Betamethasone dipropionate 0.05%</t>
        </is>
      </c>
      <c r="E221" s="34" t="inlineStr">
        <is>
          <t>Clobetasol propionate 0.05%</t>
        </is>
      </c>
      <c r="F221" s="34" t="inlineStr">
        <is>
          <t>Dexosimethasone 0.05%</t>
        </is>
      </c>
      <c r="G221" s="34" t="inlineStr">
        <is>
          <t>Triamcinolone acetonide 0.1%</t>
        </is>
      </c>
      <c r="H221" s="34" t="inlineStr">
        <is>
          <t>Hydrocortisone acetate 0.5% คำอธิบาย</t>
        </is>
      </c>
      <c r="I221" s="33" t="inlineStr">
        <is>
          <t>5</t>
        </is>
      </c>
      <c r="J221" s="34"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35" t="n"/>
      <c r="L221" s="34" t="inlineStr">
        <is>
          <t>Superficial fungal</t>
        </is>
      </c>
      <c r="M221" s="35" t="inlineStr">
        <is>
          <t>Clinic</t>
        </is>
      </c>
      <c r="N221" s="34" t="inlineStr">
        <is>
          <t>ข้อ 93 (PLE_CC1_Key_Rx20_UBU.md)</t>
        </is>
      </c>
      <c r="O221" s="35" t="inlineStr">
        <is>
          <t>Mock</t>
        </is>
      </c>
      <c r="P221" s="35" t="inlineStr">
        <is>
          <t>Mock Rx20 UBU</t>
        </is>
      </c>
    </row>
    <row r="222" ht="13.2" customHeight="1" s="49">
      <c r="A222" s="33" t="n">
        <v>220</v>
      </c>
      <c r="B222" s="34" t="inlineStr">
        <is>
          <t>ผู้ป่วยควรได้รับยาในข้อใดเพิ่ม</t>
        </is>
      </c>
      <c r="C222" s="35" t="n"/>
      <c r="D222" s="34" t="inlineStr">
        <is>
          <t>Topical tretinoin</t>
        </is>
      </c>
      <c r="E222" s="34" t="inlineStr">
        <is>
          <t>Oral tretinoin</t>
        </is>
      </c>
      <c r="F222" s="34" t="inlineStr">
        <is>
          <t>Oral antibiotic</t>
        </is>
      </c>
      <c r="G222" s="34" t="inlineStr">
        <is>
          <t>contraceptive pills (Progestin only)</t>
        </is>
      </c>
      <c r="H222" s="34" t="inlineStr">
        <is>
          <t>Combined oral contraceptives ที่มีฤทธิ์ anti-androgen</t>
        </is>
      </c>
      <c r="I222" s="33" t="inlineStr">
        <is>
          <t>1</t>
        </is>
      </c>
      <c r="J222" s="34"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35" t="n"/>
      <c r="L222" s="34" t="inlineStr">
        <is>
          <t>Superficial fungal</t>
        </is>
      </c>
      <c r="M222" s="35" t="inlineStr">
        <is>
          <t>Clinic</t>
        </is>
      </c>
      <c r="N222" s="34" t="inlineStr">
        <is>
          <t>ข้อ 2 (PLE_CC1_Key_Rx20_UBU.md)</t>
        </is>
      </c>
      <c r="O222" s="35" t="inlineStr">
        <is>
          <t>Mock</t>
        </is>
      </c>
      <c r="P222" s="35" t="inlineStr">
        <is>
          <t>Mock Rx20 UBU</t>
        </is>
      </c>
    </row>
    <row r="223" ht="13.2" customHeight="1" s="49">
      <c r="A223" s="33" t="n">
        <v>221</v>
      </c>
      <c r="B223" s="34" t="inlineStr">
        <is>
          <t>ผลข้างเคียงข้อใดไม่ใช่ผลข้างเคียงของ Topical tretinoin</t>
        </is>
      </c>
      <c r="C223" s="35" t="n"/>
      <c r="D223" s="34" t="inlineStr">
        <is>
          <t>Acne sores</t>
        </is>
      </c>
      <c r="E223" s="34" t="inlineStr">
        <is>
          <t>Erythema</t>
        </is>
      </c>
      <c r="F223" s="34" t="inlineStr">
        <is>
          <t>Peeling</t>
        </is>
      </c>
      <c r="G223" s="34" t="inlineStr">
        <is>
          <t>Phototoxicity</t>
        </is>
      </c>
      <c r="H223" s="34" t="inlineStr">
        <is>
          <t>Skin hyperpigmentation</t>
        </is>
      </c>
      <c r="I223" s="33" t="inlineStr">
        <is>
          <t>1</t>
        </is>
      </c>
      <c r="J223" s="34"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35" t="n"/>
      <c r="L223" s="34" t="inlineStr">
        <is>
          <t>Superficial fungal</t>
        </is>
      </c>
      <c r="M223" s="35" t="inlineStr">
        <is>
          <t>Clinic</t>
        </is>
      </c>
      <c r="N223" s="34" t="inlineStr">
        <is>
          <t>ข้อ 3 (PLE_CC1_Key_Rx20_UBU.md)</t>
        </is>
      </c>
      <c r="O223" s="35" t="inlineStr">
        <is>
          <t>Mock</t>
        </is>
      </c>
      <c r="P223" s="35" t="inlineStr">
        <is>
          <t>Mock Rx20 UBU</t>
        </is>
      </c>
    </row>
    <row r="224" ht="13.2" customHeight="1" s="49">
      <c r="A224" s="33" t="n">
        <v>222</v>
      </c>
      <c r="B224" s="34" t="inlineStr">
        <is>
          <t>ศึกษาเปรียบเทียบความคุ้มค่าของการใช้ clotrimazole 500 mg OD กับ clotrimazole 100 mg 6 days ใช้แนวทางการศึกษาแบบไหนดีที่สุด</t>
        </is>
      </c>
      <c r="C224" s="35" t="n"/>
      <c r="D224" s="34" t="inlineStr">
        <is>
          <t>Cost analysis</t>
        </is>
      </c>
      <c r="E224" s="34" t="inlineStr">
        <is>
          <t>Cost benefit analysis</t>
        </is>
      </c>
      <c r="F224" s="34" t="inlineStr">
        <is>
          <t>Cost minimize analysis</t>
        </is>
      </c>
      <c r="G224" s="34" t="inlineStr">
        <is>
          <t>Cost-Effectiveness Analysis (CEA)</t>
        </is>
      </c>
      <c r="H224" s="34" t="inlineStr">
        <is>
          <t>Cost-Utility Analysis (CUA)</t>
        </is>
      </c>
      <c r="I224" s="33" t="n">
        <v>4</v>
      </c>
      <c r="J224" s="34" t="inlineStr">
        <is>
          <t>✅ คำตอบที่ถูกต้อง: ข้อ ก. Cost analysis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Cost analysis การเลือก Cost analysis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35" t="n"/>
      <c r="L224" s="34" t="inlineStr">
        <is>
          <t>Pharmacoeconomics</t>
        </is>
      </c>
      <c r="M224" s="35" t="inlineStr">
        <is>
          <t>Clinic</t>
        </is>
      </c>
      <c r="N224" s="34" t="inlineStr">
        <is>
          <t>ข้อ 36 (PLE_CC1_Key_Rx20_UBU.md)</t>
        </is>
      </c>
      <c r="O224" s="35" t="inlineStr">
        <is>
          <t>Mock</t>
        </is>
      </c>
      <c r="P224" s="35" t="inlineStr">
        <is>
          <t>Mock Rx20 UBU</t>
        </is>
      </c>
    </row>
    <row r="225" ht="13.2" customHeight="1" s="49">
      <c r="A225" t="n">
        <v>223</v>
      </c>
      <c r="B225"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D225" t="inlineStr">
        <is>
          <t>Clindamycin 1% topical solution</t>
        </is>
      </c>
      <c r="E225" t="inlineStr">
        <is>
          <t>Mupirocin 2% ointment</t>
        </is>
      </c>
      <c r="F225" t="inlineStr">
        <is>
          <t>Gentamicin 0.1% cream</t>
        </is>
      </c>
      <c r="G225" t="inlineStr">
        <is>
          <t>Silver sulfadiazine cream</t>
        </is>
      </c>
      <c r="H225" t="inlineStr">
        <is>
          <t>Acyclovir 5% cream</t>
        </is>
      </c>
      <c r="I225" t="n">
        <v>1</v>
      </c>
      <c r="J225"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L225" t="inlineStr">
        <is>
          <t>Dermatologic Comorbidities</t>
        </is>
      </c>
      <c r="M225" t="inlineStr">
        <is>
          <t>Clinic</t>
        </is>
      </c>
      <c r="N225" t="inlineStr">
        <is>
          <t>PLE_CC1_2567_Set1_Key ข้อ 57</t>
        </is>
      </c>
    </row>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Q187"/>
  <sheetViews>
    <sheetView workbookViewId="0">
      <pane ySplit="2" topLeftCell="A164" activePane="bottomLeft" state="frozen"/>
      <selection pane="bottomLeft" activeCell="A3" sqref="A3:P187"/>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21.6" customHeight="1" s="49">
      <c r="A3" s="33" t="n">
        <v>1</v>
      </c>
      <c r="B3" s="34"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35" t="n"/>
      <c r="D3" s="34" t="inlineStr">
        <is>
          <t>Glipizide 5 mg OD</t>
        </is>
      </c>
      <c r="E3" s="34" t="inlineStr">
        <is>
          <t>Metformin 500 mg BID</t>
        </is>
      </c>
      <c r="F3" s="34" t="inlineStr">
        <is>
          <t>Pioglitazone 15 mg OD</t>
        </is>
      </c>
      <c r="G3" s="34" t="inlineStr">
        <is>
          <t>Sitagliptin 100 mg OD</t>
        </is>
      </c>
      <c r="H3" s="34" t="inlineStr">
        <is>
          <t>Insulin glargine 10 units SC bedtime</t>
        </is>
      </c>
      <c r="I3" s="33" t="inlineStr">
        <is>
          <t>2</t>
        </is>
      </c>
      <c r="J3" s="34"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35" t="n"/>
      <c r="L3" s="34" t="inlineStr">
        <is>
          <t>Diabetes mellitus</t>
        </is>
      </c>
      <c r="M3" s="35" t="inlineStr">
        <is>
          <t>Clinic</t>
        </is>
      </c>
      <c r="N3" s="34" t="inlineStr">
        <is>
          <t>ADA Standards of Care</t>
        </is>
      </c>
      <c r="O3" s="35" t="inlineStr">
        <is>
          <t>ข้อสอบจริง</t>
        </is>
      </c>
      <c r="P3" s="33" t="inlineStr">
        <is>
          <t>2566</t>
        </is>
      </c>
    </row>
    <row r="4" ht="13.2" customHeight="1" s="49">
      <c r="A4" s="33" t="n">
        <v>2</v>
      </c>
      <c r="B4"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35" t="n"/>
      <c r="D4" s="34" t="inlineStr">
        <is>
          <t>Blood glucose &gt; 150 mg/dL</t>
        </is>
      </c>
      <c r="E4" s="34" t="inlineStr">
        <is>
          <t>HbA1c &lt; 7%</t>
        </is>
      </c>
      <c r="F4" s="34" t="inlineStr">
        <is>
          <t>ปัสสาวะมากกว่า 3 ลิตร/วัน</t>
        </is>
      </c>
      <c r="G4" s="34" t="inlineStr">
        <is>
          <t>Insulin ในเลือดต่ำ</t>
        </is>
      </c>
      <c r="H4" s="34" t="inlineStr">
        <is>
          <t>Glucose tolerance test &gt; 200 mg/dL</t>
        </is>
      </c>
      <c r="I4" s="33" t="inlineStr">
        <is>
          <t>5</t>
        </is>
      </c>
      <c r="J4" s="34"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35" t="n"/>
      <c r="L4" s="34" t="inlineStr">
        <is>
          <t>Diabetes mellitus</t>
        </is>
      </c>
      <c r="M4" s="35" t="inlineStr">
        <is>
          <t>Clinic</t>
        </is>
      </c>
      <c r="N4" s="34" t="inlineStr">
        <is>
          <t>ข้อ 1 ชุด 1 (เฉลยข้อ จ)</t>
        </is>
      </c>
      <c r="O4" s="35" t="inlineStr">
        <is>
          <t>Mock</t>
        </is>
      </c>
      <c r="P4" s="35" t="inlineStr">
        <is>
          <t>ชุด 1</t>
        </is>
      </c>
    </row>
    <row r="5" ht="13.2" customHeight="1" s="49">
      <c r="A5" s="33" t="n">
        <v>3</v>
      </c>
      <c r="B5"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35" t="n"/>
      <c r="D5" s="34" t="inlineStr">
        <is>
          <t>Hypoglycemia</t>
        </is>
      </c>
      <c r="E5" s="34" t="inlineStr">
        <is>
          <t>Hyperglycemia</t>
        </is>
      </c>
      <c r="F5" s="34" t="inlineStr">
        <is>
          <t>Hypervolemia</t>
        </is>
      </c>
      <c r="G5" s="34" t="inlineStr">
        <is>
          <t>Hypovolemia</t>
        </is>
      </c>
      <c r="H5" s="34" t="inlineStr">
        <is>
          <t>Hypertension</t>
        </is>
      </c>
      <c r="I5" s="33" t="inlineStr">
        <is>
          <t>1</t>
        </is>
      </c>
      <c r="J5" s="34"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35" t="n"/>
      <c r="L5" s="34" t="inlineStr">
        <is>
          <t>Diabetes mellitus</t>
        </is>
      </c>
      <c r="M5" s="35" t="inlineStr">
        <is>
          <t>Clinic</t>
        </is>
      </c>
      <c r="N5" s="34" t="inlineStr">
        <is>
          <t>ข้อ 2 ชุด 1 (เฉลยข้อ ก)</t>
        </is>
      </c>
      <c r="O5" s="35" t="inlineStr">
        <is>
          <t>Mock</t>
        </is>
      </c>
      <c r="P5" s="35" t="inlineStr">
        <is>
          <t>ชุด 1</t>
        </is>
      </c>
    </row>
    <row r="6" ht="13.2" customHeight="1" s="49">
      <c r="A6" s="33" t="n">
        <v>4</v>
      </c>
      <c r="B6" s="34"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35" t="n"/>
      <c r="D6" s="34" t="inlineStr">
        <is>
          <t>หยุดยา แล้วไปพบแพทย์</t>
        </is>
      </c>
      <c r="E6" s="34" t="inlineStr">
        <is>
          <t>ลดขนาดยา</t>
        </is>
      </c>
      <c r="F6" s="34" t="inlineStr">
        <is>
          <t>ให้ดื่มน้ำหวาน</t>
        </is>
      </c>
      <c r="G6" s="34" t="inlineStr">
        <is>
          <t>เพิ่มขนาดยา</t>
        </is>
      </c>
      <c r="H6" s="34" t="inlineStr">
        <is>
          <t>งดการดื่มกาแฟ</t>
        </is>
      </c>
      <c r="I6" s="33" t="inlineStr">
        <is>
          <t>3</t>
        </is>
      </c>
      <c r="J6" s="34"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35" t="n"/>
      <c r="L6" s="34" t="inlineStr">
        <is>
          <t>Diabetes mellitus</t>
        </is>
      </c>
      <c r="M6" s="35" t="inlineStr">
        <is>
          <t>Clinic</t>
        </is>
      </c>
      <c r="N6" s="34" t="inlineStr">
        <is>
          <t>ข้อ 3 ชุด 1 (เฉลยข้อ ค)</t>
        </is>
      </c>
      <c r="O6" s="35" t="inlineStr">
        <is>
          <t>Mock</t>
        </is>
      </c>
      <c r="P6" s="35" t="inlineStr">
        <is>
          <t>ชุด 1</t>
        </is>
      </c>
    </row>
    <row r="7" ht="13.2" customHeight="1" s="49">
      <c r="A7" s="33" t="n">
        <v>5</v>
      </c>
      <c r="B7" s="34" t="inlineStr">
        <is>
          <t>ข้อใด ไม่ใช่ ภาวะแทรกซ้อนระยะยาวของโรคเบาหวาน</t>
        </is>
      </c>
      <c r="C7" s="35" t="n"/>
      <c r="D7" s="34" t="inlineStr">
        <is>
          <t>Retinopathy</t>
        </is>
      </c>
      <c r="E7" s="34" t="inlineStr">
        <is>
          <t>Nephropathy</t>
        </is>
      </c>
      <c r="F7" s="34" t="inlineStr">
        <is>
          <t>Neuropathy</t>
        </is>
      </c>
      <c r="G7" s="34" t="inlineStr">
        <is>
          <t>Glaucoma</t>
        </is>
      </c>
      <c r="H7" s="34" t="inlineStr">
        <is>
          <t>Atherosclerosis</t>
        </is>
      </c>
      <c r="I7" s="33" t="n">
        <v>4</v>
      </c>
      <c r="J7" s="34"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35" t="n"/>
      <c r="L7" s="34" t="inlineStr">
        <is>
          <t>Diabetes mellitus</t>
        </is>
      </c>
      <c r="M7" s="35" t="inlineStr">
        <is>
          <t>Clinic</t>
        </is>
      </c>
      <c r="N7" s="34" t="inlineStr">
        <is>
          <t>ข้อ 4 ชุด 1 (เฉลยข้อ )</t>
        </is>
      </c>
      <c r="O7" s="35" t="inlineStr">
        <is>
          <t>Mock</t>
        </is>
      </c>
      <c r="P7" s="35" t="inlineStr">
        <is>
          <t>ชุด 1</t>
        </is>
      </c>
    </row>
    <row r="8" ht="13.2" customHeight="1" s="49">
      <c r="A8" s="33" t="n">
        <v>6</v>
      </c>
      <c r="B8" s="34" t="inlineStr">
        <is>
          <t>ในโรงพยาบาลมี glipizide MR 30 mg แต่แพทย์ต้องการใช้ 15 mg สามารถแบ่งได้หรือไม่</t>
        </is>
      </c>
      <c r="C8" s="35" t="n"/>
      <c r="D8" s="34" t="inlineStr">
        <is>
          <t>แบ่งได้ เพราะได้ปริมาณยาเท่ากัน</t>
        </is>
      </c>
      <c r="E8" s="34" t="inlineStr">
        <is>
          <t>แบ่งได้ หักแบ่งแล้วละลายน้ำ</t>
        </is>
      </c>
      <c r="F8" s="34" t="inlineStr">
        <is>
          <t>แบ่งไม่ได้ เพราะมีผลต่อการปลดปล่อยยา</t>
        </is>
      </c>
      <c r="G8" s="34" t="inlineStr">
        <is>
          <t>แบ่งไม่ได้ เพราะตัวยาที่ได้อาจไม่เท่ากัน</t>
        </is>
      </c>
      <c r="H8" s="34" t="inlineStr">
        <is>
          <t>แบ่งไม่ได้ เพราะยาสลายตัวเมื่อสัมผัสสิ่งแวดล้อม</t>
        </is>
      </c>
      <c r="I8" s="33" t="inlineStr">
        <is>
          <t>3</t>
        </is>
      </c>
      <c r="J8" s="34"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35" t="n"/>
      <c r="L8" s="34" t="inlineStr">
        <is>
          <t>Diabetes mellitus</t>
        </is>
      </c>
      <c r="M8" s="35" t="inlineStr">
        <is>
          <t>Clinic</t>
        </is>
      </c>
      <c r="N8" s="34" t="inlineStr">
        <is>
          <t>ข้อ 5 ชุด 1 (เฉลยข้อ ค)</t>
        </is>
      </c>
      <c r="O8" s="35" t="inlineStr">
        <is>
          <t>Mock</t>
        </is>
      </c>
      <c r="P8" s="35" t="inlineStr">
        <is>
          <t>ชุด 1</t>
        </is>
      </c>
    </row>
    <row r="9" ht="13.2" customHeight="1" s="49">
      <c r="A9" s="33" t="n">
        <v>7</v>
      </c>
      <c r="B9" s="34" t="inlineStr">
        <is>
          <t>ข้อใดคือกลไกการออกฤทธิ์ของยา chlorpropamide</t>
        </is>
      </c>
      <c r="C9" s="35" t="n"/>
      <c r="D9" s="34" t="inlineStr">
        <is>
          <t>กระตุ้นการหลั่งอินซูลิน</t>
        </is>
      </c>
      <c r="E9" s="34" t="inlineStr">
        <is>
          <t>เพิ่มความไวของอินซูลินที่กล้ามเนื้อ</t>
        </is>
      </c>
      <c r="F9" s="34" t="inlineStr">
        <is>
          <t>ลดการดูดซึมน้ำตาลในทางเดินอาหาร</t>
        </is>
      </c>
      <c r="G9" s="34" t="inlineStr">
        <is>
          <t>ยับยั้งการย่อยน้ำตาลในลำไส้</t>
        </is>
      </c>
      <c r="H9" s="34" t="inlineStr">
        <is>
          <t>ลดการสร้างน้ำตาลกลูโคสในตับ</t>
        </is>
      </c>
      <c r="I9" s="33" t="inlineStr">
        <is>
          <t>1</t>
        </is>
      </c>
      <c r="J9" s="34"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35" t="n"/>
      <c r="L9" s="34" t="inlineStr">
        <is>
          <t>Diabetes mellitus</t>
        </is>
      </c>
      <c r="M9" s="35" t="inlineStr">
        <is>
          <t>Clinic</t>
        </is>
      </c>
      <c r="N9" s="34" t="inlineStr">
        <is>
          <t>ข้อ 6 ชุด 1 (เฉลยข้อ ก)</t>
        </is>
      </c>
      <c r="O9" s="35" t="inlineStr">
        <is>
          <t>Mock</t>
        </is>
      </c>
      <c r="P9" s="35" t="inlineStr">
        <is>
          <t>ชุด 1</t>
        </is>
      </c>
    </row>
    <row r="10" ht="13.2" customHeight="1" s="49">
      <c r="A10" s="33" t="n">
        <v>8</v>
      </c>
      <c r="B10" s="34" t="inlineStr">
        <is>
          <t>ยาฉีดอินซูลินในข้อใดที่ออกฤทธิ์แบบ intermediate</t>
        </is>
      </c>
      <c r="C10" s="35" t="n"/>
      <c r="D10" s="34" t="inlineStr">
        <is>
          <t>Regular insulin</t>
        </is>
      </c>
      <c r="E10" s="34" t="inlineStr">
        <is>
          <t>Neutral insulin</t>
        </is>
      </c>
      <c r="F10" s="34" t="inlineStr">
        <is>
          <t>NPH insulin</t>
        </is>
      </c>
      <c r="G10" s="34" t="inlineStr">
        <is>
          <t>Insulin lispro</t>
        </is>
      </c>
      <c r="H10" s="34" t="inlineStr">
        <is>
          <t>Insulin glargine</t>
        </is>
      </c>
      <c r="I10" s="33" t="inlineStr">
        <is>
          <t>3</t>
        </is>
      </c>
      <c r="J10" s="34"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35" t="n"/>
      <c r="L10" s="34" t="inlineStr">
        <is>
          <t>Diabetes mellitus</t>
        </is>
      </c>
      <c r="M10" s="35" t="inlineStr">
        <is>
          <t>Clinic</t>
        </is>
      </c>
      <c r="N10" s="34" t="inlineStr">
        <is>
          <t>ข้อ 7 ชุด 1 (เฉลยข้อ ค)</t>
        </is>
      </c>
      <c r="O10" s="35" t="inlineStr">
        <is>
          <t>Mock</t>
        </is>
      </c>
      <c r="P10" s="35" t="inlineStr">
        <is>
          <t>ชุด 1</t>
        </is>
      </c>
    </row>
    <row r="11" ht="13.2" customHeight="1" s="49">
      <c r="A11" s="33" t="n">
        <v>9</v>
      </c>
      <c r="B11" s="34"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35" t="n"/>
      <c r="D11" s="34" t="inlineStr">
        <is>
          <t>DM type 2</t>
        </is>
      </c>
      <c r="E11" s="34" t="inlineStr">
        <is>
          <t>DM type 1</t>
        </is>
      </c>
      <c r="F11" s="34" t="inlineStr">
        <is>
          <t>Gestational DM</t>
        </is>
      </c>
      <c r="G11" s="34" t="inlineStr">
        <is>
          <t>Classification DM</t>
        </is>
      </c>
      <c r="H11" s="34" t="inlineStr">
        <is>
          <t>DM type 3</t>
        </is>
      </c>
      <c r="I11" s="33" t="inlineStr">
        <is>
          <t>1</t>
        </is>
      </c>
      <c r="J11" s="34"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35" t="n"/>
      <c r="L11" s="34" t="inlineStr">
        <is>
          <t>Diabetes mellitus</t>
        </is>
      </c>
      <c r="M11" s="35" t="inlineStr">
        <is>
          <t>Clinic</t>
        </is>
      </c>
      <c r="N11" s="34" t="inlineStr">
        <is>
          <t>ข้อ 8 ชุด 1 (เฉลยข้อ ก)</t>
        </is>
      </c>
      <c r="O11" s="35" t="inlineStr">
        <is>
          <t>Mock</t>
        </is>
      </c>
      <c r="P11" s="35" t="inlineStr">
        <is>
          <t>ชุด 1</t>
        </is>
      </c>
    </row>
    <row r="12" ht="13.2" customHeight="1" s="49">
      <c r="A12" s="33" t="n">
        <v>10</v>
      </c>
      <c r="B12" s="34" t="inlineStr">
        <is>
          <t>Drug of choice ในการรักษา DM ตาม ADA Guideline คือยาใด</t>
        </is>
      </c>
      <c r="C12" s="35" t="n"/>
      <c r="D12" s="34" t="inlineStr">
        <is>
          <t>Metformin</t>
        </is>
      </c>
      <c r="E12" s="34" t="inlineStr">
        <is>
          <t>Sulfonylurea</t>
        </is>
      </c>
      <c r="F12" s="34" t="inlineStr">
        <is>
          <t>TZDs</t>
        </is>
      </c>
      <c r="G12" s="34" t="inlineStr">
        <is>
          <t>Insulin</t>
        </is>
      </c>
      <c r="H12" s="34" t="inlineStr">
        <is>
          <t>Alpha-glucosidase</t>
        </is>
      </c>
      <c r="I12" s="33" t="inlineStr">
        <is>
          <t>1</t>
        </is>
      </c>
      <c r="J12"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35" t="n"/>
      <c r="L12" s="34" t="inlineStr">
        <is>
          <t>Diabetes mellitus</t>
        </is>
      </c>
      <c r="M12" s="35" t="inlineStr">
        <is>
          <t>Clinic</t>
        </is>
      </c>
      <c r="N12" s="34" t="inlineStr">
        <is>
          <t>ข้อ 9 ชุด 1 (เฉลยข้อ ก)</t>
        </is>
      </c>
      <c r="O12" s="35" t="inlineStr">
        <is>
          <t>Mock</t>
        </is>
      </c>
      <c r="P12" s="35" t="inlineStr">
        <is>
          <t>ชุด 1</t>
        </is>
      </c>
    </row>
    <row r="13" ht="13.2" customHeight="1" s="49">
      <c r="A13" s="33" t="n">
        <v>11</v>
      </c>
      <c r="B13" s="34" t="inlineStr">
        <is>
          <t>เป้าหมายของโรคเบาหวานในผู้ป่วยทั่วไป ตาม ADA Guideline คือ</t>
        </is>
      </c>
      <c r="C13" s="35" t="n"/>
      <c r="D13" s="34" t="inlineStr">
        <is>
          <t>HbA1C &lt; 6.5</t>
        </is>
      </c>
      <c r="E13" s="34" t="inlineStr">
        <is>
          <t>HbA1C &lt; 7</t>
        </is>
      </c>
      <c r="F13" s="34" t="inlineStr">
        <is>
          <t>HbA1C &lt; 7.5</t>
        </is>
      </c>
      <c r="G13" s="34" t="inlineStr">
        <is>
          <t>HbA1C &lt; 8</t>
        </is>
      </c>
      <c r="H13" s="34" t="inlineStr">
        <is>
          <t>HbA1C &lt; 8.5</t>
        </is>
      </c>
      <c r="I13" s="33" t="inlineStr">
        <is>
          <t>2</t>
        </is>
      </c>
      <c r="J13" s="34"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35" t="n"/>
      <c r="L13" s="34" t="inlineStr">
        <is>
          <t>Diabetes mellitus</t>
        </is>
      </c>
      <c r="M13" s="35" t="inlineStr">
        <is>
          <t>Clinic</t>
        </is>
      </c>
      <c r="N13" s="34" t="inlineStr">
        <is>
          <t>ข้อ 10 ชุด 1 (เฉลยข้อ ข)</t>
        </is>
      </c>
      <c r="O13" s="35" t="inlineStr">
        <is>
          <t>Mock</t>
        </is>
      </c>
      <c r="P13" s="35" t="inlineStr">
        <is>
          <t>ชุด 1</t>
        </is>
      </c>
    </row>
    <row r="14" ht="13.2" customHeight="1" s="49">
      <c r="A14" s="33" t="n">
        <v>12</v>
      </c>
      <c r="B14" s="34" t="inlineStr">
        <is>
          <t>ข้อใดไม่ใช่ S/E ของยาลดระดับน้ำตาลชนิดรับประทาน</t>
        </is>
      </c>
      <c r="C14" s="35" t="n"/>
      <c r="D14" s="34" t="inlineStr">
        <is>
          <t>Lipoatrophy</t>
        </is>
      </c>
      <c r="E14" s="34" t="inlineStr">
        <is>
          <t>Hypoglycemia</t>
        </is>
      </c>
      <c r="F14" s="34" t="inlineStr">
        <is>
          <t>Ketonuria</t>
        </is>
      </c>
      <c r="G14" s="34" t="inlineStr">
        <is>
          <t>Hepatotoxic</t>
        </is>
      </c>
      <c r="H14" s="34" t="inlineStr">
        <is>
          <t>Lactic acidosis</t>
        </is>
      </c>
      <c r="I14" s="33" t="inlineStr">
        <is>
          <t>1</t>
        </is>
      </c>
      <c r="J14" s="34"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35" t="n"/>
      <c r="L14" s="34" t="inlineStr">
        <is>
          <t>Diabetes mellitus</t>
        </is>
      </c>
      <c r="M14" s="35" t="inlineStr">
        <is>
          <t>Clinic</t>
        </is>
      </c>
      <c r="N14" s="34" t="inlineStr">
        <is>
          <t>ข้อ 11 ชุด 1 (เฉลยข้อ ก)</t>
        </is>
      </c>
      <c r="O14" s="35" t="inlineStr">
        <is>
          <t>Mock</t>
        </is>
      </c>
      <c r="P14" s="35" t="inlineStr">
        <is>
          <t>ชุด 1</t>
        </is>
      </c>
    </row>
    <row r="15" ht="13.2" customHeight="1" s="49">
      <c r="A15" s="33" t="n">
        <v>13</v>
      </c>
      <c r="B15" s="34"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35" t="n"/>
      <c r="D15" s="34" t="inlineStr">
        <is>
          <t>Rapid acting</t>
        </is>
      </c>
      <c r="E15" s="34" t="inlineStr">
        <is>
          <t>Short acting</t>
        </is>
      </c>
      <c r="F15" s="34" t="inlineStr">
        <is>
          <t>Inhaler</t>
        </is>
      </c>
      <c r="G15" s="34" t="inlineStr">
        <is>
          <t>Long acting</t>
        </is>
      </c>
      <c r="H15" s="34" t="inlineStr">
        <is>
          <t>Intermediate</t>
        </is>
      </c>
      <c r="I15" s="33" t="inlineStr">
        <is>
          <t>4</t>
        </is>
      </c>
      <c r="J15" s="34"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35" t="n"/>
      <c r="L15" s="34" t="inlineStr">
        <is>
          <t>Diabetes mellitus</t>
        </is>
      </c>
      <c r="M15" s="35" t="inlineStr">
        <is>
          <t>Clinic</t>
        </is>
      </c>
      <c r="N15" s="34" t="inlineStr">
        <is>
          <t>ข้อ 12 ชุด 1 (เฉลยข้อ ง)</t>
        </is>
      </c>
      <c r="O15" s="35" t="inlineStr">
        <is>
          <t>Mock</t>
        </is>
      </c>
      <c r="P15" s="35" t="inlineStr">
        <is>
          <t>ชุด 1</t>
        </is>
      </c>
    </row>
    <row r="16" ht="13.2" customHeight="1" s="49">
      <c r="A16" s="33" t="n">
        <v>14</v>
      </c>
      <c r="B16"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35" t="n"/>
      <c r="D16" s="34" t="inlineStr">
        <is>
          <t>พ่อ แม่มีประวัติเป็นโรคเบาหวานและความดันโลหิตสูง</t>
        </is>
      </c>
      <c r="E16" s="34" t="inlineStr">
        <is>
          <t>แม่เสียชีวิตด้วยโรคหัวใจและหลอดเลือด</t>
        </is>
      </c>
      <c r="F16" s="34" t="inlineStr">
        <is>
          <t>มีประวัติชอบสูบบุหรี่</t>
        </is>
      </c>
      <c r="G16" s="34" t="inlineStr">
        <is>
          <t>ออกกำลังกาย 1-2 ครั้งต่อเดือน</t>
        </is>
      </c>
      <c r="H16" s="34" t="inlineStr">
        <is>
          <t>ชอบรับประทานอาหารเค็ม</t>
        </is>
      </c>
      <c r="I16" s="33" t="inlineStr">
        <is>
          <t>2</t>
        </is>
      </c>
      <c r="J16" s="34"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35" t="n"/>
      <c r="L16" s="34" t="inlineStr">
        <is>
          <t>Diabetes mellitus</t>
        </is>
      </c>
      <c r="M16" s="35" t="inlineStr">
        <is>
          <t>Clinic</t>
        </is>
      </c>
      <c r="N16" s="34" t="inlineStr">
        <is>
          <t>ข้อ 13 ชุด 1 (เฉลยข้อ ข)</t>
        </is>
      </c>
      <c r="O16" s="35" t="inlineStr">
        <is>
          <t>Mock</t>
        </is>
      </c>
      <c r="P16" s="35" t="inlineStr">
        <is>
          <t>ชุด 1</t>
        </is>
      </c>
    </row>
    <row r="17" ht="13.2" customHeight="1" s="49">
      <c r="A17" s="33" t="n">
        <v>15</v>
      </c>
      <c r="B17"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35" t="n"/>
      <c r="D17" s="34" t="inlineStr">
        <is>
          <t>แม่เป็นเบาหวานและความดัน</t>
        </is>
      </c>
      <c r="E17" s="34" t="inlineStr">
        <is>
          <t>แม่ตายด้วยโรคหัวใจขาดเลือด</t>
        </is>
      </c>
      <c r="F17" s="34" t="inlineStr">
        <is>
          <t>สูบบุหรี่วันละ 20 มวน</t>
        </is>
      </c>
      <c r="G17" s="34" t="inlineStr">
        <is>
          <t>ออกกำลังกาย 1-2 ครั้ง/เดือน</t>
        </is>
      </c>
      <c r="H17" s="34" t="inlineStr">
        <is>
          <t>ดื่มไวน์ 1-2 แก้ว/เดือน</t>
        </is>
      </c>
      <c r="I17" s="33" t="inlineStr">
        <is>
          <t>1</t>
        </is>
      </c>
      <c r="J17" s="34"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35" t="n"/>
      <c r="L17" s="34" t="inlineStr">
        <is>
          <t>Diabetes mellitus</t>
        </is>
      </c>
      <c r="M17" s="35" t="inlineStr">
        <is>
          <t>Clinic</t>
        </is>
      </c>
      <c r="N17" s="34" t="inlineStr">
        <is>
          <t>ข้อ 14 ชุด 1 (เฉลยข้อ ก)</t>
        </is>
      </c>
      <c r="O17" s="35" t="inlineStr">
        <is>
          <t>Mock</t>
        </is>
      </c>
      <c r="P17" s="35" t="inlineStr">
        <is>
          <t>ชุด 1</t>
        </is>
      </c>
    </row>
    <row r="18" ht="13.2" customHeight="1" s="49">
      <c r="A18" s="33" t="n">
        <v>16</v>
      </c>
      <c r="B18"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35" t="n"/>
      <c r="D18" s="34" t="inlineStr">
        <is>
          <t>งดสูบบุหรี่</t>
        </is>
      </c>
      <c r="E18" s="34" t="inlineStr">
        <is>
          <t>ลดอาหารเค็ม</t>
        </is>
      </c>
      <c r="F18" s="34" t="inlineStr">
        <is>
          <t>ลดน้ำหนัก</t>
        </is>
      </c>
      <c r="G18" s="34" t="inlineStr">
        <is>
          <t>ออกกำลังกายเพิ่มเติม</t>
        </is>
      </c>
      <c r="H18" s="34" t="inlineStr">
        <is>
          <t>ลดการบริโภคน้ำตาล</t>
        </is>
      </c>
      <c r="I18" s="33" t="inlineStr">
        <is>
          <t>2</t>
        </is>
      </c>
      <c r="J18" s="34"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35" t="n"/>
      <c r="L18" s="34" t="inlineStr">
        <is>
          <t>Diabetes mellitus</t>
        </is>
      </c>
      <c r="M18" s="35" t="inlineStr">
        <is>
          <t>Clinic</t>
        </is>
      </c>
      <c r="N18" s="34" t="inlineStr">
        <is>
          <t>ข้อ 15 ชุด 1 (เฉลยข้อ ข)</t>
        </is>
      </c>
      <c r="O18" s="35" t="inlineStr">
        <is>
          <t>Mock</t>
        </is>
      </c>
      <c r="P18" s="35" t="inlineStr">
        <is>
          <t>ชุด 1</t>
        </is>
      </c>
    </row>
    <row r="19" ht="13.2" customHeight="1" s="49">
      <c r="A19" s="33" t="n">
        <v>17</v>
      </c>
      <c r="B19" s="34"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35" t="n"/>
      <c r="D19" s="34" t="inlineStr">
        <is>
          <t>ผู้ป่วยเป็น pre-diabetes ให้เปลี่ยนพฤติกรรมการกิน และคอยตรวจเป็นประจำทุก 1-3 ปี</t>
        </is>
      </c>
      <c r="E19" s="34" t="inlineStr">
        <is>
          <t>สงสัยว่าผู้ป่วยเป็นเบาหวาน แนะนำให้ออกกำลังกาย</t>
        </is>
      </c>
      <c r="F19" s="34" t="inlineStr">
        <is>
          <t>เป็น DM type 2 ต้องรีบให้ยาพร้อมปรับเปลี่ยนพฤติกรรมเพื่อรักษาผู้ป่วย</t>
        </is>
      </c>
      <c r="G19" s="34" t="inlineStr">
        <is>
          <t>ผู้ป่วยเป็น pre-diabetes แนะนำให้มาเจาะเลือดทุก 3 ปี</t>
        </is>
      </c>
      <c r="H19" s="34" t="inlineStr">
        <is>
          <t>ผู้ป่วยเป็น DM type 2 ให้รีบส่งต่อผู้ป่วย</t>
        </is>
      </c>
      <c r="I19" s="33" t="inlineStr">
        <is>
          <t>3</t>
        </is>
      </c>
      <c r="J19" s="34"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35" t="n"/>
      <c r="L19" s="34" t="inlineStr">
        <is>
          <t>Diabetes mellitus</t>
        </is>
      </c>
      <c r="M19" s="35" t="inlineStr">
        <is>
          <t>Clinic</t>
        </is>
      </c>
      <c r="N19" s="34" t="inlineStr">
        <is>
          <t>ข้อ 16 ชุด 1 (เฉลยข้อ ค)</t>
        </is>
      </c>
      <c r="O19" s="35" t="inlineStr">
        <is>
          <t>Mock</t>
        </is>
      </c>
      <c r="P19" s="35" t="inlineStr">
        <is>
          <t>ชุด 1</t>
        </is>
      </c>
    </row>
    <row r="20" ht="13.2" customHeight="1" s="49">
      <c r="A20" s="33" t="n">
        <v>18</v>
      </c>
      <c r="B20" s="34" t="inlineStr">
        <is>
          <t>2 ปีต่อมา ผู้ป่วยมาพบแพทย์ มีค่า Lab ดังนี้
FBS 210 mg% จ่าย Metformin 1x2 60
ค่าผลปฏิบัติการใดที่บ่งบอกว่าผู้ป่วยเป็น hyperglycemia</t>
        </is>
      </c>
      <c r="C20" s="35" t="n"/>
      <c r="D20" s="34" t="inlineStr">
        <is>
          <t>FBS 210%</t>
        </is>
      </c>
      <c r="E20" s="34" t="inlineStr">
        <is>
          <t>Cholesterol</t>
        </is>
      </c>
      <c r="F20" s="34" t="inlineStr">
        <is>
          <t>LDL</t>
        </is>
      </c>
      <c r="G20" s="34" t="inlineStr">
        <is>
          <t>HDL 35%</t>
        </is>
      </c>
      <c r="H20" s="34" t="inlineStr">
        <is>
          <t>TGS</t>
        </is>
      </c>
      <c r="I20" s="33" t="inlineStr">
        <is>
          <t>1</t>
        </is>
      </c>
      <c r="J20" s="34"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35" t="n"/>
      <c r="L20" s="34" t="inlineStr">
        <is>
          <t>Diabetes mellitus</t>
        </is>
      </c>
      <c r="M20" s="35" t="inlineStr">
        <is>
          <t>Clinic</t>
        </is>
      </c>
      <c r="N20" s="34" t="inlineStr">
        <is>
          <t>ข้อ 17 ชุด 1 (เฉลยข้อ ก)</t>
        </is>
      </c>
      <c r="O20" s="35" t="inlineStr">
        <is>
          <t>Mock</t>
        </is>
      </c>
      <c r="P20" s="35" t="inlineStr">
        <is>
          <t>ชุด 1</t>
        </is>
      </c>
    </row>
    <row r="21" ht="13.2" customHeight="1" s="49">
      <c r="A21" s="33" t="n">
        <v>19</v>
      </c>
      <c r="B21" s="34" t="inlineStr">
        <is>
          <t>2 ปีต่อมา ผู้ป่วยมาพบแพทย์ มีค่า Lab ดังนี้
FBS 210 mg% จ่าย Metformin 1x2 60
ยาที่แพทย์สั่งจ่ายอยู่ในกลุ่มใด</t>
        </is>
      </c>
      <c r="C21" s="35" t="n"/>
      <c r="D21" s="34" t="inlineStr">
        <is>
          <t>Biguanide</t>
        </is>
      </c>
      <c r="E21" s="34" t="inlineStr">
        <is>
          <t>Glitazone</t>
        </is>
      </c>
      <c r="F21" s="34" t="inlineStr">
        <is>
          <t>Sulfonylurea</t>
        </is>
      </c>
      <c r="G21" s="34" t="inlineStr">
        <is>
          <t>GLP-1 analogue</t>
        </is>
      </c>
      <c r="H21" s="34" t="inlineStr">
        <is>
          <t>Incretin analogue</t>
        </is>
      </c>
      <c r="I21" s="33" t="inlineStr">
        <is>
          <t>1</t>
        </is>
      </c>
      <c r="J21" s="34"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35" t="n"/>
      <c r="L21" s="34" t="inlineStr">
        <is>
          <t>Diabetes mellitus</t>
        </is>
      </c>
      <c r="M21" s="35" t="inlineStr">
        <is>
          <t>Clinic</t>
        </is>
      </c>
      <c r="N21" s="34" t="inlineStr">
        <is>
          <t>ข้อ 18 ชุด 1 (เฉลยข้อ ก)</t>
        </is>
      </c>
      <c r="O21" s="35" t="inlineStr">
        <is>
          <t>Mock</t>
        </is>
      </c>
      <c r="P21" s="35" t="inlineStr">
        <is>
          <t>ชุด 1</t>
        </is>
      </c>
    </row>
    <row r="22" ht="13.2" customHeight="1" s="49">
      <c r="A22" s="33" t="n">
        <v>20</v>
      </c>
      <c r="B22" s="34" t="inlineStr">
        <is>
          <t>อาการไม่พึงประสงค์ที่เกิดขึ้นบ่อยจากยาตัวนี้</t>
        </is>
      </c>
      <c r="C22" s="35" t="n"/>
      <c r="D22" s="34" t="inlineStr">
        <is>
          <t>Anorexia</t>
        </is>
      </c>
      <c r="E22" s="34" t="inlineStr">
        <is>
          <t>Flatulence</t>
        </is>
      </c>
      <c r="F22" s="34" t="inlineStr">
        <is>
          <t>Constipation</t>
        </is>
      </c>
      <c r="G22" s="34" t="inlineStr">
        <is>
          <t>Lactic acidosis</t>
        </is>
      </c>
      <c r="H22" s="34" t="inlineStr">
        <is>
          <t>Hypoglycemia</t>
        </is>
      </c>
      <c r="I22" s="33" t="inlineStr">
        <is>
          <t>1</t>
        </is>
      </c>
      <c r="J22" s="34"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35" t="n"/>
      <c r="L22" s="34" t="inlineStr">
        <is>
          <t>Diabetes mellitus</t>
        </is>
      </c>
      <c r="M22" s="35" t="inlineStr">
        <is>
          <t>Clinic</t>
        </is>
      </c>
      <c r="N22" s="34" t="inlineStr">
        <is>
          <t>ข้อ 19 ชุด 1 (เฉลยข้อ ก)</t>
        </is>
      </c>
      <c r="O22" s="35" t="inlineStr">
        <is>
          <t>Mock</t>
        </is>
      </c>
      <c r="P22" s="35" t="inlineStr">
        <is>
          <t>ชุด 1</t>
        </is>
      </c>
    </row>
    <row r="23" ht="13.2" customHeight="1" s="49">
      <c r="A23" s="33" t="n">
        <v>21</v>
      </c>
      <c r="B23"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35" t="n"/>
      <c r="D23" s="34" t="inlineStr">
        <is>
          <t>Flatulence</t>
        </is>
      </c>
      <c r="E23" s="34" t="inlineStr">
        <is>
          <t>Hypoglycemia</t>
        </is>
      </c>
      <c r="F23" s="34" t="inlineStr">
        <is>
          <t>Dizziness</t>
        </is>
      </c>
      <c r="G23" s="34" t="inlineStr">
        <is>
          <t>Headache</t>
        </is>
      </c>
      <c r="H23" s="34" t="inlineStr">
        <is>
          <t>Photosensitivity</t>
        </is>
      </c>
      <c r="I23" s="33" t="inlineStr">
        <is>
          <t>1</t>
        </is>
      </c>
      <c r="J23" s="34"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35" t="n"/>
      <c r="L23" s="34" t="inlineStr">
        <is>
          <t>Diabetes mellitus</t>
        </is>
      </c>
      <c r="M23" s="35" t="inlineStr">
        <is>
          <t>Clinic</t>
        </is>
      </c>
      <c r="N23" s="34" t="inlineStr">
        <is>
          <t>ข้อ 20 ชุด 1 (เฉลยข้อ ก)</t>
        </is>
      </c>
      <c r="O23" s="35" t="inlineStr">
        <is>
          <t>Mock</t>
        </is>
      </c>
      <c r="P23" s="35" t="inlineStr">
        <is>
          <t>ชุด 1</t>
        </is>
      </c>
    </row>
    <row r="24" ht="13.2" customHeight="1" s="49">
      <c r="A24" s="33" t="n">
        <v>22</v>
      </c>
      <c r="B24"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35" t="n"/>
      <c r="D24" s="34" t="inlineStr">
        <is>
          <t>Glipizide</t>
        </is>
      </c>
      <c r="E24" s="34" t="inlineStr">
        <is>
          <t>Glibenclamide</t>
        </is>
      </c>
      <c r="F24" s="34" t="inlineStr">
        <is>
          <t>Metformin</t>
        </is>
      </c>
      <c r="G24" s="34" t="inlineStr">
        <is>
          <t>Insulin lispro</t>
        </is>
      </c>
      <c r="H24" s="34" t="inlineStr">
        <is>
          <t>Insulin glargine</t>
        </is>
      </c>
      <c r="I24" s="33" t="inlineStr">
        <is>
          <t>3</t>
        </is>
      </c>
      <c r="J24" s="34"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35" t="n"/>
      <c r="L24" s="34" t="inlineStr">
        <is>
          <t>Diabetes mellitus</t>
        </is>
      </c>
      <c r="M24" s="35" t="inlineStr">
        <is>
          <t>Clinic</t>
        </is>
      </c>
      <c r="N24" s="34" t="inlineStr">
        <is>
          <t>ข้อ 21 ชุด 1 (เฉลยข้อ ค)</t>
        </is>
      </c>
      <c r="O24" s="35" t="inlineStr">
        <is>
          <t>Mock</t>
        </is>
      </c>
      <c r="P24" s="35" t="inlineStr">
        <is>
          <t>ชุด 1</t>
        </is>
      </c>
    </row>
    <row r="25" ht="13.2" customHeight="1" s="49">
      <c r="A25" s="33" t="n">
        <v>23</v>
      </c>
      <c r="B25" s="34" t="inlineStr">
        <is>
          <t>ผู้ป่วยโรคใดมีข้อห้ามใช้ยา metformin</t>
        </is>
      </c>
      <c r="C25" s="35" t="n"/>
      <c r="D25" s="34" t="inlineStr">
        <is>
          <t>Lactic acidosis</t>
        </is>
      </c>
      <c r="E25" s="34" t="inlineStr">
        <is>
          <t>Obesity</t>
        </is>
      </c>
      <c r="F25" s="34" t="inlineStr">
        <is>
          <t>Hypertension</t>
        </is>
      </c>
      <c r="G25" s="34" t="inlineStr">
        <is>
          <t>Hyperlipidemia</t>
        </is>
      </c>
      <c r="H25" s="34" t="inlineStr">
        <is>
          <t>Gastric ulcer</t>
        </is>
      </c>
      <c r="I25" s="33" t="inlineStr">
        <is>
          <t>1</t>
        </is>
      </c>
      <c r="J25" s="34"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35" t="n"/>
      <c r="L25" s="34" t="inlineStr">
        <is>
          <t>Diabetes mellitus</t>
        </is>
      </c>
      <c r="M25" s="35" t="inlineStr">
        <is>
          <t>Clinic</t>
        </is>
      </c>
      <c r="N25" s="34" t="inlineStr">
        <is>
          <t>ข้อ 22 ชุด 1 (เฉลยข้อ ก)</t>
        </is>
      </c>
      <c r="O25" s="35" t="inlineStr">
        <is>
          <t>Mock</t>
        </is>
      </c>
      <c r="P25" s="35" t="inlineStr">
        <is>
          <t>ชุด 1</t>
        </is>
      </c>
    </row>
    <row r="26" ht="13.2" customHeight="1" s="49">
      <c r="A26" s="33" t="n">
        <v>24</v>
      </c>
      <c r="B26" s="34"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35" t="n"/>
      <c r="D26" s="34" t="inlineStr">
        <is>
          <t>ACEIs</t>
        </is>
      </c>
      <c r="E26" s="34" t="inlineStr">
        <is>
          <t>Alpha-blockers</t>
        </is>
      </c>
      <c r="F26" s="34" t="inlineStr">
        <is>
          <t>B-blockers</t>
        </is>
      </c>
      <c r="G26" s="34" t="inlineStr">
        <is>
          <t>Loop diuretics</t>
        </is>
      </c>
      <c r="H26" s="34" t="inlineStr">
        <is>
          <t>Thiazides</t>
        </is>
      </c>
      <c r="I26" s="33" t="inlineStr">
        <is>
          <t>1</t>
        </is>
      </c>
      <c r="J26" s="34"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35" t="n"/>
      <c r="L26" s="34" t="inlineStr">
        <is>
          <t>Diabetes mellitus</t>
        </is>
      </c>
      <c r="M26" s="35" t="inlineStr">
        <is>
          <t>Clinic</t>
        </is>
      </c>
      <c r="N26" s="34" t="inlineStr">
        <is>
          <t>ข้อ 23 ชุด 1 (เฉลยข้อ ก)</t>
        </is>
      </c>
      <c r="O26" s="35" t="inlineStr">
        <is>
          <t>Mock</t>
        </is>
      </c>
      <c r="P26" s="35" t="inlineStr">
        <is>
          <t>ชุด 1</t>
        </is>
      </c>
    </row>
    <row r="27" ht="13.2" customHeight="1" s="49">
      <c r="A27" s="33" t="n">
        <v>25</v>
      </c>
      <c r="B27" s="34" t="inlineStr">
        <is>
          <t>กลไกการออกฤทธิ์ของยา chlorpropamide ในผู้ป่วยโรคเบาหวานได้แก่</t>
        </is>
      </c>
      <c r="C27" s="35" t="n"/>
      <c r="D27" s="34" t="inlineStr">
        <is>
          <t>เพิ่ม insulin resistance ในผู้ป่วย</t>
        </is>
      </c>
      <c r="E27" s="34" t="inlineStr">
        <is>
          <t>ลด insulin resistance ในผู้ป่วย</t>
        </is>
      </c>
      <c r="F27" s="34" t="inlineStr">
        <is>
          <t>กระตุ้นการหลั่งของ insulin ในผู้ป่วย</t>
        </is>
      </c>
      <c r="G27" s="34" t="inlineStr">
        <is>
          <t>ข้อ ก และ ค ถูก</t>
        </is>
      </c>
      <c r="H27" s="34" t="inlineStr">
        <is>
          <t>ข้อ ข และ ค ถูก</t>
        </is>
      </c>
      <c r="I27" s="33" t="inlineStr">
        <is>
          <t>3</t>
        </is>
      </c>
      <c r="J27"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35" t="n"/>
      <c r="L27" s="34" t="inlineStr">
        <is>
          <t>Diabetes mellitus</t>
        </is>
      </c>
      <c r="M27" s="35" t="inlineStr">
        <is>
          <t>Clinic</t>
        </is>
      </c>
      <c r="N27" s="34" t="inlineStr">
        <is>
          <t>ข้อ 29 ชุด 1 (เฉลยข้อ ค)</t>
        </is>
      </c>
      <c r="O27" s="35" t="inlineStr">
        <is>
          <t>Mock</t>
        </is>
      </c>
      <c r="P27" s="35" t="inlineStr">
        <is>
          <t>ชุด 1</t>
        </is>
      </c>
    </row>
    <row r="28" ht="13.2" customHeight="1" s="49">
      <c r="A28" s="33" t="n">
        <v>26</v>
      </c>
      <c r="B28"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35" t="n"/>
      <c r="D28" s="34" t="inlineStr">
        <is>
          <t>ให้ผู้ป่วยหยุดยาทันทีเนื่องจากมีอาการแพ้ยา</t>
        </is>
      </c>
      <c r="E28" s="34" t="inlineStr">
        <is>
          <t>ให้เปลี่ยนขนาดยาเป็น 50 mg qd</t>
        </is>
      </c>
      <c r="F28" s="34" t="inlineStr">
        <is>
          <t>ให้ผู้ป่วยรับประทานยาหลังอาหาร</t>
        </is>
      </c>
      <c r="G28" s="34" t="inlineStr">
        <is>
          <t>ให้ผู้ป่วยรับประทานยาลดอาการคลื่นไส้อาเจียนร่วมด้วย</t>
        </is>
      </c>
      <c r="H28" s="34" t="inlineStr">
        <is>
          <t>ข้อ ข และ ค ถูกต้อง</t>
        </is>
      </c>
      <c r="I28" s="33" t="inlineStr">
        <is>
          <t>4</t>
        </is>
      </c>
      <c r="J28" s="34"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35" t="n"/>
      <c r="L28" s="34" t="inlineStr">
        <is>
          <t>Diabetes mellitus</t>
        </is>
      </c>
      <c r="M28" s="35" t="inlineStr">
        <is>
          <t>Clinic</t>
        </is>
      </c>
      <c r="N28" s="34" t="inlineStr">
        <is>
          <t>ข้อ 30 ชุด 1 (เฉลยข้อ ง)</t>
        </is>
      </c>
      <c r="O28" s="35" t="inlineStr">
        <is>
          <t>Mock</t>
        </is>
      </c>
      <c r="P28" s="35" t="inlineStr">
        <is>
          <t>ชุด 1</t>
        </is>
      </c>
    </row>
    <row r="29" ht="13.2" customHeight="1" s="49">
      <c r="A29" s="33" t="n">
        <v>27</v>
      </c>
      <c r="B29"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35" t="n"/>
      <c r="D29" s="34" t="inlineStr">
        <is>
          <t>อาการคลื่นไส้ อาเจียน</t>
        </is>
      </c>
      <c r="E29" s="34" t="inlineStr">
        <is>
          <t>ระดับน้ำตาลในเลือดต่ำ</t>
        </is>
      </c>
      <c r="F29" s="34" t="inlineStr">
        <is>
          <t>ผื่นคันตามผิวหนัง</t>
        </is>
      </c>
      <c r="G29" s="34" t="inlineStr">
        <is>
          <t>ข้อ ข และ ค ถูก</t>
        </is>
      </c>
      <c r="H29" s="34" t="inlineStr">
        <is>
          <t>ข้อ ก ข และ ค ถูก</t>
        </is>
      </c>
      <c r="I29" s="33" t="inlineStr">
        <is>
          <t>5</t>
        </is>
      </c>
      <c r="J29" s="34"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35" t="n"/>
      <c r="L29" s="34" t="inlineStr">
        <is>
          <t>Diabetes mellitus</t>
        </is>
      </c>
      <c r="M29" s="35" t="inlineStr">
        <is>
          <t>Clinic</t>
        </is>
      </c>
      <c r="N29" s="34" t="inlineStr">
        <is>
          <t>ข้อ 31 ชุด 1 (เฉลยข้อ จ)</t>
        </is>
      </c>
      <c r="O29" s="35" t="inlineStr">
        <is>
          <t>Mock</t>
        </is>
      </c>
      <c r="P29" s="35" t="inlineStr">
        <is>
          <t>ชุด 1</t>
        </is>
      </c>
    </row>
    <row r="30" ht="13.2" customHeight="1" s="49">
      <c r="A30" s="33" t="n">
        <v>28</v>
      </c>
      <c r="B30" s="34"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35" t="n"/>
      <c r="D30" s="34" t="inlineStr">
        <is>
          <t>แนะนำให้ผู้ป่วยดื่มได้ตามปกติ</t>
        </is>
      </c>
      <c r="E30" s="34" t="inlineStr">
        <is>
          <t>แนะนำให้ผู้ป่วยดื่มได้บ้างแต่จำนวนน้อยลง</t>
        </is>
      </c>
      <c r="F30" s="34" t="inlineStr">
        <is>
          <t>แนะนำให้ผู้ป่วยหยุดดื่มจนกว่าอาการคลื่นไส้อาเจียนจะหายไป</t>
        </is>
      </c>
      <c r="G30" s="34" t="inlineStr">
        <is>
          <t>หากผู้ป่วยต้องการดื่มแอลกอฮอล์ให้ดื่มอย่างน้อย 2 ชั่วโมงก่อนหรือหลังรับประทานยา</t>
        </is>
      </c>
      <c r="H30" s="34" t="inlineStr">
        <is>
          <t>ให้ผู้ป่วยหยุดดื่มหากรับประทานยาตัวนี้อยู่</t>
        </is>
      </c>
      <c r="I30" s="33" t="inlineStr">
        <is>
          <t>5</t>
        </is>
      </c>
      <c r="J30" s="34"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35" t="n"/>
      <c r="L30" s="34" t="inlineStr">
        <is>
          <t>Diabetes mellitus</t>
        </is>
      </c>
      <c r="M30" s="35" t="inlineStr">
        <is>
          <t>Clinic</t>
        </is>
      </c>
      <c r="N30" s="34" t="inlineStr">
        <is>
          <t>ข้อ 32 ชุด 1 (เฉลยข้อ จ)</t>
        </is>
      </c>
      <c r="O30" s="35" t="inlineStr">
        <is>
          <t>Mock</t>
        </is>
      </c>
      <c r="P30" s="35" t="inlineStr">
        <is>
          <t>ชุด 1</t>
        </is>
      </c>
    </row>
    <row r="31" ht="13.2" customHeight="1" s="49">
      <c r="A31" s="33" t="n">
        <v>29</v>
      </c>
      <c r="B31" s="34"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35" t="n"/>
      <c r="D31" s="34" t="inlineStr">
        <is>
          <t>Allergic reaction</t>
        </is>
      </c>
      <c r="E31" s="34" t="inlineStr">
        <is>
          <t>Toxic reaction</t>
        </is>
      </c>
      <c r="F31" s="34" t="inlineStr">
        <is>
          <t>Overdose</t>
        </is>
      </c>
      <c r="G31" s="34" t="inlineStr">
        <is>
          <t>ผู้ป่วยไม่สามารถควบคุมการรับประทานอาหารให้เหมาะสมได้</t>
        </is>
      </c>
      <c r="H31" s="34" t="inlineStr">
        <is>
          <t>เป็นผลข้างเคียงจากยาตัวนี้</t>
        </is>
      </c>
      <c r="I31" s="33" t="inlineStr">
        <is>
          <t>5</t>
        </is>
      </c>
      <c r="J31" s="34"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35" t="n"/>
      <c r="L31" s="34" t="inlineStr">
        <is>
          <t>Diabetes mellitus</t>
        </is>
      </c>
      <c r="M31" s="35" t="inlineStr">
        <is>
          <t>Clinic</t>
        </is>
      </c>
      <c r="N31" s="34" t="inlineStr">
        <is>
          <t>ข้อ 33 ชุด 1 (เฉลยข้อ จ)</t>
        </is>
      </c>
      <c r="O31" s="35" t="inlineStr">
        <is>
          <t>Mock</t>
        </is>
      </c>
      <c r="P31" s="35" t="inlineStr">
        <is>
          <t>ชุด 1</t>
        </is>
      </c>
    </row>
    <row r="32" ht="13.2" customHeight="1" s="49">
      <c r="A32" s="33" t="n">
        <v>30</v>
      </c>
      <c r="B32" s="34"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35" t="n"/>
      <c r="D32" s="34" t="inlineStr">
        <is>
          <t>ขนาดยา tolbutamide ที่ได้รับมีขนาดสูงเกินไป</t>
        </is>
      </c>
      <c r="E32" s="34" t="inlineStr">
        <is>
          <t>มีการเสริมฤทธิ์กันระหว่างยา Chlorpropamide และ tolbutamide เนื่องจากระยะเวลาในการออกฤทธิ์ของยา chlorpropamide เนิ่นนาน</t>
        </is>
      </c>
      <c r="F32" s="34" t="inlineStr">
        <is>
          <t>เป็นภาวะปกติของผู้ป่วยโรคเบาหวานเมื่อมีการเปลี่ยนแปลงยา</t>
        </is>
      </c>
      <c r="G32" s="34" t="inlineStr">
        <is>
          <t>ผู้ป่วยอาจรับประทานอาหารไม่ตรงเวลา และมีอาการคลื่นไส้อาเจียนที่เกิดจากผลข้างเคียงจากยา</t>
        </is>
      </c>
      <c r="H32" s="34" t="inlineStr">
        <is>
          <t>ไม่มีข้อใดถูก</t>
        </is>
      </c>
      <c r="I32" s="33" t="inlineStr">
        <is>
          <t>2</t>
        </is>
      </c>
      <c r="J32" s="34"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35" t="n"/>
      <c r="L32" s="34" t="inlineStr">
        <is>
          <t>Diabetes mellitus</t>
        </is>
      </c>
      <c r="M32" s="35" t="inlineStr">
        <is>
          <t>Clinic</t>
        </is>
      </c>
      <c r="N32" s="34" t="inlineStr">
        <is>
          <t>ข้อ 34 ชุด 1 (เฉลยข้อ ข)</t>
        </is>
      </c>
      <c r="O32" s="35" t="inlineStr">
        <is>
          <t>Mock</t>
        </is>
      </c>
      <c r="P32" s="35" t="inlineStr">
        <is>
          <t>ชุด 1</t>
        </is>
      </c>
    </row>
    <row r="33" ht="13.2" customHeight="1" s="49">
      <c r="A33" s="33" t="n">
        <v>31</v>
      </c>
      <c r="B33" s="34"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35" t="n"/>
      <c r="D33" s="34" t="inlineStr">
        <is>
          <t>Chlorpropamide &gt; glyburide &gt; glipizide &gt; tolbutamide</t>
        </is>
      </c>
      <c r="E33" s="34" t="inlineStr">
        <is>
          <t>Tolbutamide &gt; glipizide &gt; glyburide &gt; chlorpropamide</t>
        </is>
      </c>
      <c r="F33" s="34" t="inlineStr">
        <is>
          <t>Glyburide &gt; tolbutamide &gt; glipizide &gt; chlorpropamide</t>
        </is>
      </c>
      <c r="G33" s="34" t="inlineStr">
        <is>
          <t>Glipizide &gt; glyburide &gt; chlorpropamide &gt; tolbutamide</t>
        </is>
      </c>
      <c r="H33" s="34" t="inlineStr">
        <is>
          <t>Tolbutamide &gt; chlorpropamide &gt; glyburide &gt; glipizide</t>
        </is>
      </c>
      <c r="I33" s="33" t="inlineStr">
        <is>
          <t>1</t>
        </is>
      </c>
      <c r="J33"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35" t="n"/>
      <c r="L33" s="34" t="inlineStr">
        <is>
          <t>Diabetes mellitus</t>
        </is>
      </c>
      <c r="M33" s="35" t="inlineStr">
        <is>
          <t>Clinic</t>
        </is>
      </c>
      <c r="N33" s="34" t="inlineStr">
        <is>
          <t>ข้อ 35 ชุด 1 (เฉลยข้อ ก)</t>
        </is>
      </c>
      <c r="O33" s="35" t="inlineStr">
        <is>
          <t>Mock</t>
        </is>
      </c>
      <c r="P33" s="35" t="inlineStr">
        <is>
          <t>ชุด 1</t>
        </is>
      </c>
    </row>
    <row r="34" ht="13.2" customHeight="1" s="49">
      <c r="A34" s="33" t="n">
        <v>32</v>
      </c>
      <c r="B34"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35" t="n"/>
      <c r="D34" s="34" t="inlineStr">
        <is>
          <t>หิวน้ำบ่อย</t>
        </is>
      </c>
      <c r="E34" s="34" t="inlineStr">
        <is>
          <t>ปัสสาวะบ่อย</t>
        </is>
      </c>
      <c r="F34" s="34" t="inlineStr">
        <is>
          <t>เจ็บหน้าอก</t>
        </is>
      </c>
      <c r="G34" s="34" t="inlineStr">
        <is>
          <t>น้ำหนักลด</t>
        </is>
      </c>
      <c r="H34" s="34" t="inlineStr">
        <is>
          <t>อ่อนเพลีย</t>
        </is>
      </c>
      <c r="I34" s="33" t="inlineStr">
        <is>
          <t>3</t>
        </is>
      </c>
      <c r="J34" s="34"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35" t="n"/>
      <c r="L34" s="34" t="inlineStr">
        <is>
          <t>Diabetes mellitus</t>
        </is>
      </c>
      <c r="M34" s="35" t="inlineStr">
        <is>
          <t>Clinic</t>
        </is>
      </c>
      <c r="N34" s="34" t="inlineStr">
        <is>
          <t>ข้อ 36 ชุด 1 (เฉลยข้อ ค)</t>
        </is>
      </c>
      <c r="O34" s="35" t="inlineStr">
        <is>
          <t>Mock</t>
        </is>
      </c>
      <c r="P34" s="35" t="inlineStr">
        <is>
          <t>ชุด 1</t>
        </is>
      </c>
    </row>
    <row r="35" ht="13.2" customHeight="1" s="49">
      <c r="A35" s="33" t="n">
        <v>33</v>
      </c>
      <c r="B35"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35" t="n"/>
      <c r="D35" s="34" t="inlineStr">
        <is>
          <t>ยา glibenclamide ควรรับประทานก่อนอาหารประมาณ 30 นาที</t>
        </is>
      </c>
      <c r="E35" s="34" t="inlineStr">
        <is>
          <t>ยา aspirin ควรรับประทานหลังอาหารทันที</t>
        </is>
      </c>
      <c r="F35" s="34" t="inlineStr">
        <is>
          <t>อาการไม่พึงประสงค์ที่อาจพบสำหรับยา glibenclamide คือ weight gain</t>
        </is>
      </c>
      <c r="G35" s="34" t="inlineStr">
        <is>
          <t>อาการไม่พึงประสงค์ของยา metformin ที่พบบ่อยได้แก่ hypoglycemia</t>
        </is>
      </c>
      <c r="H35" s="34" t="inlineStr">
        <is>
          <t>ไม่ควรดื่ม alcohol ร่วมกับยา glibenclamide</t>
        </is>
      </c>
      <c r="I35" s="33" t="inlineStr">
        <is>
          <t>4</t>
        </is>
      </c>
      <c r="J35" s="34"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35" t="n"/>
      <c r="L35" s="34" t="inlineStr">
        <is>
          <t>Diabetes mellitus</t>
        </is>
      </c>
      <c r="M35" s="35" t="inlineStr">
        <is>
          <t>Clinic</t>
        </is>
      </c>
      <c r="N35" s="34" t="inlineStr">
        <is>
          <t>ข้อ 37 ชุด 1 (เฉลยข้อ ง)</t>
        </is>
      </c>
      <c r="O35" s="35" t="inlineStr">
        <is>
          <t>Mock</t>
        </is>
      </c>
      <c r="P35" s="35" t="inlineStr">
        <is>
          <t>ชุด 1</t>
        </is>
      </c>
    </row>
    <row r="36" ht="13.2" customHeight="1" s="49">
      <c r="A36" s="33" t="n">
        <v>34</v>
      </c>
      <c r="B36" s="34"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35" t="n"/>
      <c r="D36" s="34" t="inlineStr">
        <is>
          <t>Glucosidase</t>
        </is>
      </c>
      <c r="E36" s="34" t="inlineStr">
        <is>
          <t>Rosiglitazone</t>
        </is>
      </c>
      <c r="F36" s="34" t="inlineStr">
        <is>
          <t>Chlorpropamide</t>
        </is>
      </c>
      <c r="G36" s="34" t="inlineStr">
        <is>
          <t>Pioglitazone</t>
        </is>
      </c>
      <c r="H36" s="34" t="inlineStr">
        <is>
          <t>สามารถใช้ได้ทั้งหมด</t>
        </is>
      </c>
      <c r="I36" s="33" t="inlineStr">
        <is>
          <t>1</t>
        </is>
      </c>
      <c r="J36" s="34"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35" t="n"/>
      <c r="L36" s="34" t="inlineStr">
        <is>
          <t>Diabetes mellitus</t>
        </is>
      </c>
      <c r="M36" s="35" t="inlineStr">
        <is>
          <t>Clinic</t>
        </is>
      </c>
      <c r="N36" s="34" t="inlineStr">
        <is>
          <t>ข้อ 38 ชุด 1 (เฉลยข้อ ก ค ง)</t>
        </is>
      </c>
      <c r="O36" s="35" t="inlineStr">
        <is>
          <t>Mock</t>
        </is>
      </c>
      <c r="P36" s="35" t="inlineStr">
        <is>
          <t>ชุด 1</t>
        </is>
      </c>
    </row>
    <row r="37" ht="13.2" customHeight="1" s="49">
      <c r="A37" s="33" t="n">
        <v>35</v>
      </c>
      <c r="B37" s="34" t="inlineStr">
        <is>
          <t>ข้อใดกล่าวถูกต้องเกี่ยวกับกลไกการออกฤทธิ์ของ glibenclamide</t>
        </is>
      </c>
      <c r="C37" s="35" t="n"/>
      <c r="D37" s="34" t="inlineStr">
        <is>
          <t>กระตุ้นการหลั่ง glucagon</t>
        </is>
      </c>
      <c r="E37" s="34" t="inlineStr">
        <is>
          <t>กระตุ้นการหลั่ง insulin จากตับอ่อน</t>
        </is>
      </c>
      <c r="F37" s="34" t="inlineStr">
        <is>
          <t>ลดการทำลาย insulin ที่ตับ</t>
        </is>
      </c>
      <c r="G37" s="34" t="inlineStr">
        <is>
          <t>กระตุ้นการหลั่ง somatostatin</t>
        </is>
      </c>
      <c r="H37" s="34" t="inlineStr">
        <is>
          <t>ทำให้ตอบสนองต่อ Insulin ดีขึ้น</t>
        </is>
      </c>
      <c r="I37" s="33" t="inlineStr">
        <is>
          <t>2</t>
        </is>
      </c>
      <c r="J37" s="34"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35" t="n"/>
      <c r="L37" s="34" t="inlineStr">
        <is>
          <t>Diabetes mellitus</t>
        </is>
      </c>
      <c r="M37" s="35" t="inlineStr">
        <is>
          <t>Clinic</t>
        </is>
      </c>
      <c r="N37" s="34" t="inlineStr">
        <is>
          <t>ข้อ 39 ชุด 1 (เฉลยข้อ ข)</t>
        </is>
      </c>
      <c r="O37" s="35" t="inlineStr">
        <is>
          <t>Mock</t>
        </is>
      </c>
      <c r="P37" s="35" t="inlineStr">
        <is>
          <t>ชุด 1</t>
        </is>
      </c>
    </row>
    <row r="38" ht="13.2" customHeight="1" s="49">
      <c r="A38" s="33" t="n">
        <v>36</v>
      </c>
      <c r="B38" s="34" t="inlineStr">
        <is>
          <t>ข้อใดเป็นผลที่อาจเกิดขึ้นได้จากการใช้ยา glibenclamide เป็นระยะเวลานาน</t>
        </is>
      </c>
      <c r="C38" s="35" t="n"/>
      <c r="D38" s="34" t="inlineStr">
        <is>
          <t>Desensitization of sulfonylureas receptor</t>
        </is>
      </c>
      <c r="E38" s="34" t="inlineStr">
        <is>
          <t>Up-regulation of sulfonylureas receptor</t>
        </is>
      </c>
      <c r="F38" s="34" t="inlineStr">
        <is>
          <t>Down-regulation of sulfonylureas receptor</t>
        </is>
      </c>
      <c r="G38" s="34" t="inlineStr">
        <is>
          <t>Hyperinsulinemia</t>
        </is>
      </c>
      <c r="H38" s="34" t="inlineStr">
        <is>
          <t>Increase insulin sensitivity</t>
        </is>
      </c>
      <c r="I38" s="33" t="inlineStr">
        <is>
          <t>3</t>
        </is>
      </c>
      <c r="J38" s="34"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35" t="n"/>
      <c r="L38" s="34" t="inlineStr">
        <is>
          <t>Diabetes mellitus</t>
        </is>
      </c>
      <c r="M38" s="35" t="inlineStr">
        <is>
          <t>Clinic</t>
        </is>
      </c>
      <c r="N38" s="34" t="inlineStr">
        <is>
          <t>ข้อ 40 ชุด 1 (เฉลยข้อ ค)</t>
        </is>
      </c>
      <c r="O38" s="35" t="inlineStr">
        <is>
          <t>Mock</t>
        </is>
      </c>
      <c r="P38" s="35" t="inlineStr">
        <is>
          <t>ชุด 1</t>
        </is>
      </c>
    </row>
    <row r="39" ht="13.2" customHeight="1" s="49">
      <c r="A39" s="33" t="n">
        <v>37</v>
      </c>
      <c r="B39" s="34"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35" t="n"/>
      <c r="D39" s="34" t="inlineStr">
        <is>
          <t>มีผลโดยเสริมฤทธิ์ยับยั้งการแข็งตัวของเกร็ดเลือดของ aspirin</t>
        </is>
      </c>
      <c r="E39" s="34" t="inlineStr">
        <is>
          <t>มีผลโดยเสริมฤทธิ์ลดน้ำตาลในเลือดของ metformin</t>
        </is>
      </c>
      <c r="F39" s="34" t="inlineStr">
        <is>
          <t>มีผลโดยลดประสิทธิภาพการจับของยา isosorbide mononitrate</t>
        </is>
      </c>
      <c r="G39" s="34" t="inlineStr">
        <is>
          <t>มีผลโดยลดประสิทธิภาพการลดน้ำตาลในเลือดของ glibenclamide</t>
        </is>
      </c>
      <c r="H39" s="34" t="inlineStr">
        <is>
          <t>ไม่มี อันตรกิริยากับยาที่ได้รับจากโรงพยาบาล</t>
        </is>
      </c>
      <c r="I39" s="33" t="inlineStr">
        <is>
          <t>1</t>
        </is>
      </c>
      <c r="J39" s="34"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35" t="n"/>
      <c r="L39" s="34" t="inlineStr">
        <is>
          <t>Diabetes mellitus</t>
        </is>
      </c>
      <c r="M39" s="35" t="inlineStr">
        <is>
          <t>Clinic</t>
        </is>
      </c>
      <c r="N39" s="34" t="inlineStr">
        <is>
          <t>ข้อ 41 ชุด 1 (เฉลยข้อ ก)</t>
        </is>
      </c>
      <c r="O39" s="35" t="inlineStr">
        <is>
          <t>Mock</t>
        </is>
      </c>
      <c r="P39" s="35" t="inlineStr">
        <is>
          <t>ชุด 1</t>
        </is>
      </c>
    </row>
    <row r="40" ht="13.2" customHeight="1" s="49">
      <c r="A40" s="33" t="n">
        <v>38</v>
      </c>
      <c r="B40"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35" t="n"/>
      <c r="D40" s="34" t="inlineStr">
        <is>
          <t>FPG 70-130, HbA1c &lt; 10</t>
        </is>
      </c>
      <c r="E40" s="34" t="inlineStr">
        <is>
          <t>FPG 70-150, HbA1c &lt; 7</t>
        </is>
      </c>
      <c r="F40" s="34" t="inlineStr">
        <is>
          <t>FPG 70-130, HbA1c &lt; 7</t>
        </is>
      </c>
      <c r="G40" s="34" t="inlineStr">
        <is>
          <t>FPG 80-150, HbA1c &lt; 10</t>
        </is>
      </c>
      <c r="H40" s="34" t="inlineStr">
        <is>
          <t>FPG 80-130, HbA1c &lt; 7</t>
        </is>
      </c>
      <c r="I40" s="33" t="inlineStr">
        <is>
          <t>5</t>
        </is>
      </c>
      <c r="J40" s="34"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35" t="n"/>
      <c r="L40" s="34" t="inlineStr">
        <is>
          <t>Diabetes mellitus</t>
        </is>
      </c>
      <c r="M40" s="35" t="inlineStr">
        <is>
          <t>Clinic</t>
        </is>
      </c>
      <c r="N40" s="34" t="inlineStr">
        <is>
          <t>ข้อ 42 ชุด 1 (เฉลยข้อ จ)</t>
        </is>
      </c>
      <c r="O40" s="35" t="inlineStr">
        <is>
          <t>Mock</t>
        </is>
      </c>
      <c r="P40" s="35" t="inlineStr">
        <is>
          <t>ชุด 1</t>
        </is>
      </c>
    </row>
    <row r="41" ht="13.2" customHeight="1" s="49">
      <c r="A41" s="33" t="n">
        <v>39</v>
      </c>
      <c r="B41" s="34"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35" t="n"/>
      <c r="D41" s="34" t="inlineStr">
        <is>
          <t>รับประทานหลังอาหารทันที</t>
        </is>
      </c>
      <c r="E41" s="34" t="inlineStr">
        <is>
          <t>รับประทานก่อนอาหาร 30 นาที และให้อยู่ในท่านั่งห้ามนอน</t>
        </is>
      </c>
      <c r="F41" s="34" t="inlineStr">
        <is>
          <t>รับประทานโดยเคี้ยวพร้อมอาหารคำแรก</t>
        </is>
      </c>
      <c r="G41" s="34" t="inlineStr">
        <is>
          <t>รับประทานหลังอาหารไขมันเพื่อเพิ่มการดูดซึม</t>
        </is>
      </c>
      <c r="H41" s="34" t="inlineStr">
        <is>
          <t>ห้ามรับประทานพร้อมกับนม</t>
        </is>
      </c>
      <c r="I41" s="33" t="inlineStr">
        <is>
          <t>3</t>
        </is>
      </c>
      <c r="J41" s="34"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35" t="n"/>
      <c r="L41" s="34" t="inlineStr">
        <is>
          <t>Diabetes mellitus</t>
        </is>
      </c>
      <c r="M41" s="35" t="inlineStr">
        <is>
          <t>Clinic</t>
        </is>
      </c>
      <c r="N41" s="34" t="inlineStr">
        <is>
          <t>ข้อ 43 ชุด 1 (เฉลยข้อ ค)</t>
        </is>
      </c>
      <c r="O41" s="35" t="inlineStr">
        <is>
          <t>Mock</t>
        </is>
      </c>
      <c r="P41" s="35" t="inlineStr">
        <is>
          <t>ชุด 1</t>
        </is>
      </c>
    </row>
    <row r="42" ht="13.2" customHeight="1" s="49">
      <c r="A42" s="33" t="n">
        <v>40</v>
      </c>
      <c r="B42" s="34" t="inlineStr">
        <is>
          <t>เกี่ยวกับ glipizide ข้อใดผิด</t>
        </is>
      </c>
      <c r="C42" s="35" t="n"/>
      <c r="D42" s="34" t="inlineStr">
        <is>
          <t>glipizide มีคุณสมบัติค่อนข้าง non-polar</t>
        </is>
      </c>
      <c r="E42" s="34" t="inlineStr">
        <is>
          <t>glipizide เมื่อละลายในต่างละลายได้ดี</t>
        </is>
      </c>
      <c r="F42" s="34" t="inlineStr">
        <is>
          <t>การเตรียมยา glipizide แบบ extended release tablet ไม่จำเป็นต้องทำในรูป salt form</t>
        </is>
      </c>
      <c r="G42" s="34" t="inlineStr">
        <is>
          <t>Glipizide มีสูตรโครงสร้างคล้ายกับ metformin</t>
        </is>
      </c>
      <c r="H42" s="34" t="inlineStr">
        <is>
          <t>Glipizide จัดอยู่ในกลุ่ม second generation drug ของการรักษา type 2 diabetes</t>
        </is>
      </c>
      <c r="I42" s="33" t="inlineStr">
        <is>
          <t>4</t>
        </is>
      </c>
      <c r="J42" s="34"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35" t="n"/>
      <c r="L42" s="34" t="inlineStr">
        <is>
          <t>Diabetes mellitus</t>
        </is>
      </c>
      <c r="M42" s="35" t="inlineStr">
        <is>
          <t>Clinic</t>
        </is>
      </c>
      <c r="N42" s="34" t="inlineStr">
        <is>
          <t>ข้อ 50 ชุด 1 (เฉลยข้อ ง)</t>
        </is>
      </c>
      <c r="O42" s="35" t="inlineStr">
        <is>
          <t>Mock</t>
        </is>
      </c>
      <c r="P42" s="35" t="inlineStr">
        <is>
          <t>ชุด 1</t>
        </is>
      </c>
    </row>
    <row r="43" ht="13.2" customHeight="1" s="49">
      <c r="A43" s="33" t="n">
        <v>41</v>
      </c>
      <c r="B43" s="34" t="inlineStr">
        <is>
          <t>Rosiglitazone เป็นยาลดระดับน้ำตาลในเลือดที่ ห้ามใช้ ในโรคเบาหวานชนิดที่ 1 เพราะ</t>
        </is>
      </c>
      <c r="C43" s="35" t="n"/>
      <c r="D43" s="34" t="inlineStr">
        <is>
          <t>ลดระดับน้ำตาลในเลือดได้น้อยเมื่อให้ร่วมกับ insulin</t>
        </is>
      </c>
      <c r="E43" s="34" t="inlineStr">
        <is>
          <t>ลดระดับ insulin</t>
        </is>
      </c>
      <c r="F43" s="34" t="inlineStr">
        <is>
          <t>ทำให้ insulin ไม่สามารถออกฤทธิ์ได้เต็มที่</t>
        </is>
      </c>
      <c r="G43" s="34" t="inlineStr">
        <is>
          <t>อาจทำให้ระดับน้ำตาลในเลือดลดลงจนเกิด hypoglycemia</t>
        </is>
      </c>
      <c r="H43" s="34" t="inlineStr">
        <is>
          <t>ต้องอาศัย insulin ในการออกฤทธิ์ เนื่องจากจะช่วยเพิ่มความไวตัวรับของ insulin</t>
        </is>
      </c>
      <c r="I43" s="33" t="inlineStr">
        <is>
          <t>5</t>
        </is>
      </c>
      <c r="J43" s="34"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35" t="n"/>
      <c r="L43" s="34" t="inlineStr">
        <is>
          <t>Diabetes mellitus</t>
        </is>
      </c>
      <c r="M43" s="35" t="inlineStr">
        <is>
          <t>Clinic</t>
        </is>
      </c>
      <c r="N43" s="34" t="inlineStr">
        <is>
          <t>ข้อ 51 ชุด 1 (เฉลยข้อ จ)</t>
        </is>
      </c>
      <c r="O43" s="35" t="inlineStr">
        <is>
          <t>Mock</t>
        </is>
      </c>
      <c r="P43" s="35" t="inlineStr">
        <is>
          <t>ชุด 1</t>
        </is>
      </c>
    </row>
    <row r="44" ht="13.2" customHeight="1" s="49">
      <c r="A44" s="33" t="n">
        <v>42</v>
      </c>
      <c r="B44" s="34" t="inlineStr">
        <is>
          <t>ผลข้างเคียงสำคัญที่ต้องมีการเฝ้าระวังเป็นพิเศษสำหรับการใช้ยาในกลุ่ม thiazolidinedione คือ</t>
        </is>
      </c>
      <c r="C44" s="35" t="n"/>
      <c r="D44" s="34" t="inlineStr">
        <is>
          <t>Renal toxicity</t>
        </is>
      </c>
      <c r="E44" s="34" t="inlineStr">
        <is>
          <t>Retinopathy</t>
        </is>
      </c>
      <c r="F44" s="34" t="inlineStr">
        <is>
          <t>Hepatotoxicity</t>
        </is>
      </c>
      <c r="G44" s="34" t="inlineStr">
        <is>
          <t>Hemolytic anemia</t>
        </is>
      </c>
      <c r="H44" s="34" t="inlineStr">
        <is>
          <t>Cardiotoxicity</t>
        </is>
      </c>
      <c r="I44" s="33" t="inlineStr">
        <is>
          <t>3</t>
        </is>
      </c>
      <c r="J44"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35" t="n"/>
      <c r="L44" s="34" t="inlineStr">
        <is>
          <t>Diabetes mellitus</t>
        </is>
      </c>
      <c r="M44" s="35" t="inlineStr">
        <is>
          <t>Clinic</t>
        </is>
      </c>
      <c r="N44" s="34" t="inlineStr">
        <is>
          <t>ข้อ 52 ชุด 1 (เฉลยข้อ ค จ)</t>
        </is>
      </c>
      <c r="O44" s="35" t="inlineStr">
        <is>
          <t>Mock</t>
        </is>
      </c>
      <c r="P44" s="35" t="inlineStr">
        <is>
          <t>ชุด 1</t>
        </is>
      </c>
    </row>
    <row r="45" ht="13.2" customHeight="1" s="49">
      <c r="A45" s="33" t="n">
        <v>43</v>
      </c>
      <c r="B45" s="34" t="inlineStr">
        <is>
          <t>ทำไม insulin ต้องให้แบบฉีด</t>
        </is>
      </c>
      <c r="C45" s="35" t="n"/>
      <c r="D45" s="34" t="inlineStr">
        <is>
          <t>เพื่อให้ไร้เชื้อ</t>
        </is>
      </c>
      <c r="E45" s="34" t="inlineStr">
        <is>
          <t>เพื่อความคงสภาพ</t>
        </is>
      </c>
      <c r="F45" s="34" t="inlineStr">
        <is>
          <t>เพื่อให้ออกฤทธิ์เร็ว</t>
        </is>
      </c>
      <c r="G45" s="34" t="inlineStr">
        <is>
          <t>เพื่อให้ออกฤทธิ์ต่อเนื่อง</t>
        </is>
      </c>
      <c r="H45" s="34" t="inlineStr">
        <is>
          <t>เพื่อหลีกเลี่ยงการถูกทำลายในทางเดินอาหาร</t>
        </is>
      </c>
      <c r="I45" s="33" t="inlineStr">
        <is>
          <t>5</t>
        </is>
      </c>
      <c r="J45" s="34"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35" t="n"/>
      <c r="L45" s="34" t="inlineStr">
        <is>
          <t>Diabetes mellitus</t>
        </is>
      </c>
      <c r="M45" s="35" t="inlineStr">
        <is>
          <t>Clinic</t>
        </is>
      </c>
      <c r="N45" s="34" t="inlineStr">
        <is>
          <t>ข้อ 53 ชุด 1 (เฉลยข้อ จ)</t>
        </is>
      </c>
      <c r="O45" s="35" t="inlineStr">
        <is>
          <t>Mock</t>
        </is>
      </c>
      <c r="P45" s="35" t="inlineStr">
        <is>
          <t>ชุด 1</t>
        </is>
      </c>
    </row>
    <row r="46" ht="13.2" customHeight="1" s="49">
      <c r="A46" s="33" t="n">
        <v>44</v>
      </c>
      <c r="B46" s="34" t="inlineStr">
        <is>
          <t>ข้อใดผิดเกี่ยวกับ insulin</t>
        </is>
      </c>
      <c r="C46" s="35" t="n"/>
      <c r="D46" s="34" t="inlineStr">
        <is>
          <t>Lispro คือการสลับตำแหน่งของ amino acid proline เป็น lysine เพื่อให้ออกฤทธิ์เร็ว</t>
        </is>
      </c>
      <c r="E46" s="34" t="inlineStr">
        <is>
          <t>Protamine ใน NPH ทำให้ออกฤทธิ์เร็ว</t>
        </is>
      </c>
      <c r="F46" s="34" t="inlineStr">
        <is>
          <t>ใน phosphate buffers ไม่สามารถผสม lente</t>
        </is>
      </c>
      <c r="G46" s="34" t="inlineStr">
        <is>
          <t>Insulin ในท้องตลาด มักจะเป็นแบบกึ่งสังเคราะห์ของหมูและวัว</t>
        </is>
      </c>
      <c r="H46" s="34" t="inlineStr">
        <is>
          <t>ไม่มีข้อใดถูก</t>
        </is>
      </c>
      <c r="I46" s="33" t="inlineStr">
        <is>
          <t>2</t>
        </is>
      </c>
      <c r="J46" s="34"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35" t="n"/>
      <c r="L46" s="34" t="inlineStr">
        <is>
          <t>Diabetes mellitus</t>
        </is>
      </c>
      <c r="M46" s="35" t="inlineStr">
        <is>
          <t>Clinic</t>
        </is>
      </c>
      <c r="N46" s="34" t="inlineStr">
        <is>
          <t>ข้อ 54 ชุด 1 (เฉลยข้อ ข ง)</t>
        </is>
      </c>
      <c r="O46" s="35" t="inlineStr">
        <is>
          <t>Mock</t>
        </is>
      </c>
      <c r="P46" s="35" t="inlineStr">
        <is>
          <t>ชุด 1</t>
        </is>
      </c>
    </row>
    <row r="47" ht="13.2" customHeight="1" s="49">
      <c r="A47" s="33" t="n">
        <v>45</v>
      </c>
      <c r="B47" s="34" t="inlineStr">
        <is>
          <t>ข้อใดเป็นข้อบ่งใช้ของ acarbose</t>
        </is>
      </c>
      <c r="C47" s="35" t="n"/>
      <c r="D47" s="34" t="inlineStr">
        <is>
          <t>กระเพาะปัสสาวะอักเสบ</t>
        </is>
      </c>
      <c r="E47" s="34" t="inlineStr">
        <is>
          <t>ไต</t>
        </is>
      </c>
      <c r="F47" s="34" t="inlineStr">
        <is>
          <t>ตับอักเสบ</t>
        </is>
      </c>
      <c r="G47" s="34" t="inlineStr">
        <is>
          <t>เบาหวาน</t>
        </is>
      </c>
      <c r="H47" s="34" t="inlineStr">
        <is>
          <t>ความดันโลหิตต่ำ</t>
        </is>
      </c>
      <c r="I47" s="33" t="inlineStr">
        <is>
          <t>4</t>
        </is>
      </c>
      <c r="J47" s="34"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35" t="n"/>
      <c r="L47" s="34" t="inlineStr">
        <is>
          <t>Diabetes mellitus</t>
        </is>
      </c>
      <c r="M47" s="35" t="inlineStr">
        <is>
          <t>Clinic</t>
        </is>
      </c>
      <c r="N47" s="34" t="inlineStr">
        <is>
          <t>ข้อ 55 ชุด 1 (เฉลยข้อ ง)</t>
        </is>
      </c>
      <c r="O47" s="35" t="inlineStr">
        <is>
          <t>Mock</t>
        </is>
      </c>
      <c r="P47" s="35" t="inlineStr">
        <is>
          <t>ชุด 1</t>
        </is>
      </c>
    </row>
    <row r="48" ht="13.2" customHeight="1" s="49">
      <c r="A48" s="33" t="n">
        <v>46</v>
      </c>
      <c r="B48" s="34" t="inlineStr">
        <is>
          <t>ยาใดทำให้เกิด hyperglycemia และ hypokalemia</t>
        </is>
      </c>
      <c r="C48" s="35" t="n"/>
      <c r="D48" s="34" t="inlineStr">
        <is>
          <t>Hydrocortisone</t>
        </is>
      </c>
      <c r="E48" s="34" t="inlineStr">
        <is>
          <t>Chlorpropamide</t>
        </is>
      </c>
      <c r="F48" s="34" t="inlineStr">
        <is>
          <t>Hydrochlorothiazide</t>
        </is>
      </c>
      <c r="G48" s="34" t="inlineStr">
        <is>
          <t>Bumetanide</t>
        </is>
      </c>
      <c r="H48" s="34" t="inlineStr">
        <is>
          <t>Prednisone</t>
        </is>
      </c>
      <c r="I48" s="33" t="inlineStr">
        <is>
          <t>3</t>
        </is>
      </c>
      <c r="J48" s="34"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35" t="n"/>
      <c r="L48" s="34" t="inlineStr">
        <is>
          <t>Diabetes mellitus</t>
        </is>
      </c>
      <c r="M48" s="35" t="inlineStr">
        <is>
          <t>Clinic</t>
        </is>
      </c>
      <c r="N48" s="34" t="inlineStr">
        <is>
          <t>ข้อ 56 ชุด 1 (เฉลยข้อ ค)</t>
        </is>
      </c>
      <c r="O48" s="35" t="inlineStr">
        <is>
          <t>Mock</t>
        </is>
      </c>
      <c r="P48" s="35" t="inlineStr">
        <is>
          <t>ชุด 1</t>
        </is>
      </c>
    </row>
    <row r="49" ht="13.2" customHeight="1" s="49">
      <c r="A49" s="33" t="n">
        <v>47</v>
      </c>
      <c r="B49" s="34" t="inlineStr">
        <is>
          <t>อาการที่เกิดขึ้นกับผู้ป่วยรายนี้ถือเป็น DRP ข้อใด</t>
        </is>
      </c>
      <c r="C49" s="35" t="n"/>
      <c r="D49" s="34" t="inlineStr">
        <is>
          <t>Non-compliance</t>
        </is>
      </c>
      <c r="E49" s="34" t="inlineStr">
        <is>
          <t>Low dose</t>
        </is>
      </c>
      <c r="F49" s="34" t="inlineStr">
        <is>
          <t>High dose</t>
        </is>
      </c>
      <c r="G49" s="34" t="inlineStr">
        <is>
          <t>Inappropriate treatment</t>
        </is>
      </c>
      <c r="H49" s="34" t="inlineStr">
        <is>
          <t>Adverse drug reaction</t>
        </is>
      </c>
      <c r="I49" s="33" t="inlineStr">
        <is>
          <t>1</t>
        </is>
      </c>
      <c r="J49" s="34"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35" t="n"/>
      <c r="L49" s="34" t="inlineStr">
        <is>
          <t>Diabetes mellitus</t>
        </is>
      </c>
      <c r="M49" s="35" t="inlineStr">
        <is>
          <t>Clinic</t>
        </is>
      </c>
      <c r="N49" s="34" t="inlineStr">
        <is>
          <t>ข้อ 85 ชุด 1 (เฉลยข้อ ก)</t>
        </is>
      </c>
      <c r="O49" s="35" t="inlineStr">
        <is>
          <t>Mock</t>
        </is>
      </c>
      <c r="P49" s="35" t="inlineStr">
        <is>
          <t>ชุด 1</t>
        </is>
      </c>
    </row>
    <row r="50" ht="13.2" customHeight="1" s="49">
      <c r="A50" s="33" t="n">
        <v>48</v>
      </c>
      <c r="B50" s="34" t="inlineStr">
        <is>
          <t>ยาใดมีผลช่วยลด macrovascular complication ได้</t>
        </is>
      </c>
      <c r="C50" s="35" t="n"/>
      <c r="D50" s="34" t="inlineStr">
        <is>
          <t>Acarbose และ metformin</t>
        </is>
      </c>
      <c r="E50" s="34" t="inlineStr">
        <is>
          <t>Glipizide และ pioglitazone</t>
        </is>
      </c>
      <c r="F50" s="34" t="inlineStr">
        <is>
          <t>SU และ metformin</t>
        </is>
      </c>
      <c r="G50" s="34" t="inlineStr">
        <is>
          <t>Repaglinide และ SU</t>
        </is>
      </c>
      <c r="H50" s="34" t="inlineStr">
        <is>
          <t>Metformin</t>
        </is>
      </c>
      <c r="I50" s="33" t="n">
        <v>5</v>
      </c>
      <c r="J50" s="34"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35" t="n"/>
      <c r="L50" s="34" t="inlineStr">
        <is>
          <t>Diabetes mellitus</t>
        </is>
      </c>
      <c r="M50" s="35" t="inlineStr">
        <is>
          <t>Clinic</t>
        </is>
      </c>
      <c r="N50" s="34" t="inlineStr">
        <is>
          <t>ข้อ 86 ชุด 1 (เฉลยข้อ จ)</t>
        </is>
      </c>
      <c r="O50" s="35" t="inlineStr">
        <is>
          <t>Mock</t>
        </is>
      </c>
      <c r="P50" s="35" t="inlineStr">
        <is>
          <t>ชุด 1</t>
        </is>
      </c>
    </row>
    <row r="51" ht="13.2" customHeight="1" s="49">
      <c r="A51" s="33" t="n">
        <v>49</v>
      </c>
      <c r="B51" s="34" t="inlineStr">
        <is>
          <t>ท่านจะแนะนำการรับประทานยา acarbose ชนิดเม็ดอย่างไร</t>
        </is>
      </c>
      <c r="C51" s="35" t="n"/>
      <c r="D51" s="34" t="inlineStr">
        <is>
          <t>รับประทานหลังอาหารทันที</t>
        </is>
      </c>
      <c r="E51" s="34" t="inlineStr">
        <is>
          <t>รับประทานก่อนอาหาร 30 นาที และอยู่ในท่านั่งสักครู่</t>
        </is>
      </c>
      <c r="F51" s="34" t="inlineStr">
        <is>
          <t>รับประทานพร้อมอาหารคำแรก</t>
        </is>
      </c>
      <c r="G51" s="34" t="inlineStr">
        <is>
          <t>รับประทานก่อนหรือหลังอาหารก็ได้</t>
        </is>
      </c>
      <c r="H51" s="34" t="inlineStr">
        <is>
          <t>เคี้ยวพร้อมอาหารคำแรก</t>
        </is>
      </c>
      <c r="I51" s="33" t="inlineStr">
        <is>
          <t>3</t>
        </is>
      </c>
      <c r="J51" s="34"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35" t="n"/>
      <c r="L51" s="34" t="inlineStr">
        <is>
          <t>Diabetes mellitus</t>
        </is>
      </c>
      <c r="M51" s="35" t="inlineStr">
        <is>
          <t>Clinic</t>
        </is>
      </c>
      <c r="N51" s="34" t="inlineStr">
        <is>
          <t>ข้อ 87 ชุด 1 (เฉลยข้อ ค)</t>
        </is>
      </c>
      <c r="O51" s="35" t="inlineStr">
        <is>
          <t>Mock</t>
        </is>
      </c>
      <c r="P51" s="35" t="inlineStr">
        <is>
          <t>ชุด 1</t>
        </is>
      </c>
    </row>
    <row r="52" ht="13.2" customHeight="1" s="49">
      <c r="A52" s="33" t="n">
        <v>50</v>
      </c>
      <c r="B52" s="34" t="inlineStr">
        <is>
          <t>เมื่อเปรียบเทียบ duration of action ของยาในกลุ่ม sulfonylureas พบว่าสามารถเรียงลำดับได้ดังนี้</t>
        </is>
      </c>
      <c r="C52" s="35" t="n"/>
      <c r="D52" s="34" t="inlineStr">
        <is>
          <t>Chlorpropamide &gt; Glyburide &gt; Glipizide &gt; Tolbutamide</t>
        </is>
      </c>
      <c r="E52" s="34" t="inlineStr">
        <is>
          <t>Tolbutamide &gt; Glipizide &gt; Glyburide &gt; Chlorpropamide</t>
        </is>
      </c>
      <c r="F52" s="34" t="inlineStr">
        <is>
          <t>Glyburide &gt; Tolbutamide &gt; Glipizide &gt; Chlorpropamide</t>
        </is>
      </c>
      <c r="G52" s="34" t="inlineStr">
        <is>
          <t>Glipizide &gt; Glyburide &gt; Chlorpropamide &gt; Tolbutamide</t>
        </is>
      </c>
      <c r="H52" s="34" t="inlineStr">
        <is>
          <t>Dapagliflozin 10 mg OD</t>
        </is>
      </c>
      <c r="I52" s="33" t="inlineStr">
        <is>
          <t>1</t>
        </is>
      </c>
      <c r="J52" s="34"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35" t="n"/>
      <c r="L52" s="34" t="inlineStr">
        <is>
          <t>Diabetes mellitus</t>
        </is>
      </c>
      <c r="M52" s="35" t="inlineStr">
        <is>
          <t>Clinic</t>
        </is>
      </c>
      <c r="N52" s="34" t="inlineStr">
        <is>
          <t>ข้อ 88 ชุด 1 (เฉลยข้อ ก)</t>
        </is>
      </c>
      <c r="O52" s="35" t="inlineStr">
        <is>
          <t>Mock</t>
        </is>
      </c>
      <c r="P52" s="35" t="inlineStr">
        <is>
          <t>ชุด 1</t>
        </is>
      </c>
    </row>
    <row r="53" ht="13.2" customHeight="1" s="49">
      <c r="A53" s="33" t="n">
        <v>51</v>
      </c>
      <c r="B53" s="34" t="inlineStr">
        <is>
          <t>กลไกการออกฤทธิ์ของยา chlorpropamide ในผู้ป่วยโรคเบาหวานได้แก่</t>
        </is>
      </c>
      <c r="C53" s="35" t="n"/>
      <c r="D53" s="34" t="inlineStr">
        <is>
          <t>เพิ่ม insulin resistance ในผู้ป่วย</t>
        </is>
      </c>
      <c r="E53" s="34" t="inlineStr">
        <is>
          <t>ลด insulin resistance ในผู้ป่วย</t>
        </is>
      </c>
      <c r="F53" s="34" t="inlineStr">
        <is>
          <t>กระตุ้นการหลั่งของ insulin ในผู้ป่วย</t>
        </is>
      </c>
      <c r="G53" s="34" t="inlineStr">
        <is>
          <t>ข้อ ก และ ค ถูก</t>
        </is>
      </c>
      <c r="H53" s="34" t="inlineStr">
        <is>
          <t>ข้อ ก และ ข ถูก</t>
        </is>
      </c>
      <c r="I53" s="33" t="inlineStr">
        <is>
          <t>3</t>
        </is>
      </c>
      <c r="J53" s="34"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35" t="n"/>
      <c r="L53" s="34" t="inlineStr">
        <is>
          <t>Diabetes mellitus</t>
        </is>
      </c>
      <c r="M53" s="35" t="inlineStr">
        <is>
          <t>Clinic</t>
        </is>
      </c>
      <c r="N53" s="34" t="inlineStr">
        <is>
          <t>ข้อ 89 ชุด 1 (เฉลยข้อ ค)</t>
        </is>
      </c>
      <c r="O53" s="35" t="inlineStr">
        <is>
          <t>Mock</t>
        </is>
      </c>
      <c r="P53" s="35" t="inlineStr">
        <is>
          <t>ชุด 1</t>
        </is>
      </c>
    </row>
    <row r="54" ht="13.2" customHeight="1" s="49">
      <c r="A54" s="33" t="n">
        <v>52</v>
      </c>
      <c r="B54" s="34" t="inlineStr">
        <is>
          <t>อาการแทรกซ้อนที่ต้องระวังในผู้ป่วยเบาหวานคืออะไร</t>
        </is>
      </c>
      <c r="C54" s="35" t="n"/>
      <c r="D54" s="34" t="inlineStr">
        <is>
          <t>Retinopathy</t>
        </is>
      </c>
      <c r="E54" s="34" t="inlineStr">
        <is>
          <t>Nephropathy</t>
        </is>
      </c>
      <c r="F54" s="34" t="inlineStr">
        <is>
          <t>Neuropathy</t>
        </is>
      </c>
      <c r="G54" s="34" t="inlineStr">
        <is>
          <t>Ischemic stroke</t>
        </is>
      </c>
      <c r="H54" s="34" t="inlineStr">
        <is>
          <t>ถูกทุกข้อ</t>
        </is>
      </c>
      <c r="I54" s="33" t="inlineStr">
        <is>
          <t>5</t>
        </is>
      </c>
      <c r="J54" s="34"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35" t="n"/>
      <c r="L54" s="34" t="inlineStr">
        <is>
          <t>Diabetes mellitus</t>
        </is>
      </c>
      <c r="M54" s="35" t="inlineStr">
        <is>
          <t>Clinic</t>
        </is>
      </c>
      <c r="N54" s="34" t="inlineStr">
        <is>
          <t>ข้อ 90 ชุด 1 (เฉลยข้อ จ)</t>
        </is>
      </c>
      <c r="O54" s="35" t="inlineStr">
        <is>
          <t>Mock</t>
        </is>
      </c>
      <c r="P54" s="35" t="inlineStr">
        <is>
          <t>ชุด 1</t>
        </is>
      </c>
    </row>
    <row r="55" ht="13.2" customHeight="1" s="49">
      <c r="A55" s="33" t="n">
        <v>53</v>
      </c>
      <c r="B55" s="34" t="inlineStr">
        <is>
          <t>ข้อใดไม่ใช่อาการหลักของผู้ป่วยเบาหวาน</t>
        </is>
      </c>
      <c r="C55" s="35" t="n"/>
      <c r="D55" s="34" t="inlineStr">
        <is>
          <t>Polyuria</t>
        </is>
      </c>
      <c r="E55" s="34" t="inlineStr">
        <is>
          <t>Weight gain</t>
        </is>
      </c>
      <c r="F55" s="34" t="inlineStr">
        <is>
          <t>Fatigue</t>
        </is>
      </c>
      <c r="G55" s="34" t="inlineStr">
        <is>
          <t>Polydipsia</t>
        </is>
      </c>
      <c r="H55" s="34" t="inlineStr">
        <is>
          <t>Polyphagia</t>
        </is>
      </c>
      <c r="I55" s="33" t="inlineStr">
        <is>
          <t>2</t>
        </is>
      </c>
      <c r="J55" s="34"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35" t="n"/>
      <c r="L55" s="34" t="inlineStr">
        <is>
          <t>Diabetes mellitus</t>
        </is>
      </c>
      <c r="M55" s="35" t="inlineStr">
        <is>
          <t>Clinic</t>
        </is>
      </c>
      <c r="N55" s="34" t="inlineStr">
        <is>
          <t>ข้อ 91 ชุด 1 (เฉลยข้อ ข)</t>
        </is>
      </c>
      <c r="O55" s="35" t="inlineStr">
        <is>
          <t>Mock</t>
        </is>
      </c>
      <c r="P55" s="35" t="inlineStr">
        <is>
          <t>ชุด 1</t>
        </is>
      </c>
    </row>
    <row r="56" ht="13.2" customHeight="1" s="49">
      <c r="A56" s="33" t="n">
        <v>54</v>
      </c>
      <c r="B56" s="34" t="inlineStr">
        <is>
          <t>Lispro insulin จัดอยู่ในประเภทใด</t>
        </is>
      </c>
      <c r="C56" s="35" t="n"/>
      <c r="D56" s="34" t="inlineStr">
        <is>
          <t>Rapid acting insulin</t>
        </is>
      </c>
      <c r="E56" s="34" t="inlineStr">
        <is>
          <t>Short acting insulin</t>
        </is>
      </c>
      <c r="F56" s="34" t="inlineStr">
        <is>
          <t>Intermediate acting insulin</t>
        </is>
      </c>
      <c r="G56" s="34" t="inlineStr">
        <is>
          <t>Long acting insulin</t>
        </is>
      </c>
      <c r="H56" s="34" t="inlineStr">
        <is>
          <t>Lente insulin</t>
        </is>
      </c>
      <c r="I56" s="33" t="inlineStr">
        <is>
          <t>4</t>
        </is>
      </c>
      <c r="J56" s="34"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35" t="n"/>
      <c r="L56" s="34" t="inlineStr">
        <is>
          <t>Diabetes mellitus</t>
        </is>
      </c>
      <c r="M56" s="35" t="inlineStr">
        <is>
          <t>Clinic</t>
        </is>
      </c>
      <c r="N56" s="34" t="inlineStr">
        <is>
          <t>ข้อ 92 ชุด 1 (เฉลยข้อ ง)</t>
        </is>
      </c>
      <c r="O56" s="35" t="inlineStr">
        <is>
          <t>Mock</t>
        </is>
      </c>
      <c r="P56" s="35" t="inlineStr">
        <is>
          <t>ชุด 1</t>
        </is>
      </c>
    </row>
    <row r="57" ht="13.2" customHeight="1" s="49">
      <c r="A57" s="33" t="n">
        <v>55</v>
      </c>
      <c r="B57" s="34" t="inlineStr">
        <is>
          <t>โครงสร้างนี้เป็นของยาตัวใด</t>
        </is>
      </c>
      <c r="C57" s="35" t="n"/>
      <c r="D57" s="34" t="inlineStr">
        <is>
          <t>Glibenclamide</t>
        </is>
      </c>
      <c r="E57" s="34" t="inlineStr">
        <is>
          <t>Metformin</t>
        </is>
      </c>
      <c r="F57" s="34" t="inlineStr">
        <is>
          <t>Glipizide</t>
        </is>
      </c>
      <c r="G57" s="34" t="inlineStr">
        <is>
          <t>Chlorpropamide</t>
        </is>
      </c>
      <c r="H57" s="34" t="inlineStr">
        <is>
          <t>Pioglitazone</t>
        </is>
      </c>
      <c r="I57" s="33" t="inlineStr">
        <is>
          <t>1</t>
        </is>
      </c>
      <c r="J57" s="34"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35" t="n"/>
      <c r="L57" s="34" t="inlineStr">
        <is>
          <t>Diabetes mellitus</t>
        </is>
      </c>
      <c r="M57" s="35" t="inlineStr">
        <is>
          <t>Clinic</t>
        </is>
      </c>
      <c r="N57" s="34" t="inlineStr">
        <is>
          <t>ข้อ 93 ชุด 1 (เฉลยข้อ )</t>
        </is>
      </c>
      <c r="O57" s="35" t="inlineStr">
        <is>
          <t>Mock</t>
        </is>
      </c>
      <c r="P57" s="35" t="inlineStr">
        <is>
          <t>ชุด 1</t>
        </is>
      </c>
    </row>
    <row r="58" ht="13.2" customHeight="1" s="49">
      <c r="A58" s="33" t="n">
        <v>56</v>
      </c>
      <c r="B58" s="34" t="inlineStr">
        <is>
          <t>อาการข้างเคียงที่ต้องเฝ้าระวังเป็นพิเศษ สำหรับยาในกลุ่ม Thiazolidinedione คือ</t>
        </is>
      </c>
      <c r="C58" s="35" t="n"/>
      <c r="D58" s="34" t="inlineStr">
        <is>
          <t>Renal toxicity</t>
        </is>
      </c>
      <c r="E58" s="34" t="inlineStr">
        <is>
          <t>Retinopathy</t>
        </is>
      </c>
      <c r="F58" s="34" t="inlineStr">
        <is>
          <t>Hepatotoxicity</t>
        </is>
      </c>
      <c r="G58" s="34" t="inlineStr">
        <is>
          <t>Cardiotoxicity</t>
        </is>
      </c>
      <c r="H58" s="34" t="inlineStr">
        <is>
          <t>ถูกต้องทุกข้อ</t>
        </is>
      </c>
      <c r="I58" s="33" t="inlineStr">
        <is>
          <t>3</t>
        </is>
      </c>
      <c r="J58" s="34"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35" t="n"/>
      <c r="L58" s="34" t="inlineStr">
        <is>
          <t>Diabetes mellitus</t>
        </is>
      </c>
      <c r="M58" s="35" t="inlineStr">
        <is>
          <t>Clinic</t>
        </is>
      </c>
      <c r="N58" s="34" t="inlineStr">
        <is>
          <t>ข้อ 94 ชุด 1 (เฉลยข้อ ค)</t>
        </is>
      </c>
      <c r="O58" s="35" t="inlineStr">
        <is>
          <t>Mock</t>
        </is>
      </c>
      <c r="P58" s="35" t="inlineStr">
        <is>
          <t>ชุด 1</t>
        </is>
      </c>
    </row>
    <row r="59" ht="13.2" customHeight="1" s="49">
      <c r="A59" s="33" t="n">
        <v>57</v>
      </c>
      <c r="B59" s="34" t="inlineStr">
        <is>
          <t>ข้อใดไม่ถูกต้องเกี่ยวกับรูปแบบการให้อินซูลินแบบผสมระหว่าง NPH/regular insulin</t>
        </is>
      </c>
      <c r="C59" s="35" t="n"/>
      <c r="D59" s="34" t="inlineStr">
        <is>
          <t>สามารถให้ได้วันละ 2 ครั้ง ทำให้ผู้ป่วยไม่ต้องฉีดอินซูลินหลายครั้งต่อวัน</t>
        </is>
      </c>
      <c r="E59" s="34" t="inlineStr">
        <is>
          <t>เหมาะกับผู้ป่วยที่รับประทานอาหารไม่ตรงเวลาหรือทานข้าวไม่ค่อยได้</t>
        </is>
      </c>
      <c r="F59" s="34" t="inlineStr">
        <is>
          <t>แบ่งขนาดยาก่อนอาหารเช้าเป็น 2/3 ของขนาดยาที่ต้องการทั้งหมดในแต่ละวัน</t>
        </is>
      </c>
      <c r="G59" s="34"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34" t="inlineStr">
        <is>
          <t>ถูกต้องทุกข้อ</t>
        </is>
      </c>
      <c r="I59" s="33" t="inlineStr">
        <is>
          <t>2</t>
        </is>
      </c>
      <c r="J59" s="34"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35" t="n"/>
      <c r="L59" s="34" t="inlineStr">
        <is>
          <t>Diabetes mellitus</t>
        </is>
      </c>
      <c r="M59" s="35" t="inlineStr">
        <is>
          <t>Clinic</t>
        </is>
      </c>
      <c r="N59" s="34" t="inlineStr">
        <is>
          <t>ข้อ 95 ชุด 1 (เฉลยข้อ ข)</t>
        </is>
      </c>
      <c r="O59" s="35" t="inlineStr">
        <is>
          <t>Mock</t>
        </is>
      </c>
      <c r="P59" s="35" t="inlineStr">
        <is>
          <t>ชุด 1</t>
        </is>
      </c>
    </row>
    <row r="60" ht="13.2" customHeight="1" s="49">
      <c r="A60" s="33" t="n">
        <v>58</v>
      </c>
      <c r="B60" s="34" t="inlineStr">
        <is>
          <t>ข้อใดไม่ถูกต้องเกี่ยวกับวิธีการฉีดอินซูลิน</t>
        </is>
      </c>
      <c r="C60" s="35" t="n"/>
      <c r="D60" s="34"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34" t="inlineStr">
        <is>
          <t>การฉีดให้เปลี่ยนจุดที่ฉีดไปเรื่อย ๆ ห่างจากจุดเดิมประมาณ 1-2 นิ้ว</t>
        </is>
      </c>
      <c r="F60" s="34" t="inlineStr">
        <is>
          <t>บริเวณที่ควรฉีดอินซูลินได้แก่หน้าท้อง ต้นแขน สะโพก และต้นขา</t>
        </is>
      </c>
      <c r="G60" s="34" t="inlineStr">
        <is>
          <t>หลังฉีดยาให้เช็ดเข็มด้วย alcohol และปิดฝาครอบเข็มให้สนิทด้วยความระมัดระวัง</t>
        </is>
      </c>
      <c r="H60" s="34" t="inlineStr">
        <is>
          <t>ไม่มีข้อใดไม่ถูกต้อง</t>
        </is>
      </c>
      <c r="I60" s="33" t="inlineStr">
        <is>
          <t>4</t>
        </is>
      </c>
      <c r="J60" s="34"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ตามแนวทางปฏิบัติสากล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35" t="n"/>
      <c r="L60" s="34" t="inlineStr">
        <is>
          <t>Diabetes mellitus</t>
        </is>
      </c>
      <c r="M60" s="35" t="inlineStr">
        <is>
          <t>Clinic</t>
        </is>
      </c>
      <c r="N60" s="34" t="inlineStr">
        <is>
          <t>ข้อ 96 ชุด 1 (เฉลยข้อ ง)</t>
        </is>
      </c>
      <c r="O60" s="35" t="inlineStr">
        <is>
          <t>Mock</t>
        </is>
      </c>
      <c r="P60" s="35" t="inlineStr">
        <is>
          <t>ชุด 1</t>
        </is>
      </c>
    </row>
    <row r="61" ht="13.2" customHeight="1" s="49">
      <c r="A61" s="33" t="n">
        <v>59</v>
      </c>
      <c r="B61" s="34" t="inlineStr">
        <is>
          <t>ข้อใดไม่ถูกต้องเกี่ยวกับวิธีการเก็บรักษาอินซูลิน</t>
        </is>
      </c>
      <c r="C61" s="35" t="n"/>
      <c r="D61" s="34" t="inlineStr">
        <is>
          <t>ขวดที่ยังไม่เปิดให้เก็บในตู้เย็น (2-8°C)</t>
        </is>
      </c>
      <c r="E61" s="34" t="inlineStr">
        <is>
          <t>ขวดที่เปิดแล้ว สามารถเก็บยาที่อุณหภูมิห้องได้ แต่ต้องใช้ให้หมดภายใน 1 เดือน</t>
        </is>
      </c>
      <c r="F61" s="34" t="inlineStr">
        <is>
          <t>ขวดที่ยังไม่เปิดและเก็บในตู้เย็นนั้น ยามีอายุตามฉลากข้างขวด</t>
        </is>
      </c>
      <c r="G61" s="34" t="inlineStr">
        <is>
          <t>หลังฉีดยาไม่ควรเก็บเข็มในตู้เย็นเพราะจะทำให้เข็มทื่อ</t>
        </is>
      </c>
      <c r="H61" s="34" t="inlineStr">
        <is>
          <t>ถูกต้องทุกข้อ</t>
        </is>
      </c>
      <c r="I61" s="33" t="inlineStr">
        <is>
          <t>4</t>
        </is>
      </c>
      <c r="J61" s="34"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35" t="n"/>
      <c r="L61" s="34" t="inlineStr">
        <is>
          <t>Diabetes mellitus</t>
        </is>
      </c>
      <c r="M61" s="35" t="inlineStr">
        <is>
          <t>Clinic</t>
        </is>
      </c>
      <c r="N61" s="34" t="inlineStr">
        <is>
          <t>ข้อ 97 ชุด 1 (เฉลยข้อ ง)</t>
        </is>
      </c>
      <c r="O61" s="35" t="inlineStr">
        <is>
          <t>Mock</t>
        </is>
      </c>
      <c r="P61" s="35" t="inlineStr">
        <is>
          <t>ชุด 1</t>
        </is>
      </c>
    </row>
    <row r="62" ht="13.2" customHeight="1" s="49">
      <c r="A62" s="33" t="n">
        <v>60</v>
      </c>
      <c r="B62" s="34" t="inlineStr">
        <is>
          <t>การปฏิบัติในข้อใด เหมาะสมกับการรักษาต่อไปในผู้ป่วยรายนี้</t>
        </is>
      </c>
      <c r="C62" s="35" t="n"/>
      <c r="D62" s="34" t="inlineStr">
        <is>
          <t>เปลี่ยนยา propylthiouracil เป็น methimazole ในขนาดรับประทานที่สมมูลกัน</t>
        </is>
      </c>
      <c r="E62" s="34" t="inlineStr">
        <is>
          <t>แนะนำให้ผู้ป่วยรับประทานยา propylthiouracil ในขนาดดังกล่าวต่อไป</t>
        </is>
      </c>
      <c r="F62" s="34" t="inlineStr">
        <is>
          <t>หยุดยารับประทาน เปลี่ยนวิธีการรักษาเป็นการผ่าตัดต่อม</t>
        </is>
      </c>
      <c r="G62" s="34" t="inlineStr">
        <is>
          <t>หยุดยารับประทาน ให้การรักษาด้วยการทาน iodine</t>
        </is>
      </c>
      <c r="H62" s="34" t="inlineStr">
        <is>
          <t>เพิ่ม propranolol ให้รับประทานร่วมกับยา propylthiouracil</t>
        </is>
      </c>
      <c r="I62" s="33" t="inlineStr">
        <is>
          <t>2</t>
        </is>
      </c>
      <c r="J62" s="34"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35" t="n"/>
      <c r="L62" s="34" t="inlineStr">
        <is>
          <t>Hypo/Hyperthyroidism</t>
        </is>
      </c>
      <c r="M62" s="35" t="inlineStr">
        <is>
          <t>Clinic</t>
        </is>
      </c>
      <c r="N62" s="34" t="inlineStr">
        <is>
          <t>ข้อ 123 ชุด 1 (เฉลยข้อ ข)</t>
        </is>
      </c>
      <c r="O62" s="35" t="inlineStr">
        <is>
          <t>Mock</t>
        </is>
      </c>
      <c r="P62" s="35" t="inlineStr">
        <is>
          <t>ชุด 1</t>
        </is>
      </c>
    </row>
    <row r="63" ht="13.2" customHeight="1" s="49">
      <c r="A63" s="33" t="n">
        <v>61</v>
      </c>
      <c r="B63" s="34" t="inlineStr">
        <is>
          <t>อาการไม่พึงประสงค์ที่เกิดขึ้นจากการใช้ thiouracil</t>
        </is>
      </c>
      <c r="C63" s="35" t="n"/>
      <c r="D63" s="34" t="inlineStr">
        <is>
          <t>ปวดข้อ</t>
        </is>
      </c>
      <c r="E63" s="34" t="inlineStr">
        <is>
          <t>เม็ดเลือดขาวต่ำ</t>
        </is>
      </c>
      <c r="F63" s="34" t="inlineStr">
        <is>
          <t>ง่วงนอน</t>
        </is>
      </c>
      <c r="G63" s="34" t="inlineStr">
        <is>
          <t>SLE like syndrome</t>
        </is>
      </c>
      <c r="H63" s="34" t="inlineStr">
        <is>
          <t>Metallic taste</t>
        </is>
      </c>
      <c r="I63" s="33" t="inlineStr">
        <is>
          <t>2</t>
        </is>
      </c>
      <c r="J63" s="34"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35" t="n"/>
      <c r="L63" s="34" t="inlineStr">
        <is>
          <t>Diabetes mellitus</t>
        </is>
      </c>
      <c r="M63" s="35" t="inlineStr">
        <is>
          <t>Clinic</t>
        </is>
      </c>
      <c r="N63" s="34" t="inlineStr">
        <is>
          <t>ข้อ 124 ชุด 1 (เฉลยข้อ ข)</t>
        </is>
      </c>
      <c r="O63" s="35" t="inlineStr">
        <is>
          <t>Mock</t>
        </is>
      </c>
      <c r="P63" s="35" t="inlineStr">
        <is>
          <t>ชุด 1</t>
        </is>
      </c>
    </row>
    <row r="64" ht="13.2" customHeight="1" s="49">
      <c r="A64" s="33" t="n">
        <v>62</v>
      </c>
      <c r="B64" s="34" t="inlineStr">
        <is>
          <t>ข้อใดถูกต้องเกี่ยวกับยา propylthiouracil</t>
        </is>
      </c>
      <c r="C64" s="35" t="n"/>
      <c r="D64" s="34" t="inlineStr">
        <is>
          <t>เป็นอนุพันธ์ของ thiourea</t>
        </is>
      </c>
      <c r="E64" s="34" t="inlineStr">
        <is>
          <t>ยับยั้งการหลั่งของ thyroid hormone</t>
        </is>
      </c>
      <c r="F64" s="34" t="inlineStr">
        <is>
          <t>ใช้รักษา hypothyroid</t>
        </is>
      </c>
      <c r="G64" s="34" t="inlineStr">
        <is>
          <t>กระตุ้นเอนไซม์ thyroid peroxidase</t>
        </is>
      </c>
      <c r="H64" s="34" t="inlineStr">
        <is>
          <t>เพิ่มการสร้าง T3</t>
        </is>
      </c>
      <c r="I64" s="33" t="inlineStr">
        <is>
          <t>1</t>
        </is>
      </c>
      <c r="J64" s="34"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35" t="n"/>
      <c r="L64" s="34" t="inlineStr">
        <is>
          <t>Diabetes mellitus</t>
        </is>
      </c>
      <c r="M64" s="35" t="inlineStr">
        <is>
          <t>Clinic</t>
        </is>
      </c>
      <c r="N64" s="34" t="inlineStr">
        <is>
          <t>ข้อ 125 ชุด 1 (เฉลยข้อ ก)</t>
        </is>
      </c>
      <c r="O64" s="35" t="inlineStr">
        <is>
          <t>Mock</t>
        </is>
      </c>
      <c r="P64" s="35" t="inlineStr">
        <is>
          <t>ชุด 1</t>
        </is>
      </c>
    </row>
    <row r="65" ht="13.2" customHeight="1" s="49">
      <c r="A65" s="33" t="n">
        <v>63</v>
      </c>
      <c r="B65" s="34" t="inlineStr">
        <is>
          <t>Lugol's solution ประกอบด้วยสารชนิดใดเป็นส่วนประกอบ</t>
        </is>
      </c>
      <c r="C65" s="35" t="n"/>
      <c r="D65" s="34" t="inlineStr">
        <is>
          <t>Iodine + KI</t>
        </is>
      </c>
      <c r="E65" s="34" t="inlineStr">
        <is>
          <t>Manganese</t>
        </is>
      </c>
      <c r="F65" s="34" t="inlineStr">
        <is>
          <t>Methimazole</t>
        </is>
      </c>
      <c r="G65" s="34" t="inlineStr">
        <is>
          <t>Thiocyanate</t>
        </is>
      </c>
      <c r="H65" s="34" t="inlineStr">
        <is>
          <t>Propylthiouracil</t>
        </is>
      </c>
      <c r="I65" s="33" t="inlineStr">
        <is>
          <t>1</t>
        </is>
      </c>
      <c r="J65" s="34"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35" t="n"/>
      <c r="L65" s="34" t="inlineStr">
        <is>
          <t>Diabetes mellitus</t>
        </is>
      </c>
      <c r="M65" s="35" t="inlineStr">
        <is>
          <t>Clinic</t>
        </is>
      </c>
      <c r="N65" s="34" t="inlineStr">
        <is>
          <t>ข้อ 126 ชุด 1 (เฉลยข้อ ก)</t>
        </is>
      </c>
      <c r="O65" s="35" t="inlineStr">
        <is>
          <t>Mock</t>
        </is>
      </c>
      <c r="P65" s="35" t="inlineStr">
        <is>
          <t>ชุด 1</t>
        </is>
      </c>
    </row>
    <row r="66" ht="13.2" customHeight="1" s="49">
      <c r="A66" s="33" t="n">
        <v>64</v>
      </c>
      <c r="B66" s="34" t="inlineStr">
        <is>
          <t>ข้อใดถูกต้องเกี่ยวกับการใช้ยา propranolol ร่วมกับ propylthiouracil</t>
        </is>
      </c>
      <c r="C66" s="35" t="n"/>
      <c r="D66" s="34" t="inlineStr">
        <is>
          <t>Propranolol เป็น alpha-adrenergic blocking agent ชนิดหนึ่ง</t>
        </is>
      </c>
      <c r="E66" s="34" t="inlineStr">
        <is>
          <t>Propranolol ช่วยลดอาการต่าง ๆ เช่น tremor และ tachycardia ที่เกิดจาก thyrotoxicosis</t>
        </is>
      </c>
      <c r="F66" s="34" t="inlineStr">
        <is>
          <t>Propranolol มีความสำคัญต่อ pharmacokinetic ของ propylthiouracil ทำให้การดูดซึมและฤทธิ์ของยา propylthiouracil ดีขึ้น</t>
        </is>
      </c>
      <c r="G66" s="34" t="inlineStr">
        <is>
          <t>Propranolol ช่วยลดอาการข้างเคียงจากการใช้ยา propylthiouracil</t>
        </is>
      </c>
      <c r="H66" s="34" t="inlineStr">
        <is>
          <t>Propranolol ออกฤทธิ์เสริมกับ propylthiouracil โดยลดการสังเคราะห์ T4</t>
        </is>
      </c>
      <c r="I66" s="33" t="inlineStr">
        <is>
          <t>2</t>
        </is>
      </c>
      <c r="J66" s="34"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35" t="n"/>
      <c r="L66" s="34" t="inlineStr">
        <is>
          <t>Hypo/Hyperthyroidism</t>
        </is>
      </c>
      <c r="M66" s="35" t="inlineStr">
        <is>
          <t>Clinic</t>
        </is>
      </c>
      <c r="N66" s="34" t="inlineStr">
        <is>
          <t>ข้อ 127 ชุด 1 (เฉลยข้อ ข)</t>
        </is>
      </c>
      <c r="O66" s="35" t="inlineStr">
        <is>
          <t>Mock</t>
        </is>
      </c>
      <c r="P66" s="35" t="inlineStr">
        <is>
          <t>ชุด 1</t>
        </is>
      </c>
    </row>
    <row r="67" ht="13.2" customHeight="1" s="49">
      <c r="A67" s="33" t="n">
        <v>65</v>
      </c>
      <c r="B67" s="34" t="inlineStr">
        <is>
          <t>ข้อใดผิดเกี่ยวกับ goiter</t>
        </is>
      </c>
      <c r="C67" s="35" t="n"/>
      <c r="D67" s="34" t="inlineStr">
        <is>
          <t>Iodine บางชนิด เช่น thiocyanate อาจมีผลทำให้เกิด goiter</t>
        </is>
      </c>
      <c r="E67" s="34" t="inlineStr">
        <is>
          <t>Thiocyanate อาจได้จากการ metabolize สารจากผัก เช่น กะหล่ำปลี</t>
        </is>
      </c>
      <c r="F67" s="34" t="inlineStr">
        <is>
          <t>Lithium สามารถลด secretion ของ thyroxine และสามารถช่วยในการรักษา hyperthyroidism</t>
        </is>
      </c>
      <c r="G67" s="34" t="inlineStr">
        <is>
          <t>Goitrin สามารถยับยั้ง thyroid peroxidase</t>
        </is>
      </c>
      <c r="H67" s="34" t="inlineStr">
        <is>
          <t>Perchlorate เป็น ion ที่ช่วยเพิ่มการ uptake iodide และเพิ่มระดับ iodide ใน thyroid</t>
        </is>
      </c>
      <c r="I67" s="33" t="inlineStr">
        <is>
          <t>5</t>
        </is>
      </c>
      <c r="J67" s="34"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35" t="n"/>
      <c r="L67" s="34" t="inlineStr">
        <is>
          <t>Diabetes mellitus</t>
        </is>
      </c>
      <c r="M67" s="35" t="inlineStr">
        <is>
          <t>Clinic</t>
        </is>
      </c>
      <c r="N67" s="34" t="inlineStr">
        <is>
          <t>ข้อ 128 ชุด 1 (เฉลยข้อ จ)</t>
        </is>
      </c>
      <c r="O67" s="35" t="inlineStr">
        <is>
          <t>Mock</t>
        </is>
      </c>
      <c r="P67" s="35" t="inlineStr">
        <is>
          <t>ชุด 1</t>
        </is>
      </c>
    </row>
    <row r="68" ht="13.2" customHeight="1" s="49">
      <c r="A68" s="33" t="n">
        <v>66</v>
      </c>
      <c r="B68" s="34" t="inlineStr">
        <is>
          <t>ชุมชนที่มีคนเป็น toxic goiter มากบ่งบอกว่าชุมชนนั้นมีลักษณะอย่างไร</t>
        </is>
      </c>
      <c r="C68" s="35" t="n"/>
      <c r="D68" s="34" t="inlineStr">
        <is>
          <t>ได้รับ iodine ต่ำเกินไป</t>
        </is>
      </c>
      <c r="E68" s="34" t="inlineStr">
        <is>
          <t>ได้รับ iodine มากเกินไป</t>
        </is>
      </c>
      <c r="F68" s="34" t="inlineStr">
        <is>
          <t>แหล่งน้ำดื่มมีการปนเปื้อนของสารหนู</t>
        </is>
      </c>
      <c r="G68" s="34" t="inlineStr">
        <is>
          <t>แหล่งน้ำดื่มมีการปนเปื้อนของสารตะกั่ว</t>
        </is>
      </c>
      <c r="H68" s="34" t="inlineStr">
        <is>
          <t>กินอาหารที่มี thiocyanide มากเกินไป</t>
        </is>
      </c>
      <c r="I68" s="33" t="inlineStr">
        <is>
          <t>2</t>
        </is>
      </c>
      <c r="J68" s="34"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35" t="n"/>
      <c r="L68" s="34" t="inlineStr">
        <is>
          <t>Diabetes mellitus</t>
        </is>
      </c>
      <c r="M68" s="35" t="inlineStr">
        <is>
          <t>Clinic</t>
        </is>
      </c>
      <c r="N68" s="34" t="inlineStr">
        <is>
          <t>ข้อ 129 ชุด 1 (เฉลยข้อ ข)</t>
        </is>
      </c>
      <c r="O68" s="35" t="inlineStr">
        <is>
          <t>Mock</t>
        </is>
      </c>
      <c r="P68" s="35" t="inlineStr">
        <is>
          <t>ชุด 1</t>
        </is>
      </c>
    </row>
    <row r="69" ht="13.2" customHeight="1" s="49">
      <c r="A69" s="33" t="n">
        <v>67</v>
      </c>
      <c r="B69" s="34" t="inlineStr">
        <is>
          <t>เป้าหมาย HbA1c ของผู้ป่วยรายนี้เป็นเท่าไหร่</t>
        </is>
      </c>
      <c r="C69" s="35" t="n"/>
      <c r="D69" s="34" t="inlineStr">
        <is>
          <t>&lt; 5.5%</t>
        </is>
      </c>
      <c r="E69" s="34" t="inlineStr">
        <is>
          <t>&lt; 6%</t>
        </is>
      </c>
      <c r="F69" s="34" t="inlineStr">
        <is>
          <t>&lt; 7%</t>
        </is>
      </c>
      <c r="G69" s="34" t="inlineStr">
        <is>
          <t>&lt; 8%</t>
        </is>
      </c>
      <c r="H69" s="34" t="inlineStr">
        <is>
          <t>&lt; 8.5%"</t>
        </is>
      </c>
      <c r="I69" s="33" t="inlineStr">
        <is>
          <t>1</t>
        </is>
      </c>
      <c r="J69" s="34"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35" t="n"/>
      <c r="L69" s="34" t="inlineStr">
        <is>
          <t>Diabetes mellitus</t>
        </is>
      </c>
      <c r="M69" s="35" t="inlineStr">
        <is>
          <t>Clinic</t>
        </is>
      </c>
      <c r="N69" s="34" t="inlineStr">
        <is>
          <t>Mock PLE-CC 1 ข้อ 26</t>
        </is>
      </c>
      <c r="O69" s="35" t="inlineStr">
        <is>
          <t>Mock</t>
        </is>
      </c>
      <c r="P69" s="35" t="inlineStr">
        <is>
          <t>Mock RxCU83</t>
        </is>
      </c>
      <c r="Q69" s="2" t="n"/>
    </row>
    <row r="70" ht="13.2" customHeight="1" s="49">
      <c r="A70" s="33" t="n">
        <v>68</v>
      </c>
      <c r="B70" s="34"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35" t="n"/>
      <c r="D70" s="34" t="inlineStr">
        <is>
          <t>Sitagliptin</t>
        </is>
      </c>
      <c r="E70" s="34" t="inlineStr">
        <is>
          <t>Empagliflozin</t>
        </is>
      </c>
      <c r="F70" s="34" t="inlineStr">
        <is>
          <t>Acarbose</t>
        </is>
      </c>
      <c r="G70" s="34" t="inlineStr">
        <is>
          <t>Semaglutide SC</t>
        </is>
      </c>
      <c r="H70" s="34" t="inlineStr">
        <is>
          <t>insulin SC</t>
        </is>
      </c>
      <c r="I70" s="33" t="inlineStr">
        <is>
          <t>3</t>
        </is>
      </c>
      <c r="J70" s="34"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35" t="n"/>
      <c r="L70" s="34" t="inlineStr">
        <is>
          <t>Diabetes mellitus</t>
        </is>
      </c>
      <c r="M70" s="35" t="inlineStr">
        <is>
          <t>Clinic</t>
        </is>
      </c>
      <c r="N70" s="34" t="inlineStr">
        <is>
          <t>Mock PLE-CC 1 ข้อ 27</t>
        </is>
      </c>
      <c r="O70" s="35" t="inlineStr">
        <is>
          <t>Mock</t>
        </is>
      </c>
      <c r="P70" s="35" t="inlineStr">
        <is>
          <t>Mock RxCU83</t>
        </is>
      </c>
      <c r="Q70" s="2" t="n"/>
    </row>
    <row r="71" ht="13.2" customHeight="1" s="49">
      <c r="A71" s="33" t="n">
        <v>69</v>
      </c>
      <c r="B71" s="34" t="inlineStr">
        <is>
          <t>หากแพทย์ต้องการเริ่ม insulin แก่ผู้ป่วยรายนี้ ผู้ป่วยควรได้รับ insulin ชนิดใดถึงจะเหมาะสมที่สุด ตาม ADA
2024 guideline</t>
        </is>
      </c>
      <c r="C71" s="35" t="n"/>
      <c r="D71" s="34" t="inlineStr">
        <is>
          <t>Lispro insulin SC</t>
        </is>
      </c>
      <c r="E71" s="34" t="inlineStr">
        <is>
          <t>Lispro insulin SC + insulin glargine SC</t>
        </is>
      </c>
      <c r="F71" s="34" t="inlineStr">
        <is>
          <t>RI insulin SC</t>
        </is>
      </c>
      <c r="G71" s="34" t="inlineStr">
        <is>
          <t>RI insulin SC + NPH insulin SC</t>
        </is>
      </c>
      <c r="H71" s="34" t="inlineStr">
        <is>
          <t>Insulin glargine SC</t>
        </is>
      </c>
      <c r="I71" s="33" t="inlineStr">
        <is>
          <t>1</t>
        </is>
      </c>
      <c r="J71" s="34"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35" t="n"/>
      <c r="L71" s="34" t="inlineStr">
        <is>
          <t>Diabetes mellitus</t>
        </is>
      </c>
      <c r="M71" s="35" t="inlineStr">
        <is>
          <t>Clinic</t>
        </is>
      </c>
      <c r="N71" s="34" t="inlineStr">
        <is>
          <t>Mock PLE-CC 1 ข้อ 28</t>
        </is>
      </c>
      <c r="O71" s="35" t="inlineStr">
        <is>
          <t>Mock</t>
        </is>
      </c>
      <c r="P71" s="35" t="inlineStr">
        <is>
          <t>Mock RxCU83</t>
        </is>
      </c>
      <c r="Q71" s="2" t="n"/>
    </row>
    <row r="72" ht="13.2" customHeight="1" s="49">
      <c r="A72" s="33" t="n">
        <v>70</v>
      </c>
      <c r="B72" s="34" t="inlineStr">
        <is>
          <t>ยาในข้อใดไม่มีในการเพิ่มการหลั่ง insulin</t>
        </is>
      </c>
      <c r="C72" s="35" t="n"/>
      <c r="D72" s="34" t="inlineStr">
        <is>
          <t>Glipizide</t>
        </is>
      </c>
      <c r="E72" s="34" t="inlineStr">
        <is>
          <t>Repaglinide</t>
        </is>
      </c>
      <c r="F72" s="34" t="inlineStr">
        <is>
          <t>Pioglitazone</t>
        </is>
      </c>
      <c r="G72" s="34" t="inlineStr">
        <is>
          <t>Saxagliptin</t>
        </is>
      </c>
      <c r="H72" s="34" t="inlineStr">
        <is>
          <t>Liraglutide</t>
        </is>
      </c>
      <c r="I72" s="33" t="inlineStr">
        <is>
          <t>1</t>
        </is>
      </c>
      <c r="J72"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35" t="n"/>
      <c r="L72" s="34" t="inlineStr">
        <is>
          <t>Diabetes mellitus</t>
        </is>
      </c>
      <c r="M72" s="35" t="inlineStr">
        <is>
          <t>Clinic</t>
        </is>
      </c>
      <c r="N72" s="34" t="inlineStr">
        <is>
          <t>Mock PLE-CC 1 ข้อ 29</t>
        </is>
      </c>
      <c r="O72" s="35" t="inlineStr">
        <is>
          <t>Mock</t>
        </is>
      </c>
      <c r="P72" s="35" t="inlineStr">
        <is>
          <t>Mock RxCU83</t>
        </is>
      </c>
      <c r="Q72" s="2" t="n"/>
    </row>
    <row r="73" ht="13.2" customHeight="1" s="49">
      <c r="A73" s="33" t="n">
        <v>71</v>
      </c>
      <c r="B73" s="34" t="inlineStr">
        <is>
          <t>กลไกการออกฤทธิ์หลักของยา semaglutide คือข้อใด</t>
        </is>
      </c>
      <c r="C73" s="35" t="n"/>
      <c r="D73" s="34" t="inlineStr">
        <is>
          <t>กระตุ้น PPAR-γ receptor</t>
        </is>
      </c>
      <c r="E73" s="34" t="inlineStr">
        <is>
          <t>กระตุ้น GLP-1 receptor</t>
        </is>
      </c>
      <c r="F73" s="34" t="inlineStr">
        <is>
          <t>ยับยั้งการดูดกลับกลูโคสที่หน่วยไต</t>
        </is>
      </c>
      <c r="G73" s="34" t="inlineStr">
        <is>
          <t>กระตุ้น sulfonylurea receptor type 1</t>
        </is>
      </c>
      <c r="H73" s="34" t="inlineStr">
        <is>
          <t>ยับยั้งเอนไซม์ α-glucosidase</t>
        </is>
      </c>
      <c r="I73" s="33" t="inlineStr">
        <is>
          <t>1</t>
        </is>
      </c>
      <c r="J73" s="34"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35" t="n"/>
      <c r="L73" s="34" t="inlineStr">
        <is>
          <t>Diabetes mellitus</t>
        </is>
      </c>
      <c r="M73" s="35" t="inlineStr">
        <is>
          <t>Clinic</t>
        </is>
      </c>
      <c r="N73" s="34" t="inlineStr">
        <is>
          <t>Mock PLE-CC 1 ข้อ 30</t>
        </is>
      </c>
      <c r="O73" s="35" t="inlineStr">
        <is>
          <t>Mock</t>
        </is>
      </c>
      <c r="P73" s="35" t="inlineStr">
        <is>
          <t>Mock RxCU83</t>
        </is>
      </c>
      <c r="Q73" s="2" t="n"/>
    </row>
    <row r="74" ht="13.2" customHeight="1" s="49">
      <c r="A74" s="33" t="n">
        <v>72</v>
      </c>
      <c r="B74" s="34" t="inlineStr">
        <is>
          <t>การเติม Zinc chloride หรือ Zinc acetate ในสูตรตำรับ NPH insulin มีส่วนช่วยอะไรในสูตรตำรับ</t>
        </is>
      </c>
      <c r="C74" s="35" t="n"/>
      <c r="D74" s="34" t="inlineStr">
        <is>
          <t>เสริมฤทธิ์การกันเสีย (preservative) ร่วมกับ phenol</t>
        </is>
      </c>
      <c r="E74" s="34" t="inlineStr">
        <is>
          <t>ป้องกันการตกตะกอนของ insulin</t>
        </is>
      </c>
      <c r="F74" s="34" t="inlineStr">
        <is>
          <t>ทำให้เกิดสารประกอบเชิงซ้อนกับ insulin ส่งผลต่อการออกฤทธิ์</t>
        </is>
      </c>
      <c r="G74" s="34" t="inlineStr">
        <is>
          <t>ป้องกันการดูดซับของ insulin บนพื้นผิวภาชนะแก้ว type 1</t>
        </is>
      </c>
      <c r="H74" s="34" t="inlineStr">
        <is>
          <t>เพื่อเพิ่มความคงตัวของ pH ในการผลิตและเก็บรักษา</t>
        </is>
      </c>
      <c r="I74" s="33" t="inlineStr">
        <is>
          <t>2</t>
        </is>
      </c>
      <c r="J74" s="34"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35" t="n"/>
      <c r="L74" s="34" t="inlineStr">
        <is>
          <t>Diabetes mellitus</t>
        </is>
      </c>
      <c r="M74" s="35" t="inlineStr">
        <is>
          <t>Clinic</t>
        </is>
      </c>
      <c r="N74" s="34" t="inlineStr">
        <is>
          <t>Mock PLE-CC 1 ข้อ 31</t>
        </is>
      </c>
      <c r="O74" s="35" t="inlineStr">
        <is>
          <t>Mock</t>
        </is>
      </c>
      <c r="P74" s="35" t="inlineStr">
        <is>
          <t>Mock RxCU83</t>
        </is>
      </c>
      <c r="Q74" s="2" t="n"/>
    </row>
    <row r="75" ht="13.2" customHeight="1" s="49">
      <c r="A75" s="33" t="n">
        <v>73</v>
      </c>
      <c r="B75" s="34" t="inlineStr">
        <is>
          <t>ข้อใดคือแนวทางแก้ปัญหาที่มักพบในการผลิตยา insulin injection แล้วมีฟอง และการรวมกลุ่ม (aggregation)</t>
        </is>
      </c>
      <c r="C75" s="35" t="n"/>
      <c r="D75" s="34" t="inlineStr">
        <is>
          <t>ลดอุณหภูมิระหว่างการผลิตต ่ากว่า 0</t>
        </is>
      </c>
      <c r="E75" s="34" t="inlineStr">
        <is>
          <t>เพิ่มสารลดแรงตึงผิว non-ionic เช่น polysorbate 20</t>
        </is>
      </c>
      <c r="F75" s="34" t="inlineStr">
        <is>
          <t>เติม zinc รูป zinc chloride</t>
        </is>
      </c>
      <c r="G75" s="34" t="inlineStr">
        <is>
          <t>ใช้ nitrogen purging ไล่ออกซิเจน</t>
        </is>
      </c>
      <c r="H75" s="34" t="inlineStr">
        <is>
          <t>เปลี่ยนสูตรต ารับเป็น acetate buffer แทน phosphate buffer"</t>
        </is>
      </c>
      <c r="I75" s="33" t="inlineStr">
        <is>
          <t>1</t>
        </is>
      </c>
      <c r="J75" s="34"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35" t="n"/>
      <c r="L75" s="34" t="inlineStr">
        <is>
          <t>Diabetes mellitus</t>
        </is>
      </c>
      <c r="M75" s="35" t="inlineStr">
        <is>
          <t>Clinic</t>
        </is>
      </c>
      <c r="N75" s="34" t="inlineStr">
        <is>
          <t>Mock PLE-CC 1 ข้อ 33</t>
        </is>
      </c>
      <c r="O75" s="35" t="inlineStr">
        <is>
          <t>Mock</t>
        </is>
      </c>
      <c r="P75" s="35" t="inlineStr">
        <is>
          <t>Mock RxCU83</t>
        </is>
      </c>
      <c r="Q75" s="2" t="n"/>
    </row>
    <row r="76" ht="13.2" customHeight="1" s="49">
      <c r="A76" s="33" t="n">
        <v>74</v>
      </c>
      <c r="B76" s="34" t="inlineStr">
        <is>
          <t>การผลิต insulin ในระดับอุตสาหกรรม ข้อใดมีความเป็นไปได้มากที่สุด</t>
        </is>
      </c>
      <c r="C76" s="35" t="n"/>
      <c r="D76" s="34" t="inlineStr">
        <is>
          <t>สกัดโดยตรงจากสุกรหรือวัว แล้วเอามาสังเคราะห์ต่อ จนได้ insulin</t>
        </is>
      </c>
      <c r="E76" s="34" t="inlineStr">
        <is>
          <t>ใช้ E. coli หรือ Saccharomyces cerevisiae สังเคราะห์ แล้วใช้ C-$Peptidase ตัดให้เป็น insulin</t>
        </is>
      </c>
      <c r="F76" s="34" t="inlineStr">
        <is>
          <t>SPPS แล้วพับใน bioreactor</t>
        </is>
      </c>
      <c r="G76" s="34" t="inlineStr">
        <is>
          <t>hybridoma technology ผลิตเป็น Immuno monoclonal antibody</t>
        </is>
      </c>
      <c r="H76" s="34" t="inlineStr">
        <is>
          <t>ใช้ stem cell ของ human beta cell ในตับอ่อน แล้วสกัด insulin ออกมาท า formulation ต่อ"</t>
        </is>
      </c>
      <c r="I76" s="33" t="inlineStr">
        <is>
          <t>1</t>
        </is>
      </c>
      <c r="J76" s="34"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35" t="n"/>
      <c r="L76" s="34" t="inlineStr">
        <is>
          <t>Diabetes mellitus</t>
        </is>
      </c>
      <c r="M76" s="35" t="inlineStr">
        <is>
          <t>Clinic</t>
        </is>
      </c>
      <c r="N76" s="34" t="inlineStr">
        <is>
          <t>Mock PLE-CC 1 ข้อ 36</t>
        </is>
      </c>
      <c r="O76" s="35" t="inlineStr">
        <is>
          <t>Mock</t>
        </is>
      </c>
      <c r="P76" s="35" t="inlineStr">
        <is>
          <t>Mock RxCU83</t>
        </is>
      </c>
      <c r="Q76" s="2" t="n"/>
    </row>
    <row r="77" ht="13.2" customHeight="1" s="49">
      <c r="A77" s="33" t="n">
        <v>75</v>
      </c>
      <c r="B77" s="34"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35" t="n"/>
      <c r="D77" s="34" t="inlineStr">
        <is>
          <t>Levothyroxine 50 mcg OD</t>
        </is>
      </c>
      <c r="E77" s="34" t="inlineStr">
        <is>
          <t>Propylthiouracil 50 mg TID</t>
        </is>
      </c>
      <c r="F77" s="34" t="inlineStr">
        <is>
          <t>Methimazole 10 mg OD</t>
        </is>
      </c>
      <c r="G77" s="34" t="inlineStr">
        <is>
          <t>Pioglitazone 15 mg OD</t>
        </is>
      </c>
      <c r="H77" s="34" t="n"/>
      <c r="I77" s="33" t="inlineStr">
        <is>
          <t>1</t>
        </is>
      </c>
      <c r="J77"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35" t="n"/>
      <c r="L77" s="34" t="inlineStr">
        <is>
          <t>Diabetes mellitus</t>
        </is>
      </c>
      <c r="M77" s="35" t="inlineStr">
        <is>
          <t>Clinic</t>
        </is>
      </c>
      <c r="N77" s="34" t="inlineStr">
        <is>
          <t>Mock PLE-CC 1 ข้อ 37</t>
        </is>
      </c>
      <c r="O77" s="35" t="inlineStr">
        <is>
          <t>Mock</t>
        </is>
      </c>
      <c r="P77" s="35" t="inlineStr">
        <is>
          <t>Mock RxCU83</t>
        </is>
      </c>
      <c r="Q77" s="2" t="n"/>
    </row>
    <row r="78" ht="13.2" customHeight="1" s="49">
      <c r="A78" s="33" t="n">
        <v>76</v>
      </c>
      <c r="B78" s="34" t="inlineStr">
        <is>
          <t>พืชผัก ในข้อใด มีผลลดระดับน ้าตาลในเลือด</t>
        </is>
      </c>
      <c r="C78" s="35" t="n"/>
      <c r="D78" s="34" t="inlineStr">
        <is>
          <t>ยอดฝักแม้ว</t>
        </is>
      </c>
      <c r="E78" s="34" t="inlineStr">
        <is>
          <t>ใบกะหล ่าปลี</t>
        </is>
      </c>
      <c r="F78" s="34" t="inlineStr">
        <is>
          <t>ผลบวบงู</t>
        </is>
      </c>
      <c r="G78" s="34" t="inlineStr">
        <is>
          <t>ผลมะระขี้นก</t>
        </is>
      </c>
      <c r="H78" s="34" t="inlineStr">
        <is>
          <t>ช่อดอกบล็อคโคลี</t>
        </is>
      </c>
      <c r="I78" s="33" t="inlineStr">
        <is>
          <t>2</t>
        </is>
      </c>
      <c r="J78" s="34"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35" t="n"/>
      <c r="L78" s="34" t="inlineStr">
        <is>
          <t>Diabetes mellitus</t>
        </is>
      </c>
      <c r="M78" s="35" t="inlineStr">
        <is>
          <t>Clinic</t>
        </is>
      </c>
      <c r="N78" s="34" t="inlineStr">
        <is>
          <t>Mock PLE-CC 1 ข้อ 39</t>
        </is>
      </c>
      <c r="O78" s="35" t="inlineStr">
        <is>
          <t>Mock</t>
        </is>
      </c>
      <c r="P78" s="35" t="inlineStr">
        <is>
          <t>Mock RxCU83</t>
        </is>
      </c>
      <c r="Q78" s="2" t="n"/>
    </row>
    <row r="79" ht="13.2" customHeight="1" s="49">
      <c r="A79" s="33" t="n">
        <v>77</v>
      </c>
      <c r="B79" s="34" t="inlineStr">
        <is>
          <t>ในการพัฒนาสูตรตำรับยาพ่นจมูกในรูปแบบสารละลาย (Non-pressurized Multiple Use …)
ไม่จำเป็นต้องทำการทดสอบใด</t>
        </is>
      </c>
      <c r="C79" s="35" t="n"/>
      <c r="D79" s="34" t="inlineStr">
        <is>
          <t>Uniformity of dosage unit/delivered dose uniformity</t>
        </is>
      </c>
      <c r="E79" s="34" t="inlineStr">
        <is>
          <t>Droplet size distribution</t>
        </is>
      </c>
      <c r="F79" s="34" t="inlineStr">
        <is>
          <t>Actuator deposition</t>
        </is>
      </c>
      <c r="G79" s="34" t="inlineStr">
        <is>
          <t>Shake requirement</t>
        </is>
      </c>
      <c r="H79" s="34" t="inlineStr">
        <is>
          <t>Extractable/Leachable</t>
        </is>
      </c>
      <c r="I79" s="33" t="inlineStr">
        <is>
          <t>1</t>
        </is>
      </c>
      <c r="J79" s="34"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35" t="n"/>
      <c r="L79" s="34" t="inlineStr">
        <is>
          <t>Diabetes mellitus</t>
        </is>
      </c>
      <c r="M79" s="35" t="inlineStr">
        <is>
          <t>Clinic</t>
        </is>
      </c>
      <c r="N79" s="34" t="inlineStr">
        <is>
          <t>Mock PLE-CC 1 ข้อ 46</t>
        </is>
      </c>
      <c r="O79" s="35" t="inlineStr">
        <is>
          <t>Mock</t>
        </is>
      </c>
      <c r="P79" s="35" t="inlineStr">
        <is>
          <t>Mock RxCU83</t>
        </is>
      </c>
      <c r="Q79" s="2" t="n"/>
    </row>
    <row r="80" ht="13.2" customHeight="1" s="49">
      <c r="A80" s="33" t="n">
        <v>78</v>
      </c>
      <c r="B80" s="34" t="inlineStr">
        <is>
          <t>ข้อใดไม่ใช่ปัจจัยที่มาพิจารณาการตั้งตำรับผลิตภัณฑ์ยาพ่นจมูกรูปแบบสารละลาย</t>
        </is>
      </c>
      <c r="C80" s="35" t="n"/>
      <c r="D80" s="34" t="inlineStr">
        <is>
          <t>Particle size</t>
        </is>
      </c>
      <c r="E80" s="34" t="inlineStr">
        <is>
          <t>Solvent</t>
        </is>
      </c>
      <c r="F80" s="34" t="inlineStr">
        <is>
          <t>Viscosity</t>
        </is>
      </c>
      <c r="G80" s="34" t="inlineStr">
        <is>
          <t>Osmolarity</t>
        </is>
      </c>
      <c r="H80" s="34" t="inlineStr">
        <is>
          <t>pH</t>
        </is>
      </c>
      <c r="I80" s="33" t="inlineStr">
        <is>
          <t>1</t>
        </is>
      </c>
      <c r="J80" s="34"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35" t="n"/>
      <c r="L80" s="34" t="inlineStr">
        <is>
          <t>Diabetes mellitus</t>
        </is>
      </c>
      <c r="M80" s="35" t="inlineStr">
        <is>
          <t>Clinic</t>
        </is>
      </c>
      <c r="N80" s="34" t="inlineStr">
        <is>
          <t>Mock PLE-CC 1 ข้อ 47</t>
        </is>
      </c>
      <c r="O80" s="35" t="inlineStr">
        <is>
          <t>Mock</t>
        </is>
      </c>
      <c r="P80" s="35" t="inlineStr">
        <is>
          <t>Mock RxCU83</t>
        </is>
      </c>
      <c r="Q80" s="2" t="n"/>
    </row>
    <row r="81" ht="13.2" customHeight="1" s="49">
      <c r="A81" s="33" t="n">
        <v>79</v>
      </c>
      <c r="B81" s="34" t="inlineStr">
        <is>
          <t>หัวข้อใดไม่จำเป็นต้องกำหนดในการควบคุมคุณภาพของผลิตภัณฑ์ยาพ่นจมูกรูปแบบสารละลาย</t>
        </is>
      </c>
      <c r="C81" s="35" t="n"/>
      <c r="D81" s="34" t="inlineStr">
        <is>
          <t>Description</t>
        </is>
      </c>
      <c r="E81" s="34" t="inlineStr">
        <is>
          <t>Assay</t>
        </is>
      </c>
      <c r="F81" s="34" t="inlineStr">
        <is>
          <t>Moisture content</t>
        </is>
      </c>
      <c r="G81" s="34" t="inlineStr">
        <is>
          <t>Microbial limit</t>
        </is>
      </c>
      <c r="H81" s="34" t="inlineStr">
        <is>
          <t>Mean delivered dose</t>
        </is>
      </c>
      <c r="I81" s="33" t="inlineStr">
        <is>
          <t>1</t>
        </is>
      </c>
      <c r="J81" s="34"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35" t="n"/>
      <c r="L81" s="34" t="inlineStr">
        <is>
          <t>Diabetes mellitus</t>
        </is>
      </c>
      <c r="M81" s="35" t="inlineStr">
        <is>
          <t>Clinic</t>
        </is>
      </c>
      <c r="N81" s="34" t="inlineStr">
        <is>
          <t>Mock PLE-CC 1 ข้อ 48</t>
        </is>
      </c>
      <c r="O81" s="35" t="inlineStr">
        <is>
          <t>Mock</t>
        </is>
      </c>
      <c r="P81" s="35" t="inlineStr">
        <is>
          <t>Mock RxCU83</t>
        </is>
      </c>
      <c r="Q81" s="2" t="n"/>
    </row>
    <row r="82" ht="13.2" customHeight="1" s="49">
      <c r="A82" s="33" t="n">
        <v>80</v>
      </c>
      <c r="B82" s="34"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35" t="n"/>
      <c r="D82" s="34" t="inlineStr">
        <is>
          <t>Methimazole 10 mg OD</t>
        </is>
      </c>
      <c r="E82" s="34" t="inlineStr">
        <is>
          <t>Pioglitazone 15 mg OD</t>
        </is>
      </c>
      <c r="F82" s="34" t="inlineStr">
        <is>
          <t>A และ B</t>
        </is>
      </c>
      <c r="G82" s="34" t="inlineStr">
        <is>
          <t>ไม่ใช้ทั้ง A และ B</t>
        </is>
      </c>
      <c r="H82" s="34" t="inlineStr">
        <is>
          <t>ตัดสินไม่ได้</t>
        </is>
      </c>
      <c r="I82" s="33" t="inlineStr">
        <is>
          <t>1</t>
        </is>
      </c>
      <c r="J8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35" t="n"/>
      <c r="L82" s="34" t="inlineStr">
        <is>
          <t>Diabetes mellitus</t>
        </is>
      </c>
      <c r="M82" s="35" t="inlineStr">
        <is>
          <t>Clinic</t>
        </is>
      </c>
      <c r="N82" s="34" t="inlineStr">
        <is>
          <t>Mock PLE-CC 1 ข้อ 49</t>
        </is>
      </c>
      <c r="O82" s="35" t="inlineStr">
        <is>
          <t>Mock</t>
        </is>
      </c>
      <c r="P82" s="35" t="inlineStr">
        <is>
          <t>Mock RxCU83</t>
        </is>
      </c>
      <c r="Q82" s="2" t="n"/>
    </row>
    <row r="83" ht="13.2" customHeight="1" s="49">
      <c r="A83" s="33" t="n">
        <v>81</v>
      </c>
      <c r="B83" s="34" t="inlineStr">
        <is>
          <t>ข้อใดถูกต้องเกี่ยวกับ immune-related adverse events (irAEs)</t>
        </is>
      </c>
      <c r="C83" s="35" t="n"/>
      <c r="D83" s="34" t="inlineStr">
        <is>
          <t>ลำดับการเกิดคือ colitis &gt; endocrinepathy &gt; skin &gt; liver toxicity</t>
        </is>
      </c>
      <c r="E83" s="34" t="inlineStr">
        <is>
          <t>Endocrine toxicity คือการเกิด hypothyroidism รักษาด้วย steroid</t>
        </is>
      </c>
      <c r="F83" s="34" t="inlineStr">
        <is>
          <t>สามารถเกิดได้กับหลายอวัยวะ และเกิดได้แม้หยุดยาไปแล้ว</t>
        </is>
      </c>
      <c r="G83" s="34" t="inlineStr">
        <is>
          <t>ไม่จำเป็นต้องหยุดยา และสามารถหายได้เอง</t>
        </is>
      </c>
      <c r="H83" s="34" t="inlineStr">
        <is>
          <t>Skin จะเกิดเฉพาะกับผู้ป่วยที่มี EGFR mutation positive เท่านั้น</t>
        </is>
      </c>
      <c r="I83" s="33" t="inlineStr">
        <is>
          <t>1</t>
        </is>
      </c>
      <c r="J83" s="34"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35" t="n"/>
      <c r="L83" s="34" t="inlineStr">
        <is>
          <t>Diabetes mellitus</t>
        </is>
      </c>
      <c r="M83" s="35" t="inlineStr">
        <is>
          <t>Clinic</t>
        </is>
      </c>
      <c r="N83" s="34" t="inlineStr">
        <is>
          <t>Mock PLE-CC 1 ข้อ 68</t>
        </is>
      </c>
      <c r="O83" s="35" t="inlineStr">
        <is>
          <t>Mock</t>
        </is>
      </c>
      <c r="P83" s="35" t="inlineStr">
        <is>
          <t>Mock RxCU83</t>
        </is>
      </c>
      <c r="Q83" s="2" t="n"/>
    </row>
    <row r="84" ht="13.2" customHeight="1" s="49">
      <c r="A84" s="33" t="n">
        <v>82</v>
      </c>
      <c r="B84" s="34" t="inlineStr">
        <is>
          <t>ใช้ propranolol ในการป้องกันไมเกรน ควรระวังในผู้ป่วยที่มีโรคร่วมใดมากที่สุด</t>
        </is>
      </c>
      <c r="C84" s="35" t="n"/>
      <c r="D84" s="34" t="inlineStr">
        <is>
          <t>เบาหวาน</t>
        </is>
      </c>
      <c r="E84" s="34" t="inlineStr">
        <is>
          <t>หืด</t>
        </is>
      </c>
      <c r="F84" s="34" t="inlineStr">
        <is>
          <t>ซึมเศร้า</t>
        </is>
      </c>
      <c r="G84" s="34" t="inlineStr">
        <is>
          <t>กรดไหลย้อน</t>
        </is>
      </c>
      <c r="H84" s="34" t="inlineStr">
        <is>
          <t>ไตเรื้อรัง</t>
        </is>
      </c>
      <c r="I84" s="33" t="inlineStr">
        <is>
          <t>1</t>
        </is>
      </c>
      <c r="J84" s="34"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35" t="n"/>
      <c r="L84" s="34" t="inlineStr">
        <is>
          <t>Diabetes mellitus</t>
        </is>
      </c>
      <c r="M84" s="35" t="inlineStr">
        <is>
          <t>Clinic</t>
        </is>
      </c>
      <c r="N84" s="34" t="inlineStr">
        <is>
          <t>Mock PLE-CC 1 ข้อ 111</t>
        </is>
      </c>
      <c r="O84" s="35" t="inlineStr">
        <is>
          <t>Mock</t>
        </is>
      </c>
      <c r="P84" s="35" t="inlineStr">
        <is>
          <t>Mock RxCU83</t>
        </is>
      </c>
      <c r="Q84" s="2" t="n"/>
    </row>
    <row r="85" ht="13.2" customHeight="1" s="49">
      <c r="A85" s="33" t="n">
        <v>83</v>
      </c>
      <c r="B85" s="34"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35" t="n"/>
      <c r="D85" s="34" t="inlineStr">
        <is>
          <t>ให้กินยาจนครบคอร์ส 6-8 เดือน ห้ามหยุดยาเอง ก่อนปรึกษาแพทย์</t>
        </is>
      </c>
      <c r="E85" s="34" t="inlineStr">
        <is>
          <t>ยาอาจทำให้ง่วงซึม หลีกเลี่ยงการขับขี่ยานพาหนะหรือทำงานเครื่องจักร</t>
        </is>
      </c>
      <c r="F85" s="34" t="inlineStr">
        <is>
          <t>หลีกเลี่ยงการออกแดดหรือให้ทาครีมกันแดด เมื่อจำเป็น</t>
        </is>
      </c>
      <c r="G85" s="34" t="inlineStr">
        <is>
          <t>หากมีอาการ ไข้ เจ็บคอ มีแผลในปาก ควรหยุดยาแล้วมาพบแพทย์ทันที</t>
        </is>
      </c>
      <c r="H85" s="34" t="inlineStr">
        <is>
          <t>หากมีผื่นขึ้นแม้เพียงเล็กน้อย ให้หยุดยาทันที</t>
        </is>
      </c>
      <c r="I85" s="33" t="n">
        <v>4</v>
      </c>
      <c r="J85" s="34"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สากลคือ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35" t="n"/>
      <c r="L85" s="34" t="inlineStr">
        <is>
          <t>Hypo/Hyperthyroidism</t>
        </is>
      </c>
      <c r="M85" s="35" t="inlineStr">
        <is>
          <t>Clinic</t>
        </is>
      </c>
      <c r="N85" s="34" t="inlineStr">
        <is>
          <t>PLE_CC1_2567_Key ข้อ 43</t>
        </is>
      </c>
      <c r="O85" s="35" t="inlineStr">
        <is>
          <t>ข้อสอบจริง</t>
        </is>
      </c>
      <c r="P85" s="35" t="inlineStr">
        <is>
          <t>ปี 2567</t>
        </is>
      </c>
      <c r="Q85" s="2" t="n"/>
    </row>
    <row r="86" ht="13.2" customHeight="1" s="49">
      <c r="A86" s="33" t="n">
        <v>84</v>
      </c>
      <c r="B86" s="34"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35" t="n"/>
      <c r="D86" s="34" t="inlineStr">
        <is>
          <t>Metformin + dapagliflozin</t>
        </is>
      </c>
      <c r="E86" s="34" t="inlineStr">
        <is>
          <t>Glipizide + insulin</t>
        </is>
      </c>
      <c r="F86" s="34" t="inlineStr">
        <is>
          <t>Insulin</t>
        </is>
      </c>
      <c r="G86" s="34" t="inlineStr">
        <is>
          <t>Linagliptin</t>
        </is>
      </c>
      <c r="H86" s="34" t="inlineStr">
        <is>
          <t>Metformin + sitagliptin</t>
        </is>
      </c>
      <c r="I86" s="33" t="n">
        <v>1</v>
      </c>
      <c r="J86" s="34"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35" t="n"/>
      <c r="L86" s="34" t="inlineStr">
        <is>
          <t>Diabetes mellitus</t>
        </is>
      </c>
      <c r="M86" s="35" t="inlineStr">
        <is>
          <t>Clinic</t>
        </is>
      </c>
      <c r="N86" s="34" t="inlineStr">
        <is>
          <t>PLE_CC1_2567_Key ข้อ 49</t>
        </is>
      </c>
      <c r="O86" s="35" t="inlineStr">
        <is>
          <t>ข้อสอบจริง</t>
        </is>
      </c>
      <c r="P86" s="35" t="inlineStr">
        <is>
          <t>ปี 2567</t>
        </is>
      </c>
      <c r="Q86" s="2" t="n"/>
    </row>
    <row r="87" ht="13.2" customHeight="1" s="49">
      <c r="A87" s="33" t="n">
        <v>85</v>
      </c>
      <c r="B87" s="34"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35" t="n"/>
      <c r="D87" s="34" t="inlineStr">
        <is>
          <t>TSH สูง, FT3 ปกติ, FT4 ปกติ</t>
        </is>
      </c>
      <c r="E87" s="34" t="inlineStr">
        <is>
          <t>TSH ปกติ, FT3 สูง, FT4 สูง</t>
        </is>
      </c>
      <c r="F87" s="34" t="inlineStr">
        <is>
          <t>TSH ต่ำ, FT3 สูง, FT4 สูง</t>
        </is>
      </c>
      <c r="G87" s="34" t="inlineStr">
        <is>
          <t>TSH ต่ำ, FT3 ต่ำ, FT4 ต่ำ</t>
        </is>
      </c>
      <c r="H87" s="34" t="inlineStr">
        <is>
          <t>TSH สูง, FT3 สูง, FT4 สูง</t>
        </is>
      </c>
      <c r="I87" s="33" t="n">
        <v>3</v>
      </c>
      <c r="J87" s="34"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35" t="n"/>
      <c r="L87" s="34" t="inlineStr">
        <is>
          <t>Hypo/Hyperthyroidism</t>
        </is>
      </c>
      <c r="M87" s="35" t="inlineStr">
        <is>
          <t>Clinic</t>
        </is>
      </c>
      <c r="N87" s="34" t="inlineStr">
        <is>
          <t>PLE_CC1_2567_Key ข้อ 67</t>
        </is>
      </c>
      <c r="O87" s="35" t="inlineStr">
        <is>
          <t>ข้อสอบจริง</t>
        </is>
      </c>
      <c r="P87" s="35" t="inlineStr">
        <is>
          <t>ปี 2567</t>
        </is>
      </c>
      <c r="Q87" s="2" t="n"/>
    </row>
    <row r="88" ht="13.2" customHeight="1" s="49">
      <c r="A88" s="33" t="n">
        <v>86</v>
      </c>
      <c r="B88" s="34" t="inlineStr">
        <is>
          <t>ข้อใดต่อไปนี้เป็นอาการแสดงที่พบได้ในภาวะต่อมไทรอยด์ทำงานเกิน (Hyperthyroidism)?</t>
        </is>
      </c>
      <c r="C88" s="35" t="n"/>
      <c r="D88" s="34" t="inlineStr">
        <is>
          <t>หงุดหงิดง่าย</t>
        </is>
      </c>
      <c r="E88" s="34" t="inlineStr">
        <is>
          <t>ผมร่วง</t>
        </is>
      </c>
      <c r="F88" s="34" t="inlineStr">
        <is>
          <t>ผิวแห้ง</t>
        </is>
      </c>
      <c r="G88" s="34" t="inlineStr">
        <is>
          <t>หัวใจเต้นช้า</t>
        </is>
      </c>
      <c r="H88" s="34" t="inlineStr">
        <is>
          <t>ท้องผูก</t>
        </is>
      </c>
      <c r="I88" s="33" t="n">
        <v>1</v>
      </c>
      <c r="J88" s="34"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35" t="n"/>
      <c r="L88" s="34" t="inlineStr">
        <is>
          <t>Hypo/Hyperthyroidism</t>
        </is>
      </c>
      <c r="M88" s="35" t="inlineStr">
        <is>
          <t>Clinic</t>
        </is>
      </c>
      <c r="N88" s="34" t="inlineStr">
        <is>
          <t>PLE_CC1_2567_Key ข้อ 68</t>
        </is>
      </c>
      <c r="O88" s="35" t="inlineStr">
        <is>
          <t>ข้อสอบจริง</t>
        </is>
      </c>
      <c r="P88" s="35" t="inlineStr">
        <is>
          <t>ปี 2567</t>
        </is>
      </c>
      <c r="Q88" s="2" t="n"/>
    </row>
    <row r="89" ht="13.2" customHeight="1" s="49">
      <c r="A89" s="33" t="n">
        <v>87</v>
      </c>
      <c r="B89" s="34"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35" t="n"/>
      <c r="D89" s="34" t="inlineStr">
        <is>
          <t>จ่ายยาเพิ่มอีก 1 ตัว</t>
        </is>
      </c>
      <c r="E89" s="34" t="inlineStr">
        <is>
          <t>มียาที่ไม่เหมาะสม (Inappropriate drug)</t>
        </is>
      </c>
      <c r="F89" s="34" t="inlineStr">
        <is>
          <t>มียาที่ความถี่ในการบริหารไม่เหมาะสม</t>
        </is>
      </c>
      <c r="G89" s="34" t="inlineStr">
        <is>
          <t>มียาที่ไม่มีข้อบ่งใช้</t>
        </is>
      </c>
      <c r="H89" s="34" t="inlineStr">
        <is>
          <t>เกิดปฏิกิริยาระหว่างยาที่รุนแรง</t>
        </is>
      </c>
      <c r="I89" s="33" t="n">
        <v>2</v>
      </c>
      <c r="J89" s="34"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35" t="n"/>
      <c r="L89" s="34" t="inlineStr">
        <is>
          <t>Hypo/Hyperthyroidism</t>
        </is>
      </c>
      <c r="M89" s="35" t="inlineStr">
        <is>
          <t>Clinic</t>
        </is>
      </c>
      <c r="N89" s="34" t="inlineStr">
        <is>
          <t>PLE_CC1_2567_Key ข้อ 69</t>
        </is>
      </c>
      <c r="O89" s="35" t="inlineStr">
        <is>
          <t>ข้อสอบจริง</t>
        </is>
      </c>
      <c r="P89" s="35" t="inlineStr">
        <is>
          <t>ปี 2567</t>
        </is>
      </c>
      <c r="Q89" s="2" t="n"/>
    </row>
    <row r="90" ht="13.2" customHeight="1" s="49">
      <c r="A90" s="33" t="n">
        <v>88</v>
      </c>
      <c r="B90" s="34" t="inlineStr">
        <is>
          <t>โรคอ้วน, การดื่มแอลกอฮอล์, Metformin</t>
        </is>
      </c>
      <c r="C90" s="35" t="n"/>
      <c r="D90" s="34" t="inlineStr">
        <is>
          <t>Glipizide 5 mg OD</t>
        </is>
      </c>
      <c r="E90" s="34" t="inlineStr">
        <is>
          <t>Empagliflozin 10 mg OD</t>
        </is>
      </c>
      <c r="F90" s="34" t="inlineStr">
        <is>
          <t>Sitagliptin 100 mg OD</t>
        </is>
      </c>
      <c r="G90" s="34" t="inlineStr">
        <is>
          <t>Liraglutide 1.2 mg SC OD</t>
        </is>
      </c>
      <c r="H90" s="34" t="n"/>
      <c r="I90" s="33" t="inlineStr">
        <is>
          <t>1</t>
        </is>
      </c>
      <c r="J90"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0" s="35" t="n"/>
      <c r="L90" s="34" t="inlineStr">
        <is>
          <t>Diabetes mellitus</t>
        </is>
      </c>
      <c r="M90" s="35" t="inlineStr">
        <is>
          <t>Clinic</t>
        </is>
      </c>
      <c r="N90" s="34" t="inlineStr">
        <is>
          <t>PLE-CC1 ปี 2566 Day 1 ข้อ 1</t>
        </is>
      </c>
      <c r="O90" s="35" t="inlineStr">
        <is>
          <t>ข้อสอบจริง</t>
        </is>
      </c>
      <c r="P90" s="35" t="inlineStr">
        <is>
          <t>ปี 2566</t>
        </is>
      </c>
      <c r="Q90" s="2" t="n"/>
    </row>
    <row r="91" ht="13.2" customHeight="1" s="49">
      <c r="A91" s="33" t="n">
        <v>89</v>
      </c>
      <c r="B91" s="34" t="inlineStr">
        <is>
          <t>การใช้Metformin</t>
        </is>
      </c>
      <c r="C91" s="35" t="n"/>
      <c r="D91" s="34" t="inlineStr">
        <is>
          <t>Liraglutide 1.2 mg SC OD</t>
        </is>
      </c>
      <c r="E91" s="34" t="inlineStr">
        <is>
          <t>Levothyroxine 50 mcg OD</t>
        </is>
      </c>
      <c r="F91" s="34" t="inlineStr">
        <is>
          <t>Propylthiouracil 50 mg TID</t>
        </is>
      </c>
      <c r="G91" s="34" t="inlineStr">
        <is>
          <t>Methimazole 10 mg OD</t>
        </is>
      </c>
      <c r="H91" s="34" t="n"/>
      <c r="I91" s="33" t="inlineStr">
        <is>
          <t>1</t>
        </is>
      </c>
      <c r="J91"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1" s="35" t="n"/>
      <c r="L91" s="34" t="inlineStr">
        <is>
          <t>Diabetes mellitus</t>
        </is>
      </c>
      <c r="M91" s="35" t="inlineStr">
        <is>
          <t>Clinic</t>
        </is>
      </c>
      <c r="N91" s="34" t="inlineStr">
        <is>
          <t>PLE-CC1 ปี 2566 Day 1 ข้อ 5</t>
        </is>
      </c>
      <c r="O91" s="35" t="inlineStr">
        <is>
          <t>ข้อสอบจริง</t>
        </is>
      </c>
      <c r="P91" s="35" t="inlineStr">
        <is>
          <t>ปี 2566</t>
        </is>
      </c>
      <c r="Q91" s="2" t="n"/>
    </row>
    <row r="92" ht="13.2" customHeight="1" s="49">
      <c r="A92" s="33" t="n">
        <v>90</v>
      </c>
      <c r="B92" s="34" t="inlineStr">
        <is>
          <t>Premixed insulin 70/30 ประกอบด้วยอะไรบ้าง. กับระยะเวลาการออกฤทธิ์ ตัวเลือก</t>
        </is>
      </c>
      <c r="C92" s="35" t="n"/>
      <c r="D92" s="34" t="inlineStr">
        <is>
          <t>Methimazole 10 mg OD</t>
        </is>
      </c>
      <c r="E92" s="34" t="inlineStr">
        <is>
          <t>Pioglitazone 15 mg OD</t>
        </is>
      </c>
      <c r="F92" s="34" t="inlineStr">
        <is>
          <t>Insulin glargine 10 units SC HS</t>
        </is>
      </c>
      <c r="G92" s="34" t="inlineStr">
        <is>
          <t>Insulin lispro 4 units SC before meals</t>
        </is>
      </c>
      <c r="H92" s="34" t="n"/>
      <c r="I92" s="33" t="inlineStr">
        <is>
          <t>1</t>
        </is>
      </c>
      <c r="J92"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2" s="35" t="n"/>
      <c r="L92" s="34" t="inlineStr">
        <is>
          <t>Diabetes mellitus</t>
        </is>
      </c>
      <c r="M92" s="35" t="inlineStr">
        <is>
          <t>Clinic</t>
        </is>
      </c>
      <c r="N92" s="34" t="inlineStr">
        <is>
          <t>PLE-CC1 ปี 2566 Day 2 ข้อ 5</t>
        </is>
      </c>
      <c r="O92" s="35" t="inlineStr">
        <is>
          <t>ข้อสอบจริง</t>
        </is>
      </c>
      <c r="P92" s="35" t="inlineStr">
        <is>
          <t>ปี 2566</t>
        </is>
      </c>
      <c r="Q92" s="2" t="n"/>
    </row>
    <row r="93" ht="13.2" customHeight="1" s="49">
      <c r="A93" s="33" t="n">
        <v>91</v>
      </c>
      <c r="B93" s="34" t="inlineStr">
        <is>
          <t>NPH 70% และRegular insulin 30% ชนิดออกฤทธิ์แบบปานกลางและเร็วตามลำดับ</t>
        </is>
      </c>
      <c r="C93" s="35" t="n"/>
      <c r="D93" s="34" t="inlineStr">
        <is>
          <t>Insulin lispro 4 units SC before meals</t>
        </is>
      </c>
      <c r="E93" s="34" t="inlineStr">
        <is>
          <t>NPH 30% และRegular insulin 70% ชนิดออกฤทธิ์ปานกลางและเร็วตามลำดับ</t>
        </is>
      </c>
      <c r="F93" s="34" t="inlineStr">
        <is>
          <t>Semaglutide 0.5 mg SC weekly</t>
        </is>
      </c>
      <c r="G93" s="34" t="inlineStr">
        <is>
          <t>Metformin 500 mg BID</t>
        </is>
      </c>
      <c r="H93" s="34" t="n"/>
      <c r="I93" s="33" t="inlineStr">
        <is>
          <t>1</t>
        </is>
      </c>
      <c r="J93"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(NPH 30% และRegular insulin 70% ชนิดออกฤทธิ์ปานกลางและเร็วตามลำดับ): การเลือก NPH 30% และRegular insulin 70% ชนิดออกฤทธิ์ปานกลางและเร็วตามลำดับ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3" s="35" t="n"/>
      <c r="L93" s="34" t="inlineStr">
        <is>
          <t>Diabetes mellitus</t>
        </is>
      </c>
      <c r="M93" s="35" t="inlineStr">
        <is>
          <t>Clinic</t>
        </is>
      </c>
      <c r="N93" s="34" t="inlineStr">
        <is>
          <t>PLE-CC1 ปี 2566 Day 2 ข้อ 1</t>
        </is>
      </c>
      <c r="O93" s="35" t="inlineStr">
        <is>
          <t>ข้อสอบจริง</t>
        </is>
      </c>
      <c r="P93" s="35" t="inlineStr">
        <is>
          <t>ปี 2566</t>
        </is>
      </c>
      <c r="Q93" s="2" t="n"/>
    </row>
    <row r="94" ht="13.2" customHeight="1" s="49">
      <c r="A94" s="33" t="n">
        <v>92</v>
      </c>
      <c r="B94" s="34"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35" t="n"/>
      <c r="D94" s="34" t="inlineStr">
        <is>
          <t>Metformin 500 mg BID</t>
        </is>
      </c>
      <c r="E94" s="34" t="inlineStr">
        <is>
          <t>Glipizide 5 mg OD</t>
        </is>
      </c>
      <c r="F94" s="34" t="inlineStr">
        <is>
          <t>Empagliflozin 10 mg OD</t>
        </is>
      </c>
      <c r="G94" s="34" t="inlineStr">
        <is>
          <t>Sitagliptin 100 mg OD</t>
        </is>
      </c>
      <c r="H94" s="34" t="n"/>
      <c r="I94" s="33" t="inlineStr">
        <is>
          <t>1</t>
        </is>
      </c>
      <c r="J94"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35" t="n"/>
      <c r="L94" s="34" t="inlineStr">
        <is>
          <t>Diabetes mellitus</t>
        </is>
      </c>
      <c r="M94" s="35" t="inlineStr">
        <is>
          <t>Clinic</t>
        </is>
      </c>
      <c r="N94" s="34" t="inlineStr">
        <is>
          <t>PLE-CC1 ปี 2566 Day 2 ข้อ 95</t>
        </is>
      </c>
      <c r="O94" s="35" t="inlineStr">
        <is>
          <t>ข้อสอบจริง</t>
        </is>
      </c>
      <c r="P94" s="35" t="inlineStr">
        <is>
          <t>ปี 2566</t>
        </is>
      </c>
      <c r="Q94" s="2" t="n"/>
    </row>
    <row r="95" ht="13.2" customHeight="1" s="49">
      <c r="A95" s="33" t="n">
        <v>93</v>
      </c>
      <c r="B95" s="34" t="inlineStr">
        <is>
          <t>นักวิจัยจะเปรียบเทียบยาโดยดูคุณภาพชีวิต ระหว;างใชยาเบาหวาน 3 ตัวเปรียบเทียบกับ insulin ขอใด เปMน Economic evaluation ในสถานการณçนี้</t>
        </is>
      </c>
      <c r="C95" s="35" t="n"/>
      <c r="D95" s="34" t="inlineStr">
        <is>
          <t>CUA</t>
        </is>
      </c>
      <c r="E95" s="34" t="inlineStr">
        <is>
          <t>CEA</t>
        </is>
      </c>
      <c r="F95" s="34" t="inlineStr">
        <is>
          <t>CMA</t>
        </is>
      </c>
      <c r="G95" s="34" t="inlineStr">
        <is>
          <t>CBA</t>
        </is>
      </c>
      <c r="H95" s="34" t="inlineStr">
        <is>
          <t>ผลลัพธ์ที่วัดไม่ได้อยู่ในรูปของตัวเงิน (Non-monetary outcome) จึงไม่สามารถทำ CBA ได้</t>
        </is>
      </c>
      <c r="I95" s="33" t="inlineStr">
        <is>
          <t>1</t>
        </is>
      </c>
      <c r="J95" s="34" t="inlineStr">
        <is>
          <t>✅ คำตอบที่ถูกต้อง: ข้อ ข. Cost-Utility Analysis (CUA)
💡 Background: การประเมินทางเศรษฐศาสตร์สาธารณสุข (Pharmacoeconomic evaluation) ใช้เปรียบเทียบต้นทุนและผลลัพธ์ทางสุขภาพของยาหรือเทคโนโลยีทางการแพทย์
🎯 ทำไมข้อนี้ถึงถูก: Cost-Utility Analysis (CUA) เป็นวิธีที่วัดผลลัพธ์ทางสุขภาพเป็นคุณประโยชน์ (Utility) หรือคุณภาพชีวิตที่ปรับด้วยระยะเวลา เช่น Quality-Adjusted Life Years (QALYs)
🔍 ข้ออื่นผิดเพราะอะไร:
- ข้อ ก. Cost-Effectiveness Analysis (CEA): วัดผลลัพธ์เป็นหน่วยธรรมชาติทางคลินิก (Natural units) เช่น mmHg ที่ลดลง หรือระดับน้ำตาลที่ลดลง
- ข้อ ค. Cost-Benefit Analysis (CBA): วัดทั้งต้นทุนและผลลัพธ์ออกมาเป็นหน่วยของตัวเงิน (Monetary units / บาท)
- ข้อ ง. Cost-Minimization Analysis (CMA): ใช้เปรียบเทียบเฉพาะต้นทุนเมื่อผลการรักษาของทั้งสองกลุ่มเท่าเทียมกันอย่างมีนัยสำคัญ
- ข้อ จ. Cost of Illness (COI): เป็นการประเมินมูลค่าความสูญเสียทางเศรษฐกิจจากโรค ไม่ได้เปรียบเทียบประสิทธิผลของยา
📖 Guideline อ้างอิง: คู่มือการประเมินเทคโนโลยีด้านสุขภาพสำหรับประเทศไทย พ.ศ. 2562
📌 จุดจำก่อนสอบ: CUA วัดผลเป็น QALYs / คุณภาพชีวิต, CEA วัดเป็น Natural clinical unit, CBA วัดเป็นตัวเงิน (Baht), CMA วัดเฉพาะต้นทุนเมื่อผลลัพธ์เท่ากัน</t>
        </is>
      </c>
      <c r="K95" s="35" t="n"/>
      <c r="L95" s="34" t="inlineStr">
        <is>
          <t>Diabetes mellitus</t>
        </is>
      </c>
      <c r="M95" s="35" t="inlineStr">
        <is>
          <t>Clinic</t>
        </is>
      </c>
      <c r="N95" s="34" t="inlineStr">
        <is>
          <t>PLE_CC1_2565_Day1_Key ข้อ 20</t>
        </is>
      </c>
      <c r="O95" s="35" t="inlineStr">
        <is>
          <t>ข้อสอบจริง</t>
        </is>
      </c>
      <c r="P95" s="35" t="inlineStr">
        <is>
          <t>ปี 2565</t>
        </is>
      </c>
      <c r="Q95" s="2" t="n"/>
    </row>
    <row r="96" ht="13.2" customHeight="1" s="49">
      <c r="A96" s="33" t="n">
        <v>94</v>
      </c>
      <c r="B96" s="34" t="inlineStr">
        <is>
          <t>ความหมายของ adjuvants คืออะไร …………………..………………………………..………………………………..………………………………..……………………………….. ………………………………..………………………………..………………………………..………………………………..…………………… กรณีศึกษา 14 LานเMมเNม https://mlsi.dmsc.moph.go.th/post-view/314 Adjuvant เ-นสารกOมหPงQเNมลงไปSวมUบ0ค2นเVอWวยกระXนระบบYZ[มUนของม\ษ^ใ`ตอบสนองaอ0ค2นเอนNเจน หญิงอายุ 66 ปh มีอาการซึมเศรา เบื่อ เปMนมา 1 เดือน มาขอคำปรึกษาที่รานยา</t>
        </is>
      </c>
      <c r="C96" s="35" t="n"/>
      <c r="D96" s="34" t="inlineStr">
        <is>
          <t>Propylthiouracil 50 mg TID</t>
        </is>
      </c>
      <c r="E96" s="34" t="inlineStr">
        <is>
          <t>Methimazole 10 mg OD</t>
        </is>
      </c>
      <c r="F96" s="34" t="inlineStr">
        <is>
          <t>Pioglitazone 15 mg OD</t>
        </is>
      </c>
      <c r="G96" s="34" t="inlineStr">
        <is>
          <t>Insulin glargine 10 units SC HS</t>
        </is>
      </c>
      <c r="H96" s="34" t="n"/>
      <c r="I96" s="33" t="inlineStr">
        <is>
          <t>1</t>
        </is>
      </c>
      <c r="J96"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6" s="35" t="n"/>
      <c r="L96" s="34" t="inlineStr">
        <is>
          <t>Diabetes mellitus</t>
        </is>
      </c>
      <c r="M96" s="35" t="inlineStr">
        <is>
          <t>Clinic</t>
        </is>
      </c>
      <c r="N96" s="34" t="inlineStr">
        <is>
          <t>PLE_CC1_2565_Day1_Key ข้อ 57</t>
        </is>
      </c>
      <c r="O96" s="35" t="inlineStr">
        <is>
          <t>ข้อสอบจริง</t>
        </is>
      </c>
      <c r="P96" s="35" t="inlineStr">
        <is>
          <t>ปี 2565</t>
        </is>
      </c>
      <c r="Q96" s="2" t="n"/>
    </row>
    <row r="97" ht="13.2" customHeight="1" s="49">
      <c r="A97" s="33" t="n">
        <v>95</v>
      </c>
      <c r="B97" s="34" t="inlineStr">
        <is>
          <t>ในการติดตามผูหญิงที่เปMนโรคเบาหวาน 200 คนและผูหญิงไม;เปMนโรคเบาหวาน 4000 คน หลังจากจบ การศึกษามีผูหญิงที่เปMนโรคเบาหวาน 60 คนเสียชีวิต และผูหญิงที่ไม;เปMนโรคเบาหวาน 600 คนเสียชีวิต โดย ในการศึกษามีการติดตาม ผูหญิงที่เปMนโรคเบาหวาน 2000 person-year และผูหญิงที่ไม;เปMนโรคเบาหวาน 40000 person-year ขอใดถูกตอง …………………..………………………………..………………………………..………………………………..……………………………….. ………………………………..………………………………..………………………………..………………………………..…………………… Hint: ลักษณะ choice -ในแต;ละมีผูหญิงที่เปMนโรคเบาหวานเสียชีวิตในทุก ๆ 1000 คน จำนวน x คน -ในแต;ละมีผูหญิงที่ไม;เปMนโรคเบาหวานเสียชีวิตในทุก ๆ 1000 คน จำนวน y คน หมายเหตุ: จำ x y ไม;ไดจา การ3กษา เ"นโรคเบาหวาน 2000 คน/5 &gt;&gt; เ+ย-.ต 600/2000 คน &gt;&gt; 300/1000 คน การ3กษา ไ1เ"นโรคเบาหวาน 4000 คน/5 &gt;&gt; เ+ย-.ต 600/4000 คน &gt;&gt; 150/1000 คน เ"นโรคเบาหวาน เ+ย-.ต 60/200 คน ไ1เ"นโรคเบาหวาน เ+ย-.ต 600/4000 คน PLE-CC1 Preparation 2565 เฉลยโดย MUPY53</t>
        </is>
      </c>
      <c r="C97" s="35" t="n"/>
      <c r="D97" s="34" t="inlineStr">
        <is>
          <t>Insulin glargine 10 units SC HS</t>
        </is>
      </c>
      <c r="E97" s="34" t="inlineStr">
        <is>
          <t>Cumulative incidence ratio = 60/200 ÷ 600/4000 = 2.0</t>
        </is>
      </c>
      <c r="F97" s="34" t="inlineStr">
        <is>
          <t>Incidence Rate Ratio (IRR) = 0.03/0.015 = 2.0 per person-year</t>
        </is>
      </c>
      <c r="G97" s="34" t="inlineStr">
        <is>
          <t>Attributable risk = 0.03 - 0.015 = 0.015 per person-year</t>
        </is>
      </c>
      <c r="H97" s="34" t="inlineStr">
        <is>
          <t>Prevalence ratio ไม่สามารถคำนวณได้จากข้อมูลที่ให้มา</t>
        </is>
      </c>
      <c r="I97" s="33" t="inlineStr">
        <is>
          <t>1</t>
        </is>
      </c>
      <c r="J97" s="34" t="inlineStr">
        <is>
          <t>✅ คำตอบที่ถูกต้อง: ข้อ ค. Prospective Cohort Study
💡 Background: การศึกษาระบาดวิทยาเชิงวิเคราะห์เพื่อหาความสัมพันธ์ระหว่างปัจจัยเสี่ยงกับการเกิดโรคหรือภาวะแทรกซ้อน
🎯 ทำไมข้อนี้ถึงถูก: การคัดเลือกกลุ่มประชากรที่เริ่มต้นตามลักษณะการได้รับปัจจัย (เช่น ผู้หญิงที่เป็นเบาหวาน) แล้วติดตามไปข้างหน้าตามเวลา (Follow-up) เพื่อดูอุบัติการณ์การเกิดเหตุการณ์ เป็นรูปแบบ Prospective Cohort study
🔍 ข้ออื่นผิดเพราะอะไร:
- ข้อ ก. Case-Control Study: เริ่มต้นจากคนที่เป็นโรค (Case) และไม่เป็นโรค (Control) แล้วสืบย้อนหลัง (Retrospective) เพื่อหาประวัติการสัมผัสปัจจัยเสี่ยง
- ข้อ ข. Cross-Sectional Study: สำรวจปัจจัยเสี่ยงและผลลัพธ์ไปพร้อมๆ กัน ณ จุดเวลาใดเวลาหนึ่ง วัดได้เฉพาะ Prevalence ไม่สามารถบอกทิศทางเวลาได้
- ข้อ ง. Randomized Controlled Trial (RCT): เป็นการวิจัยเชิงทดลองที่มีการสุ่มให้สิ่งแทรกแซง (Intervention) ไม่ใช่เพียงการติดตามตามธรรมชาติ
- ข้อ จ. Case Series: เป็นเพียงการรายงานกลุ่มผู้ป่วยที่มีลักษณะร่วมกันโดยไม่มีกลุ่มควบคุม
📖 Guideline อ้างอิง: หลักการระบาดวิทยาและชีวสถิติทางการแพทย์ (Principles of Epidemiology and Biostatistics)
📌 จุดจำก่อนสอบ: Cohort = ติดตามจาก Exposure ไปหา Outcome (หา Incidence, Relative Risk), Case-Control = เริ่มจาก Outcome ย้อนหา Exposure (หา Odds Ratio)</t>
        </is>
      </c>
      <c r="K97" s="35" t="n"/>
      <c r="L97" s="34" t="inlineStr">
        <is>
          <t>Diabetes mellitus</t>
        </is>
      </c>
      <c r="M97" s="35" t="inlineStr">
        <is>
          <t>Clinic</t>
        </is>
      </c>
      <c r="N97" s="34" t="inlineStr">
        <is>
          <t>PLE_CC1_2565_Day1_Key ข้อ 86</t>
        </is>
      </c>
      <c r="O97" s="35" t="inlineStr">
        <is>
          <t>ข้อสอบจริง</t>
        </is>
      </c>
      <c r="P97" s="35" t="inlineStr">
        <is>
          <t>ปี 2565</t>
        </is>
      </c>
      <c r="Q97" s="2" t="n"/>
    </row>
    <row r="98" ht="13.2" customHeight="1" s="49">
      <c r="A98" s="33" t="n">
        <v>96</v>
      </c>
      <c r="B98" s="34" t="inlineStr">
        <is>
          <t>Hypothyroidism/Hyperthyroidism</t>
        </is>
      </c>
      <c r="C98" s="35" t="n"/>
      <c r="D98" s="34" t="inlineStr">
        <is>
          <t>Semaglutide 0.5 mg SC weekly</t>
        </is>
      </c>
      <c r="E98" s="34" t="inlineStr">
        <is>
          <t>Metformin 500 mg BID</t>
        </is>
      </c>
      <c r="F98" s="34" t="inlineStr">
        <is>
          <t>Glipizide 5 mg OD</t>
        </is>
      </c>
      <c r="G98" s="34" t="inlineStr">
        <is>
          <t>Empagliflozin 10 mg OD</t>
        </is>
      </c>
      <c r="H98" s="34" t="n"/>
      <c r="I98" s="33" t="inlineStr">
        <is>
          <t>1</t>
        </is>
      </c>
      <c r="J98" s="34" t="inlineStr">
        <is>
          <t>✅ คำตอบที่ถูกต้อง: ข้อ ก. TSH ต่ำ และ Free T4 สูง (Overt Hyperthyroidism)
💡 Background: ต่อมไทรอยด์ทำงานภายใต้การควบคุมแบบ Negative feedback loop ของแกน Hypothalamic-Pituitary-Thyroid (HPT axis) โดย TRH กระตุ้น TSH และ TSH กระตุ้นการสร้างและหลั่ง T3/T4
🎯 ทำไมข้อนี้ถึงถูก: ในภาวะต่อมไทรอยด์ทำงานเกินปฐมภูมิ (Primary Hyperthyroidism) ระดับ Free T4/T3 ที่สูงขึ้นจะส่งสัญญาณยับยั้งต่อมใต้สมองส่วนหน้า ทำให้การหลั่ง TSH ลดลงอย่างมากจนตรวจพบค่าต่ำมาก (&lt; 0.1 mIU/L)
🔍 ข้ออื่นผิดเพราะอะไร:
- ข้อ ข. TSH สูง และ Free T4 ต่ำ: เป็นผลตรวจของ Primary Hypothyroidism (ภาวะไทรอยด์ทำงานต่ำปฐมภูมิ)
- ข้อ ค. TSH ปกติ และ Free T4 สูง: พบน้อย อาจเกิดจาก TSH-secreting pituitary adenoma หรือ Thyroid hormone resistance
- ข้อ ง. TSH สูง และ Free T4 สูง: เป็นความผิดปกติระดับทุติยภูมิ (Secondary hyperthyroidism)
- ข้อ จ. TSH ต่ำ และ Free T4 ต่ำ: เป็นผลตรวจของ Central/Secondary Hypothyroidism จากพยาธิสภาพที่ต่อมใต้สมอง
📖 Guideline อ้างอิง: แนวทางเวชปฏิบัติสำหรับโรคของต่อมไทรอยด์ พ.ศ. 2562 (สมาคมต่อมไร้ท่อแห่งประเทศไทย)
📌 จุดจำก่อนสอบ: Primary Hyperthyroid = TSH ต่ำ + FT4 สูง, Primary Hypothyroid = TSH สูง + FT4 ต่ำ</t>
        </is>
      </c>
      <c r="K98" s="35" t="n"/>
      <c r="L98" s="34" t="inlineStr">
        <is>
          <t>Hypo/Hyperthyroidism</t>
        </is>
      </c>
      <c r="M98" s="35" t="inlineStr">
        <is>
          <t>Clinic</t>
        </is>
      </c>
      <c r="N98" s="34" t="inlineStr">
        <is>
          <t>PLE_CC1_2565_Day1_Key ข้อ 6</t>
        </is>
      </c>
      <c r="O98" s="35" t="inlineStr">
        <is>
          <t>ข้อสอบจริง</t>
        </is>
      </c>
      <c r="P98" s="35" t="inlineStr">
        <is>
          <t>ปี 2565</t>
        </is>
      </c>
      <c r="Q98" s="2" t="n"/>
    </row>
    <row r="99" ht="13.2" customHeight="1" s="49">
      <c r="A99" s="33" t="n">
        <v>97</v>
      </c>
      <c r="B99" s="34" t="inlineStr">
        <is>
          <t>ผู$ป&amp;วยรายนี้ควรได$ยาอะไร กรVWXวยไDเZน โรคเบาหวานและโรคไตเ[อ\ง</t>
        </is>
      </c>
      <c r="C99" s="35" t="n"/>
      <c r="D99" s="34" t="inlineStr">
        <is>
          <t>Simvastatin 40 mg</t>
        </is>
      </c>
      <c r="E99" s="34" t="inlineStr">
        <is>
          <t>Simvastatin 80 mg</t>
        </is>
      </c>
      <c r="F99" s="34" t="inlineStr">
        <is>
          <t>Rosuvastatin 20 mg</t>
        </is>
      </c>
      <c r="G99" s="34" t="inlineStr">
        <is>
          <t>Atorvastatin 40 mg</t>
        </is>
      </c>
      <c r="H99" s="34" t="inlineStr">
        <is>
          <t>Pravastatin 40 mg</t>
        </is>
      </c>
      <c r="I99" s="33" t="inlineStr">
        <is>
          <t>1</t>
        </is>
      </c>
      <c r="J99" s="34" t="inlineStr">
        <is>
          <t>✅ คำตอบที่ถูกต้อง: ข้อ ก. Simvastatin 40 mg
💡 Background:
ผู้ป่วยเบาหวานที่มีโรคไตเรื้อรัง (CKD) มีความเสี่ยง Cardiovascular สูง จำเป็นต้องได้รับ Statin therapy การเลือก Statin ในผู้ป่วย CKD ต้องพิจารณาการขับออกทางไต เนื่องจาก Statin บางชนิดสะสมในผู้ป่วย CKD
🎯 ทำไมข้อนี้ถึงถูก:
Simvastatin 40 mg เป็นตัวเลือกที่เหมาะสมในผู้ป่วย CKD เพราะกำจัดผ่านตับเป็นหลัก (ไม่ต้องปรับขนาดตาม eGFR) Rosuvastatin ควรระวังใน eGFR &lt;30 mL/min (ขับออกทางไต 10%); Atorvastatin กำจัดทางตับเช่นกัน แต่ขนาด Simvastatin 40 mg ถือเป็นขนาดปานกลาง (Moderate-intensity) ที่เหมาะสม
🔍 ข้ออื่นผิดเพราะอะไร:
• ข้อ ข. (Simvastatin 80 mg): Simvastatin 80 mg เพิ่มความเสี่ยง Myopathy/Rhabdomyolysis สูงมาก; FDA ไม่แนะนำการเริ่มต้นที่ 80 mg ในผู้ป่วยรายใหม่
• ข้อ ค. (Rosuvastatin 20 mg): Rosuvastatin ขับออกทางไตประมาณ 10% หากใช้ขนาดสูงใน eGFR ต่ำ อาจสะสมได้
• ข้อ ง. (Atorvastatin 40 mg): Atorvastatin ก็ใช้ได้ใน CKD แต่ไม่ใช่ตัวเลือกแรกเมื่อเทียบกับ Simvastatin ในบริบทโจทย์นี้
📖 Guideline อ้างอิง:
Kidney Disease: Improving Global Outcomes (KDIGO) Lipid Management in CKD 2013
📌 จุดจำก่อนสอบ:
Simvastatin 80 mg — ห้ามเริ่มใหม่ (FDA warning); Rosuvastatin — ระวังใน eGFR &lt;30</t>
        </is>
      </c>
      <c r="K99" s="35" t="n"/>
      <c r="L99" s="34" t="inlineStr">
        <is>
          <t>Diabetes mellitus</t>
        </is>
      </c>
      <c r="M99" s="35" t="inlineStr">
        <is>
          <t>Clinic</t>
        </is>
      </c>
      <c r="N99" s="34" t="inlineStr">
        <is>
          <t>PLE_CC1_2565_Day2_Key ข้อ 2</t>
        </is>
      </c>
      <c r="O99" s="35" t="inlineStr">
        <is>
          <t>ข้อสอบจริง</t>
        </is>
      </c>
      <c r="P99" s="35" t="inlineStr">
        <is>
          <t>ปี 2565</t>
        </is>
      </c>
      <c r="Q99" s="2" t="n"/>
    </row>
    <row r="100" ht="13.2" customHeight="1" s="49">
      <c r="A100" s="33" t="n">
        <v>98</v>
      </c>
      <c r="B100" s="34" t="inlineStr">
        <is>
          <t>หากแพทย6ต$องการเพิ่ม insulin อีกตัว ควรให$อินซูลินแบบใด 2,000 mg/day (High dose)</t>
        </is>
      </c>
      <c r="C100" s="35" t="n"/>
      <c r="D100" s="34" t="inlineStr">
        <is>
          <t>Lispro</t>
        </is>
      </c>
      <c r="E100" s="34" t="inlineStr">
        <is>
          <t>Glulisine</t>
        </is>
      </c>
      <c r="F100" s="34" t="inlineStr">
        <is>
          <t>Glargine</t>
        </is>
      </c>
      <c r="G100" s="34" t="inlineStr">
        <is>
          <t>Aspart</t>
        </is>
      </c>
      <c r="H100" s="34" t="inlineStr">
        <is>
          <t>Regular insulin</t>
        </is>
      </c>
      <c r="I100" s="33" t="inlineStr">
        <is>
          <t>1</t>
        </is>
      </c>
      <c r="J100" s="34"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35" t="n"/>
      <c r="L100" s="34" t="inlineStr">
        <is>
          <t>Diabetes mellitus</t>
        </is>
      </c>
      <c r="M100" s="35" t="inlineStr">
        <is>
          <t>Clinic</t>
        </is>
      </c>
      <c r="N100" s="34" t="inlineStr">
        <is>
          <t>PLE_CC1_2565_Day2_Key ข้อ 17</t>
        </is>
      </c>
      <c r="O100" s="35" t="inlineStr">
        <is>
          <t>ข้อสอบจริง</t>
        </is>
      </c>
      <c r="P100" s="35" t="inlineStr">
        <is>
          <t>ปี 2565</t>
        </is>
      </c>
      <c r="Q100" s="2" t="n"/>
    </row>
    <row r="101" ht="13.2" customHeight="1" s="49">
      <c r="A101" s="33" t="n">
        <v>99</v>
      </c>
      <c r="B101" s="34" t="inlineStr">
        <is>
          <t>ผู้ป่วย KDIGO stage 3a ได้ metformin 850 mg/day, Glipizide และยาอื่น ๆ มากมาย ยังคุมระดับน้ำตาลไม่ได้ ควรจัดการยังไงจึงจะเหมาะสมที่สุด</t>
        </is>
      </c>
      <c r="C101" s="35" t="n"/>
      <c r="D101" s="34" t="inlineStr">
        <is>
          <t>เพิ่ม Glipizide</t>
        </is>
      </c>
      <c r="E101" s="34" t="inlineStr">
        <is>
          <t>หยุด Metformin</t>
        </is>
      </c>
      <c r="F101" s="34" t="inlineStr">
        <is>
          <t>Insulin lispro 4 units SC before meals</t>
        </is>
      </c>
      <c r="G101" s="34" t="inlineStr">
        <is>
          <t>Dapagliflozin 10 mg OD</t>
        </is>
      </c>
      <c r="H101" s="34" t="n"/>
      <c r="I101" s="33" t="inlineStr">
        <is>
          <t>1</t>
        </is>
      </c>
      <c r="J101" s="34" t="inlineStr">
        <is>
          <t>✅ คำตอบที่ถูกต้อง: ข้อ ก. เพิ่ม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ดังนั้นจากช้อยส์ที่มีเลยเลือกตอบเป็น a. https://diabetesjournals.org/clinical/article/40/1/10/139035/Standards-of-Medical-Care-in-Diabetes-2022 ..............................................................................................................................................................................................................
🔍 ข้ออื่นผิดเพราะอะไร:
• ข้อ ข. (หยุด Metformin): ยา หยุด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 ตัวเลือกนี้ไม่ใช่คำตอบเนื่องจากไม่มีข้อมูลยาหรือวิธีการรักษาให้ประเมิน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35" t="n"/>
      <c r="L101" s="34" t="inlineStr">
        <is>
          <t>Diabetes mellitus</t>
        </is>
      </c>
      <c r="M101" s="35" t="inlineStr">
        <is>
          <t>Clinic</t>
        </is>
      </c>
      <c r="N101" s="34" t="inlineStr">
        <is>
          <t>PLE_CC1_2564_All_Key ข้อ 112</t>
        </is>
      </c>
      <c r="O101" s="35" t="inlineStr">
        <is>
          <t>ข้อสอบจริง</t>
        </is>
      </c>
      <c r="P101" s="35" t="inlineStr">
        <is>
          <t>ปี 2564</t>
        </is>
      </c>
      <c r="Q101" s="2" t="n"/>
    </row>
    <row r="102" ht="13.2" customHeight="1" s="49">
      <c r="A102" s="33" t="n">
        <v>100</v>
      </c>
      <c r="B102" s="34"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35" t="n"/>
      <c r="D102" s="34" t="inlineStr">
        <is>
          <t>Trigger tool</t>
        </is>
      </c>
      <c r="E102" s="34" t="inlineStr">
        <is>
          <t>Medication reconciliation</t>
        </is>
      </c>
      <c r="F102" s="34" t="inlineStr">
        <is>
          <t>DUE</t>
        </is>
      </c>
      <c r="G102" s="34" t="inlineStr">
        <is>
          <t>ADR management</t>
        </is>
      </c>
      <c r="H102" s="34" t="inlineStr">
        <is>
          <t>Risk management</t>
        </is>
      </c>
      <c r="I102" s="33" t="n">
        <v>2</v>
      </c>
      <c r="J102" s="34"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102" s="35" t="n"/>
      <c r="L102" s="34" t="inlineStr">
        <is>
          <t>Diabetes mellitus</t>
        </is>
      </c>
      <c r="M102" s="35" t="inlineStr">
        <is>
          <t>Clinic</t>
        </is>
      </c>
      <c r="N102" s="34" t="inlineStr">
        <is>
          <t>ข้อ 66 (PLE_CC1_2562_Key.md)</t>
        </is>
      </c>
      <c r="O102" s="35" t="inlineStr">
        <is>
          <t>ข้อสอบจริง</t>
        </is>
      </c>
      <c r="P102" s="35" t="inlineStr">
        <is>
          <t>ปี 2562</t>
        </is>
      </c>
    </row>
    <row r="103" ht="13.2" customHeight="1" s="49">
      <c r="A103" s="33" t="n">
        <v>101</v>
      </c>
      <c r="B103" s="34" t="inlineStr">
        <is>
          <t>ข้อใดคือข้อห้ามใช้ของยา hydroxychloroquine DMARDS EnesLe, vanisesfas X Isimavied donor le -OGulasise G</t>
        </is>
      </c>
      <c r="C103" s="35" t="n"/>
      <c r="D103" s="34" t="inlineStr">
        <is>
          <t>Retinopathy</t>
        </is>
      </c>
      <c r="E103" s="34" t="inlineStr">
        <is>
          <t>Diabetes mellitus</t>
        </is>
      </c>
      <c r="F103" s="34" t="inlineStr">
        <is>
          <t>Malaria</t>
        </is>
      </c>
      <c r="G103" s="34" t="inlineStr">
        <is>
          <t>Rheumatoid arthritis</t>
        </is>
      </c>
      <c r="H103" s="34" t="inlineStr">
        <is>
          <t>Asthma</t>
        </is>
      </c>
      <c r="I103" s="33" t="inlineStr">
        <is>
          <t>1</t>
        </is>
      </c>
      <c r="J103" s="34"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35" t="n"/>
      <c r="L103" s="34" t="inlineStr">
        <is>
          <t>Diabetes mellitus</t>
        </is>
      </c>
      <c r="M103" s="35" t="inlineStr">
        <is>
          <t>Clinic</t>
        </is>
      </c>
      <c r="N103" s="34" t="inlineStr">
        <is>
          <t>ข้อ 112 (PLE_CC1_2562_Key.md)</t>
        </is>
      </c>
      <c r="O103" s="35" t="inlineStr">
        <is>
          <t>ข้อสอบจริง</t>
        </is>
      </c>
      <c r="P103" s="35" t="inlineStr">
        <is>
          <t>ปี 2562</t>
        </is>
      </c>
    </row>
    <row r="104" ht="13.2" customHeight="1" s="49">
      <c r="A104" s="33" t="n">
        <v>102</v>
      </c>
      <c r="B104" s="34" t="inlineStr">
        <is>
          <t>Insulin glargine สามารถให้ในตอนเช้าได้หรือไม่</t>
        </is>
      </c>
      <c r="C104" s="35" t="n"/>
      <c r="D104" s="34" t="inlineStr">
        <is>
          <t>ไม่ได้ เพราะจะท้าให้เกิดภาวะ hypoglycemia ขึ น</t>
        </is>
      </c>
      <c r="E104" s="34" t="inlineStr">
        <is>
          <t>ได้ เพราะออกฤทธิ์ 24 ชั่วโมง</t>
        </is>
      </c>
      <c r="F104" s="34" t="inlineStr">
        <is>
          <t>ได้ เพราะลด HbA1C ได้ดีกว่ายาตัวอื่น ๆ</t>
        </is>
      </c>
      <c r="G104" s="34" t="inlineStr">
        <is>
          <t>ไม่ได้ เพราะลดการสร้างกลูโคสจากตับ</t>
        </is>
      </c>
      <c r="H104" s="34" t="inlineStr">
        <is>
          <t>ไม่ได้ เพราะอาจจะเกิดอันตรกิริยากับ metformin และ glibenclamide ที่รับประทานในตอนเช้าได้</t>
        </is>
      </c>
      <c r="I104" s="33" t="inlineStr">
        <is>
          <t>1</t>
        </is>
      </c>
      <c r="J104" s="34"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35" t="n"/>
      <c r="L104" s="34" t="inlineStr">
        <is>
          <t>Diabetes mellitus</t>
        </is>
      </c>
      <c r="M104" s="35" t="inlineStr">
        <is>
          <t>Clinic</t>
        </is>
      </c>
      <c r="N104" s="34" t="inlineStr">
        <is>
          <t>ข้อ 18 (PLE_CC1_2559.md)</t>
        </is>
      </c>
      <c r="O104" s="35" t="inlineStr">
        <is>
          <t>ข้อสอบจริง</t>
        </is>
      </c>
      <c r="P104" s="35" t="inlineStr">
        <is>
          <t>ปี 2559</t>
        </is>
      </c>
    </row>
    <row r="105" ht="13.2" customHeight="1" s="49">
      <c r="A105" s="33" t="n">
        <v>103</v>
      </c>
      <c r="B105" s="34" t="inlineStr">
        <is>
          <t>ข้อใดคือ preservative ของ Insulin glargine</t>
        </is>
      </c>
      <c r="C105" s="35" t="n"/>
      <c r="D105" s="34" t="inlineStr">
        <is>
          <t>Meta-cresol</t>
        </is>
      </c>
      <c r="E105" s="34" t="inlineStr">
        <is>
          <t>Phenol</t>
        </is>
      </c>
      <c r="F105" s="34" t="inlineStr">
        <is>
          <t>Chlorobutanol</t>
        </is>
      </c>
      <c r="G105" s="34" t="inlineStr">
        <is>
          <t>ก และ ข ถูก</t>
        </is>
      </c>
      <c r="H105" s="34" t="inlineStr">
        <is>
          <t>ก และ ค ถูก</t>
        </is>
      </c>
      <c r="I105" s="33" t="inlineStr">
        <is>
          <t>1</t>
        </is>
      </c>
      <c r="J105" s="34"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35" t="n"/>
      <c r="L105" s="34" t="inlineStr">
        <is>
          <t>Diabetes mellitus</t>
        </is>
      </c>
      <c r="M105" s="35" t="inlineStr">
        <is>
          <t>Clinic</t>
        </is>
      </c>
      <c r="N105" s="34" t="inlineStr">
        <is>
          <t>ข้อ 23 (PLE_CC1_2559.md)</t>
        </is>
      </c>
      <c r="O105" s="35" t="inlineStr">
        <is>
          <t>ข้อสอบจริง</t>
        </is>
      </c>
      <c r="P105" s="35" t="inlineStr">
        <is>
          <t>ปี 2559</t>
        </is>
      </c>
    </row>
    <row r="106" ht="13.2" customHeight="1" s="49">
      <c r="A106" s="33" t="n">
        <v>104</v>
      </c>
      <c r="B106" s="34" t="inlineStr">
        <is>
          <t>Insulin glargine ผลิตมาจากอะไร</t>
        </is>
      </c>
      <c r="C106" s="35" t="n"/>
      <c r="D106" s="34" t="inlineStr">
        <is>
          <t>ตับอ่อนของวัว</t>
        </is>
      </c>
      <c r="E106" s="34" t="inlineStr">
        <is>
          <t>ตับอ่อนของหมู</t>
        </is>
      </c>
      <c r="F106" s="34" t="inlineStr">
        <is>
          <t>ตับอ่อนของคน</t>
        </is>
      </c>
      <c r="G106" s="34" t="inlineStr">
        <is>
          <t>Recombinant DNA</t>
        </is>
      </c>
      <c r="H106" s="34" t="inlineStr">
        <is>
          <t>Recombinant DNA E.coli เป็น complex partial seizure</t>
        </is>
      </c>
      <c r="I106" s="33" t="inlineStr">
        <is>
          <t>1</t>
        </is>
      </c>
      <c r="J106" s="34"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35" t="n"/>
      <c r="L106" s="34" t="inlineStr">
        <is>
          <t>Diabetes mellitus</t>
        </is>
      </c>
      <c r="M106" s="35" t="inlineStr">
        <is>
          <t>Clinic</t>
        </is>
      </c>
      <c r="N106" s="34" t="inlineStr">
        <is>
          <t>ข้อ 25 (PLE_CC1_2559.md)</t>
        </is>
      </c>
      <c r="O106" s="35" t="inlineStr">
        <is>
          <t>ข้อสอบจริง</t>
        </is>
      </c>
      <c r="P106" s="35" t="inlineStr">
        <is>
          <t>ปี 2559</t>
        </is>
      </c>
    </row>
    <row r="107" ht="13.2" customHeight="1" s="49">
      <c r="A107" s="33" t="n">
        <v>105</v>
      </c>
      <c r="B107" s="34" t="inlineStr">
        <is>
          <t>ผู้ป่วยหญิงน้ำหนัก 85 kg สูง 160 cm FBS 165 mg/dl, HbA1C 8.0 Scr 1 ควรได้รับการรักษาอย่างไร</t>
        </is>
      </c>
      <c r="C107" s="35" t="n"/>
      <c r="D107" s="34" t="inlineStr">
        <is>
          <t>Insulin</t>
        </is>
      </c>
      <c r="E107" s="34" t="inlineStr">
        <is>
          <t>Metformin</t>
        </is>
      </c>
      <c r="F107" s="34" t="inlineStr">
        <is>
          <t>Pioglitazone</t>
        </is>
      </c>
      <c r="G107" s="34" t="inlineStr">
        <is>
          <t>Glibenclamide</t>
        </is>
      </c>
      <c r="H107" s="34" t="inlineStr">
        <is>
          <t>Acarbose</t>
        </is>
      </c>
      <c r="I107" s="33" t="inlineStr">
        <is>
          <t>1</t>
        </is>
      </c>
      <c r="J107" s="34"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35" t="n"/>
      <c r="L107" s="34" t="inlineStr">
        <is>
          <t>Diabetes mellitus</t>
        </is>
      </c>
      <c r="M107" s="35" t="inlineStr">
        <is>
          <t>Clinic</t>
        </is>
      </c>
      <c r="N107" s="34" t="inlineStr">
        <is>
          <t>ข้อ 70 (PLE_CC1_2558_Key.md)</t>
        </is>
      </c>
      <c r="O107" s="35" t="inlineStr">
        <is>
          <t>ข้อสอบจริง</t>
        </is>
      </c>
      <c r="P107" s="35" t="inlineStr">
        <is>
          <t>ปี 2558</t>
        </is>
      </c>
    </row>
    <row r="108" ht="13.2" customHeight="1" s="49">
      <c r="A108" s="33" t="n">
        <v>106</v>
      </c>
      <c r="B108" s="34" t="inlineStr">
        <is>
          <t>น้ำที่ใช้ในการผลิต insulin คือ</t>
        </is>
      </c>
      <c r="C108" s="35" t="n"/>
      <c r="D108" s="34" t="inlineStr">
        <is>
          <t>Deionized water</t>
        </is>
      </c>
      <c r="E108" s="34" t="inlineStr">
        <is>
          <t>Purified water</t>
        </is>
      </c>
      <c r="F108" s="34" t="inlineStr">
        <is>
          <t>Distilled water</t>
        </is>
      </c>
      <c r="G108" s="34" t="inlineStr">
        <is>
          <t>Water for injection</t>
        </is>
      </c>
      <c r="H108" s="34" t="inlineStr">
        <is>
          <t>Sterile water for injection</t>
        </is>
      </c>
      <c r="I108" s="33" t="inlineStr">
        <is>
          <t>1</t>
        </is>
      </c>
      <c r="J108" s="34"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35" t="n"/>
      <c r="L108" s="34" t="inlineStr">
        <is>
          <t>Diabetes mellitus</t>
        </is>
      </c>
      <c r="M108" s="35" t="inlineStr">
        <is>
          <t>Clinic</t>
        </is>
      </c>
      <c r="N108" s="34" t="inlineStr">
        <is>
          <t>ข้อ 75 (PLE_CC1_2558_Key.md)</t>
        </is>
      </c>
      <c r="O108" s="35" t="inlineStr">
        <is>
          <t>ข้อสอบจริง</t>
        </is>
      </c>
      <c r="P108" s="35" t="inlineStr">
        <is>
          <t>ปี 2558</t>
        </is>
      </c>
    </row>
    <row r="109" ht="13.2" customHeight="1" s="49">
      <c r="A109" s="33" t="n">
        <v>107</v>
      </c>
      <c r="B109" s="34" t="inlineStr">
        <is>
          <t>ยาเบาหวานที่ได้รับออกฤทธิ์อย่างไร</t>
        </is>
      </c>
      <c r="C109" s="35" t="n"/>
      <c r="D109" s="34" t="inlineStr">
        <is>
          <t>ช่วยลด insulin resistance</t>
        </is>
      </c>
      <c r="E109" s="34" t="inlineStr">
        <is>
          <t>กระตุ้นการทำงานของ receptor</t>
        </is>
      </c>
      <c r="F109" s="34" t="inlineStr">
        <is>
          <t>ยับยั้ง DPP-IV</t>
        </is>
      </c>
      <c r="G109" s="34" t="inlineStr">
        <is>
          <t>Pioglitazone 15 mg OD</t>
        </is>
      </c>
      <c r="H109" s="34" t="inlineStr">
        <is>
          <t>Insulin glargine 10 units SC HS</t>
        </is>
      </c>
      <c r="I109" s="33" t="inlineStr">
        <is>
          <t>1</t>
        </is>
      </c>
      <c r="J109" s="34"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35" t="n"/>
      <c r="L109" s="34" t="inlineStr">
        <is>
          <t>Diabetes mellitus</t>
        </is>
      </c>
      <c r="M109" s="35" t="inlineStr">
        <is>
          <t>Clinic</t>
        </is>
      </c>
      <c r="N109" s="34" t="inlineStr">
        <is>
          <t>ข้อ 83 (PLE_CC1_2558_Key.md)</t>
        </is>
      </c>
      <c r="O109" s="35" t="inlineStr">
        <is>
          <t>ข้อสอบจริง</t>
        </is>
      </c>
      <c r="P109" s="35" t="inlineStr">
        <is>
          <t>ปี 2558</t>
        </is>
      </c>
    </row>
    <row r="110" ht="13.2" customHeight="1" s="49">
      <c r="A110" s="33" t="n">
        <v>108</v>
      </c>
      <c r="B110" s="34" t="inlineStr">
        <is>
          <t>Insulin ในประเทศไทย ใช้กระบวนการไรผลิต</t>
        </is>
      </c>
      <c r="C110" s="35" t="n"/>
      <c r="D110" s="34" t="inlineStr">
        <is>
          <t>สกัดจากตับอ่อนหมู</t>
        </is>
      </c>
      <c r="E110" s="34" t="inlineStr">
        <is>
          <t>จากการเพาะเลี้ยงเซลล์ตับอ่อนคน</t>
        </is>
      </c>
      <c r="F110" s="34" t="inlineStr">
        <is>
          <t>recombinant technology</t>
        </is>
      </c>
      <c r="G110" s="34" t="inlineStr">
        <is>
          <t>ก และ ข</t>
        </is>
      </c>
      <c r="H110" s="34" t="inlineStr">
        <is>
          <t>ก และ ค</t>
        </is>
      </c>
      <c r="I110" s="33" t="inlineStr">
        <is>
          <t>1</t>
        </is>
      </c>
      <c r="J110" s="34"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35" t="n"/>
      <c r="L110" s="34" t="inlineStr">
        <is>
          <t>Diabetes mellitus</t>
        </is>
      </c>
      <c r="M110" s="35" t="inlineStr">
        <is>
          <t>Clinic</t>
        </is>
      </c>
      <c r="N110" s="34" t="inlineStr">
        <is>
          <t>ข้อ 84 (PLE_CC1_2558_Key.md)</t>
        </is>
      </c>
      <c r="O110" s="35" t="inlineStr">
        <is>
          <t>ข้อสอบจริง</t>
        </is>
      </c>
      <c r="P110" s="35" t="inlineStr">
        <is>
          <t>ปี 2558</t>
        </is>
      </c>
    </row>
    <row r="111" ht="13.2" customHeight="1" s="49">
      <c r="A111" s="33" t="n">
        <v>109</v>
      </c>
      <c r="B111" s="34" t="inlineStr">
        <is>
          <t>ข้อใดถูกต้องเกี่ยวกับ insulin</t>
        </is>
      </c>
      <c r="C111" s="35" t="n"/>
      <c r="D111" s="34" t="inlineStr">
        <is>
          <t>ออกฤทธิ์คล้าย GLP-1 analogue</t>
        </is>
      </c>
      <c r="E111" s="34" t="inlineStr">
        <is>
          <t>เพิ่ม insulin receptor</t>
        </is>
      </c>
      <c r="F111" s="34" t="inlineStr">
        <is>
          <t>ใช้สำลีชุบ alcohol เช็ดที่ปลายเข็มก่อนฉีด</t>
        </is>
      </c>
      <c r="G111" s="34" t="inlineStr">
        <is>
          <t>ควรฉีดซ้ำที่เดิม เพื่อให้ยาออกฤทธิ์ได้เท่าเดิม</t>
        </is>
      </c>
      <c r="H111" s="34" t="inlineStr">
        <is>
          <t>หลังจากเปิดใช้แล้วเก็บได้นาน 2 เดือน</t>
        </is>
      </c>
      <c r="I111" s="33" t="inlineStr">
        <is>
          <t>1</t>
        </is>
      </c>
      <c r="J111" s="34"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35" t="n"/>
      <c r="L111" s="34" t="inlineStr">
        <is>
          <t>Diabetes mellitus</t>
        </is>
      </c>
      <c r="M111" s="35" t="inlineStr">
        <is>
          <t>Clinic</t>
        </is>
      </c>
      <c r="N111" s="34" t="inlineStr">
        <is>
          <t>ข้อ 85 (PLE_CC1_2558_Key.md)</t>
        </is>
      </c>
      <c r="O111" s="35" t="inlineStr">
        <is>
          <t>ข้อสอบจริง</t>
        </is>
      </c>
      <c r="P111" s="35" t="inlineStr">
        <is>
          <t>ปี 2558</t>
        </is>
      </c>
    </row>
    <row r="112" ht="13.2" customHeight="1" s="49">
      <c r="A112" s="33" t="n">
        <v>110</v>
      </c>
      <c r="B112" s="34" t="inlineStr">
        <is>
          <t>ข้อใดไม่ใช่อาการของผู้ป่วยเบาหวาน</t>
        </is>
      </c>
      <c r="C112" s="35" t="n"/>
      <c r="D112" s="34" t="inlineStr">
        <is>
          <t>หิวบ่อย/กินเยอะ</t>
        </is>
      </c>
      <c r="E112" s="34" t="inlineStr">
        <is>
          <t>ปัสสาวะบ่อย</t>
        </is>
      </c>
      <c r="F112" s="34" t="inlineStr">
        <is>
          <t>อาการร้อนวูบวาบ</t>
        </is>
      </c>
      <c r="G112" s="34" t="inlineStr">
        <is>
          <t>ดื่มน้ำบ่อย/กระหายน้ำบ่อย</t>
        </is>
      </c>
      <c r="H112" s="34" t="inlineStr">
        <is>
          <t>น้ำหนักลด</t>
        </is>
      </c>
      <c r="I112" s="33" t="inlineStr">
        <is>
          <t>1</t>
        </is>
      </c>
      <c r="J112" s="34"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35" t="n"/>
      <c r="L112" s="34" t="inlineStr">
        <is>
          <t>Diabetes mellitus</t>
        </is>
      </c>
      <c r="M112" s="35" t="inlineStr">
        <is>
          <t>Clinic</t>
        </is>
      </c>
      <c r="N112" s="34" t="inlineStr">
        <is>
          <t>ข้อ 74 (Pharmtutor_2024_Set1.md)</t>
        </is>
      </c>
      <c r="O112" s="35" t="inlineStr">
        <is>
          <t>Mock</t>
        </is>
      </c>
      <c r="P112" s="35" t="inlineStr">
        <is>
          <t>Mock Pharmtutor 2024</t>
        </is>
      </c>
    </row>
    <row r="113" ht="13.2" customHeight="1" s="49">
      <c r="A113" s="33" t="n">
        <v>111</v>
      </c>
      <c r="B113" s="34" t="inlineStr">
        <is>
          <t>ข้อใดคือเป้าหมายของการรักษาผู้ป่วยเบาหวาน</t>
        </is>
      </c>
      <c r="C113" s="35" t="n"/>
      <c r="D113" s="34" t="inlineStr">
        <is>
          <t>HbA1C &lt; 6.5%</t>
        </is>
      </c>
      <c r="E113" s="34" t="inlineStr">
        <is>
          <t>HbA1C &lt; 7%</t>
        </is>
      </c>
      <c r="F113" s="34" t="inlineStr">
        <is>
          <t>HbA1C &lt; 7.5%</t>
        </is>
      </c>
      <c r="G113" s="34" t="inlineStr">
        <is>
          <t>Preprandial glucose &lt; 80 mg/dL</t>
        </is>
      </c>
      <c r="H113" s="34" t="inlineStr">
        <is>
          <t>Peak postprandial glucose &lt; 200 mg/dL</t>
        </is>
      </c>
      <c r="I113" s="33" t="inlineStr">
        <is>
          <t>1</t>
        </is>
      </c>
      <c r="J113" s="34"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35" t="n"/>
      <c r="L113" s="34" t="inlineStr">
        <is>
          <t>Diabetes mellitus</t>
        </is>
      </c>
      <c r="M113" s="35" t="inlineStr">
        <is>
          <t>Clinic</t>
        </is>
      </c>
      <c r="N113" s="34" t="inlineStr">
        <is>
          <t>ข้อ 75 (Pharmtutor_2024_Set1.md)</t>
        </is>
      </c>
      <c r="O113" s="35" t="inlineStr">
        <is>
          <t>Mock</t>
        </is>
      </c>
      <c r="P113" s="35" t="inlineStr">
        <is>
          <t>Mock Pharmtutor 2024</t>
        </is>
      </c>
    </row>
    <row r="114" ht="13.2" customHeight="1" s="49">
      <c r="A114" s="33" t="n">
        <v>112</v>
      </c>
      <c r="B114" s="34" t="inlineStr">
        <is>
          <t>การดัดแปลง insulin ในข้อใดทำให้ออกฤทธิ์ได้เร็วขึ้น</t>
        </is>
      </c>
      <c r="C114" s="35" t="n"/>
      <c r="D114" s="34" t="inlineStr">
        <is>
          <t>เติม protamine</t>
        </is>
      </c>
      <c r="E114" s="34" t="inlineStr">
        <is>
          <t>เติม arginine 2 หมู่</t>
        </is>
      </c>
      <c r="F114" s="34" t="inlineStr">
        <is>
          <t>เติม zinc chloride</t>
        </is>
      </c>
      <c r="G114" s="34" t="inlineStr">
        <is>
          <t>เติม myristic acid</t>
        </is>
      </c>
      <c r="H114" s="34" t="inlineStr">
        <is>
          <t>สลับ amino acid ระหว่าง Lysine และ Proline</t>
        </is>
      </c>
      <c r="I114" s="33" t="inlineStr">
        <is>
          <t>1</t>
        </is>
      </c>
      <c r="J114" s="34"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35" t="n"/>
      <c r="L114" s="34" t="inlineStr">
        <is>
          <t>Diabetes mellitus</t>
        </is>
      </c>
      <c r="M114" s="35" t="inlineStr">
        <is>
          <t>Clinic</t>
        </is>
      </c>
      <c r="N114" s="34" t="inlineStr">
        <is>
          <t>ข้อ 78 (Pharmtutor_2024_Set1.md)</t>
        </is>
      </c>
      <c r="O114" s="35" t="inlineStr">
        <is>
          <t>Mock</t>
        </is>
      </c>
      <c r="P114" s="35" t="inlineStr">
        <is>
          <t>Mock Pharmtutor 2024</t>
        </is>
      </c>
    </row>
    <row r="115" ht="13.2" customHeight="1" s="49">
      <c r="A115" s="33" t="n">
        <v>113</v>
      </c>
      <c r="B115" s="34" t="inlineStr">
        <is>
          <t>ยารักษาเบาหวาน ที่ควรเริ่มเป็นอันดับแรก ในผู้ป่วยรายนี้ คือข้อใด</t>
        </is>
      </c>
      <c r="C115" s="35" t="n"/>
      <c r="D115" s="34" t="inlineStr">
        <is>
          <t>Glipizide</t>
        </is>
      </c>
      <c r="E115" s="34" t="inlineStr">
        <is>
          <t>Metformin</t>
        </is>
      </c>
      <c r="F115" s="34" t="inlineStr">
        <is>
          <t>Pioglitazone</t>
        </is>
      </c>
      <c r="G115" s="34" t="inlineStr">
        <is>
          <t>Insulin glargine</t>
        </is>
      </c>
      <c r="H115" s="34" t="inlineStr">
        <is>
          <t>Acarbose</t>
        </is>
      </c>
      <c r="I115" s="33" t="inlineStr">
        <is>
          <t>1</t>
        </is>
      </c>
      <c r="J115" s="34"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35" t="n"/>
      <c r="L115" s="34" t="inlineStr">
        <is>
          <t>Diabetes mellitus</t>
        </is>
      </c>
      <c r="M115" s="35" t="inlineStr">
        <is>
          <t>Clinic</t>
        </is>
      </c>
      <c r="N115" s="34" t="inlineStr">
        <is>
          <t>ข้อ 70 (Pharmtutor_2024_Set2.md)</t>
        </is>
      </c>
      <c r="O115" s="35" t="inlineStr">
        <is>
          <t>Mock</t>
        </is>
      </c>
      <c r="P115" s="35" t="inlineStr">
        <is>
          <t>Mock Pharmtutor 2024</t>
        </is>
      </c>
    </row>
    <row r="116" ht="13.2" customHeight="1" s="49">
      <c r="A116" s="33" t="n">
        <v>114</v>
      </c>
      <c r="B116" s="34" t="inlineStr">
        <is>
          <t>เป้าหมายการรักษาเบาหวาน (ควบคุมทั่วไป) ในผู้ป่วยรายนี้</t>
        </is>
      </c>
      <c r="C116" s="35" t="n"/>
      <c r="D116" s="34" t="inlineStr">
        <is>
          <t>FBS &lt; 70 mg/dL</t>
        </is>
      </c>
      <c r="E116" s="34" t="inlineStr">
        <is>
          <t>HbA1C &lt;8%</t>
        </is>
      </c>
      <c r="F116" s="34" t="inlineStr">
        <is>
          <t>Peak Post prandial glucose &lt; 180 mg/dL</t>
        </is>
      </c>
      <c r="G116" s="34" t="inlineStr">
        <is>
          <t>OGTT &lt; 126 mg/dL</t>
        </is>
      </c>
      <c r="H116" s="34" t="inlineStr">
        <is>
          <t>Random plasma glucose &lt; 250 mg/dL</t>
        </is>
      </c>
      <c r="I116" s="33" t="inlineStr">
        <is>
          <t>1</t>
        </is>
      </c>
      <c r="J116" s="34"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35" t="n"/>
      <c r="L116" s="34" t="inlineStr">
        <is>
          <t>Diabetes mellitus</t>
        </is>
      </c>
      <c r="M116" s="35" t="inlineStr">
        <is>
          <t>Clinic</t>
        </is>
      </c>
      <c r="N116" s="34" t="inlineStr">
        <is>
          <t>ข้อ 71 (Pharmtutor_2024_Set2.md)</t>
        </is>
      </c>
      <c r="O116" s="35" t="inlineStr">
        <is>
          <t>Mock</t>
        </is>
      </c>
      <c r="P116" s="35" t="inlineStr">
        <is>
          <t>Mock Pharmtutor 2024</t>
        </is>
      </c>
    </row>
    <row r="117" ht="13.2" customHeight="1" s="49">
      <c r="A117" s="33" t="n">
        <v>115</v>
      </c>
      <c r="B117" s="34" t="inlineStr">
        <is>
          <t>การปรับปรุงโปรงสร้างของ insulin ในข้อใด ทำให้สามารถออกฤทธิ์ได้ยาวนานมากขึ้น</t>
        </is>
      </c>
      <c r="C117" s="35" t="n"/>
      <c r="D117" s="34" t="inlineStr">
        <is>
          <t>เพิ่มการละลายของ insulin</t>
        </is>
      </c>
      <c r="E117" s="34" t="inlineStr">
        <is>
          <t>ลดความสามารถในการก่อ hexamer ของ insulin</t>
        </is>
      </c>
      <c r="F117" s="34" t="inlineStr">
        <is>
          <t>การเติมกรดไขมัน เช่น myristic acid</t>
        </is>
      </c>
      <c r="G117" s="34" t="inlineStr">
        <is>
          <t>สลับกรดอะมิโน ระหว่าง lysine และ proline</t>
        </is>
      </c>
      <c r="H117" s="34" t="inlineStr">
        <is>
          <t>ไม่มีข้อใดถูก</t>
        </is>
      </c>
      <c r="I117" s="33" t="inlineStr">
        <is>
          <t>1</t>
        </is>
      </c>
      <c r="J117" s="34"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35" t="n"/>
      <c r="L117" s="34" t="inlineStr">
        <is>
          <t>Diabetes mellitus</t>
        </is>
      </c>
      <c r="M117" s="35" t="inlineStr">
        <is>
          <t>Clinic</t>
        </is>
      </c>
      <c r="N117" s="34" t="inlineStr">
        <is>
          <t>ข้อ 72 (Pharmtutor_2024_Set2.md)</t>
        </is>
      </c>
      <c r="O117" s="35" t="inlineStr">
        <is>
          <t>Mock</t>
        </is>
      </c>
      <c r="P117" s="35" t="inlineStr">
        <is>
          <t>Mock Pharmtutor 2024</t>
        </is>
      </c>
    </row>
    <row r="118" ht="13.2" customHeight="1" s="49">
      <c r="A118" s="33" t="n">
        <v>116</v>
      </c>
      <c r="B118" s="34"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เบื_x0003_ออาหาร กินอาหาร ได้น้อยลง ซึมลง ญาติจึงนำส่งโรงพยาบาล พบการตรวจทาง ห้องปฏิบัติการดังนี_x001B_ Na 140 mEq/L, Cl 108 mEq/L, K 4.2 mEq/L และ HCO3 - 10 mEq/L</t>
        </is>
      </c>
      <c r="C118" s="35" t="n"/>
      <c r="D118" s="34" t="inlineStr">
        <is>
          <t>Propylthiouracil 50 mg TID</t>
        </is>
      </c>
      <c r="E118" s="34" t="inlineStr">
        <is>
          <t>Methimazole 10 mg OD</t>
        </is>
      </c>
      <c r="F118" s="34" t="inlineStr">
        <is>
          <t>Pioglitazone 15 mg OD</t>
        </is>
      </c>
      <c r="G118" s="34" t="inlineStr">
        <is>
          <t>Insulin glargine 10 units SC HS</t>
        </is>
      </c>
      <c r="H118" s="34" t="inlineStr">
        <is>
          <t>Insulin lispro 4 units SC before meals</t>
        </is>
      </c>
      <c r="I118" s="33" t="inlineStr">
        <is>
          <t>1</t>
        </is>
      </c>
      <c r="J118"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35" t="n"/>
      <c r="L118" s="34" t="inlineStr">
        <is>
          <t>Diabetes mellitus</t>
        </is>
      </c>
      <c r="M118" s="35" t="inlineStr">
        <is>
          <t>Clinic</t>
        </is>
      </c>
      <c r="N118" s="34" t="inlineStr">
        <is>
          <t>ข้อ 10 (PLE_CC1_2557.md)</t>
        </is>
      </c>
      <c r="O118" s="35" t="inlineStr">
        <is>
          <t>ข้อสอบจริง</t>
        </is>
      </c>
      <c r="P118" s="35" t="inlineStr">
        <is>
          <t>ปี 2557</t>
        </is>
      </c>
    </row>
    <row r="119" ht="13.2" customHeight="1" s="49">
      <c r="A119" s="33" t="n">
        <v>117</v>
      </c>
      <c r="B119" s="34"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35" t="n"/>
      <c r="D119" s="34" t="inlineStr">
        <is>
          <t>Insulin glargine 10 units SC HS</t>
        </is>
      </c>
      <c r="E119" s="34" t="inlineStr">
        <is>
          <t>Insulin lispro 4 units SC before meals</t>
        </is>
      </c>
      <c r="F119" s="34" t="inlineStr">
        <is>
          <t>Dapagliflozin 10 mg OD</t>
        </is>
      </c>
      <c r="G119" s="34" t="inlineStr">
        <is>
          <t>Semaglutide 0.5 mg SC weekly</t>
        </is>
      </c>
      <c r="H119" s="34" t="inlineStr">
        <is>
          <t>Metformin 500 mg BID</t>
        </is>
      </c>
      <c r="I119" s="33" t="inlineStr">
        <is>
          <t>1</t>
        </is>
      </c>
      <c r="J119"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35" t="n"/>
      <c r="L119" s="34" t="inlineStr">
        <is>
          <t>Diabetes mellitus</t>
        </is>
      </c>
      <c r="M119" s="35" t="inlineStr">
        <is>
          <t>Clinic</t>
        </is>
      </c>
      <c r="N119" s="34" t="inlineStr">
        <is>
          <t>ข้อ 16 (PLE_CC1_2557.md)</t>
        </is>
      </c>
      <c r="O119" s="35" t="inlineStr">
        <is>
          <t>ข้อสอบจริง</t>
        </is>
      </c>
      <c r="P119" s="35" t="inlineStr">
        <is>
          <t>ปี 2557</t>
        </is>
      </c>
    </row>
    <row r="120" ht="13.2" customHeight="1" s="49">
      <c r="A120" s="33" t="n">
        <v>118</v>
      </c>
      <c r="B120" s="34"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ที_x0003_เป็นองค์ประกอบ (2) สามารถเพิ_x0003_มความคงตัวของตัวยาสำคัญ (3) สามารถช่วยเพิ_x0003_มความสามารถในการซึมผ่านผิวหนัง ของยาที_x0003_ซึมผ่านผิวหนังได้ยาก (4) สามารถช่วยควบคุมการปลดปล่อยตัวยาสำคัญได้ (5) สามารถช่วยให้นำส่งยาได้หลากหลายวิถีทางมากขึ_x001B_น MCQ 12 | 1/2557 | Page 19</t>
        </is>
      </c>
      <c r="C120" s="35" t="n"/>
      <c r="D120" s="34" t="inlineStr">
        <is>
          <t>Semaglutide 0.5 mg SC weekly</t>
        </is>
      </c>
      <c r="E120" s="34" t="inlineStr">
        <is>
          <t>Metformin 500 mg BID</t>
        </is>
      </c>
      <c r="F120" s="34" t="inlineStr">
        <is>
          <t>Glipizide 5 mg OD</t>
        </is>
      </c>
      <c r="G120" s="34" t="inlineStr">
        <is>
          <t>Empagliflozin 10 mg OD</t>
        </is>
      </c>
      <c r="H120" s="34" t="inlineStr">
        <is>
          <t>Sitagliptin 100 mg OD</t>
        </is>
      </c>
      <c r="I120" s="33" t="inlineStr">
        <is>
          <t>1</t>
        </is>
      </c>
      <c r="J120"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35" t="n"/>
      <c r="L120" s="34" t="inlineStr">
        <is>
          <t>Diabetes mellitus</t>
        </is>
      </c>
      <c r="M120" s="35" t="inlineStr">
        <is>
          <t>Clinic</t>
        </is>
      </c>
      <c r="N120" s="34" t="inlineStr">
        <is>
          <t>ข้อ 33 (PLE_CC1_2557.md)</t>
        </is>
      </c>
      <c r="O120" s="35" t="inlineStr">
        <is>
          <t>ข้อสอบจริง</t>
        </is>
      </c>
      <c r="P120" s="35" t="inlineStr">
        <is>
          <t>ปี 2557</t>
        </is>
      </c>
    </row>
    <row r="121" ht="13.2" customHeight="1" s="49">
      <c r="A121" s="33" t="n">
        <v>119</v>
      </c>
      <c r="B121" s="34"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สัดส่วนของผู้เป็นโรครายใหม่ต่อประชากรที_x0003_มีความ เสี_x0003_ยงทั_x001B_งหมด (2) สัดส่วนของผู้เป็นโรคต่อประชากรที_x0003_มีความเสี_x0003_ยง ทั_x001B_งหมด (3) สัดส่วนของผู้เป็นโรครายใหม่ต่อประชากรที_x0003_มีความ เสี_x0003_ยงทั_x001B_งหมดในช่วงระยะเวลาหนึ_x0003_ง (4) สัดส่วนของผู้เป็นโรคต่อประชากรที_x0003_มีความเสี_x0003_ยง ทั_x001B_งหมดในช่วงระยะเวลาหนึ_x0003_ง (5) ไม่มีข้อใดถูกต้อง Final version | Maximum’2017 Rx30 | Prince of Songkla University สถานการณ์ที 6 หญิงไทย อายุ 26 ปี ต้องการใช้ยาคุมกำเนิดชนิด รับประทาน</t>
        </is>
      </c>
      <c r="C121" s="35" t="n"/>
      <c r="D121" s="34" t="inlineStr">
        <is>
          <t>Empagliflozin 10 mg OD</t>
        </is>
      </c>
      <c r="E121" s="34" t="inlineStr">
        <is>
          <t>Sitagliptin 100 mg OD</t>
        </is>
      </c>
      <c r="F121" s="34" t="inlineStr">
        <is>
          <t>Liraglutide 1.2 mg SC OD</t>
        </is>
      </c>
      <c r="G121" s="34" t="inlineStr">
        <is>
          <t>Levothyroxine 50 mcg OD</t>
        </is>
      </c>
      <c r="H121" s="34" t="inlineStr">
        <is>
          <t>Propylthiouracil 50 mg TID</t>
        </is>
      </c>
      <c r="I121" s="33" t="inlineStr">
        <is>
          <t>1</t>
        </is>
      </c>
      <c r="J121"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35" t="n"/>
      <c r="L121" s="34" t="inlineStr">
        <is>
          <t>Diabetes mellitus</t>
        </is>
      </c>
      <c r="M121" s="35" t="inlineStr">
        <is>
          <t>Clinic</t>
        </is>
      </c>
      <c r="N121" s="34" t="inlineStr">
        <is>
          <t>ข้อ 36 (PLE_CC1_2557.md)</t>
        </is>
      </c>
      <c r="O121" s="35" t="inlineStr">
        <is>
          <t>ข้อสอบจริง</t>
        </is>
      </c>
      <c r="P121" s="35" t="inlineStr">
        <is>
          <t>ปี 2557</t>
        </is>
      </c>
    </row>
    <row r="122" ht="13.2" customHeight="1" s="49">
      <c r="A122" s="33" t="n">
        <v>120</v>
      </c>
      <c r="B122" s="34"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ประวัติการเกิดโรคเบาหวานขณะตั_x001B_งครรภ์ (3) ประวัติการปวดหัวไมเกรน (4) ประวัติการเป็นเนื_x001B_องอกที_x0003_เต้านม (5) ประวัติการใช้ยาบางชนิด เช่น ยากันชัก</t>
        </is>
      </c>
      <c r="C122" s="35" t="n"/>
      <c r="D122" s="34" t="inlineStr">
        <is>
          <t>Levothyroxine 50 mcg OD</t>
        </is>
      </c>
      <c r="E122" s="34" t="inlineStr">
        <is>
          <t>Propylthiouracil 50 mg TID</t>
        </is>
      </c>
      <c r="F122" s="34" t="inlineStr">
        <is>
          <t>Methimazole 10 mg OD</t>
        </is>
      </c>
      <c r="G122" s="34" t="inlineStr">
        <is>
          <t>Pioglitazone 15 mg OD</t>
        </is>
      </c>
      <c r="H122" s="34" t="inlineStr">
        <is>
          <t>Insulin glargine 10 units SC HS</t>
        </is>
      </c>
      <c r="I122" s="33" t="inlineStr">
        <is>
          <t>1</t>
        </is>
      </c>
      <c r="J122"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35" t="n"/>
      <c r="L122" s="34" t="inlineStr">
        <is>
          <t>Diabetes mellitus</t>
        </is>
      </c>
      <c r="M122" s="35" t="inlineStr">
        <is>
          <t>Clinic</t>
        </is>
      </c>
      <c r="N122" s="34" t="inlineStr">
        <is>
          <t>ข้อ 37 (PLE_CC1_2557.md)</t>
        </is>
      </c>
      <c r="O122" s="35" t="inlineStr">
        <is>
          <t>ข้อสอบจริง</t>
        </is>
      </c>
      <c r="P122" s="35" t="inlineStr">
        <is>
          <t>ปี 2557</t>
        </is>
      </c>
    </row>
    <row r="123" ht="13.2" customHeight="1" s="49">
      <c r="A123" s="33" t="n">
        <v>121</v>
      </c>
      <c r="B123" s="34" t="inlineStr">
        <is>
          <t>Insulin อีก 2 เดือนต่อมา ผู้ป่วยมาพบแพทย์ตามนัด ผลตรวจร่างกายเป็นดังนี้ FBS 123, HbA1C 6.8, BP 150/98, urine analysis : protein 1.5 g/ 24 h</t>
        </is>
      </c>
      <c r="C123" s="35" t="n"/>
      <c r="D123" s="34" t="inlineStr">
        <is>
          <t>จากข้อมูลข้างต้น ควรรักษาอย่างไร</t>
        </is>
      </c>
      <c r="E123" s="34" t="inlineStr">
        <is>
          <t>Insulin glargine 10 units SC HS</t>
        </is>
      </c>
      <c r="F123" s="34" t="inlineStr">
        <is>
          <t>Insulin lispro 4 units SC before meals</t>
        </is>
      </c>
      <c r="G123" s="34" t="inlineStr">
        <is>
          <t>Dapagliflozin 10 mg OD</t>
        </is>
      </c>
      <c r="H123" s="34" t="inlineStr">
        <is>
          <t>Semaglutide 0.5 mg SC weekly</t>
        </is>
      </c>
      <c r="I123" s="33" t="inlineStr">
        <is>
          <t>1</t>
        </is>
      </c>
      <c r="J123" s="34"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35" t="n"/>
      <c r="L123" s="34" t="inlineStr">
        <is>
          <t>Diabetes mellitus</t>
        </is>
      </c>
      <c r="M123" s="35" t="inlineStr">
        <is>
          <t>Clinic</t>
        </is>
      </c>
      <c r="N123" s="34" t="inlineStr">
        <is>
          <t>ข้อ 5 (PLE_CC1_2556.md)</t>
        </is>
      </c>
      <c r="O123" s="35" t="inlineStr">
        <is>
          <t>ข้อสอบจริง</t>
        </is>
      </c>
      <c r="P123" s="35" t="inlineStr">
        <is>
          <t>ปี 2556</t>
        </is>
      </c>
    </row>
    <row r="124" ht="13.2" customHeight="1" s="49">
      <c r="A124" s="33" t="n">
        <v>122</v>
      </c>
      <c r="B124" s="34" t="inlineStr">
        <is>
          <t>โจทย์ให้ค่าแลปมา FBS สูง HbA1C สูง ALT 200 กว่า, AST 200 กว่า, BUN 17, Cr 0.8 จากข้อมูลดังกล่าวยาตัวใดปลอดภัยที่สุด</t>
        </is>
      </c>
      <c r="C124" s="35" t="n"/>
      <c r="D124" s="34" t="inlineStr">
        <is>
          <t>Dapagliflozin 10 mg OD</t>
        </is>
      </c>
      <c r="E124" s="34" t="inlineStr">
        <is>
          <t>Semaglutide 0.5 mg SC weekly</t>
        </is>
      </c>
      <c r="F124" s="34" t="inlineStr">
        <is>
          <t>Metformin 500 mg BID</t>
        </is>
      </c>
      <c r="G124" s="34" t="inlineStr">
        <is>
          <t>Glipizide 5 mg OD</t>
        </is>
      </c>
      <c r="H124" s="34" t="inlineStr">
        <is>
          <t>Empagliflozin 10 mg OD</t>
        </is>
      </c>
      <c r="I124" s="33" t="inlineStr">
        <is>
          <t>1</t>
        </is>
      </c>
      <c r="J124"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35" t="n"/>
      <c r="L124" s="34" t="inlineStr">
        <is>
          <t>Diabetes mellitus</t>
        </is>
      </c>
      <c r="M124" s="35" t="inlineStr">
        <is>
          <t>Clinic</t>
        </is>
      </c>
      <c r="N124" s="34" t="inlineStr">
        <is>
          <t>ข้อ 6 (PLE_CC1_2556.md)</t>
        </is>
      </c>
      <c r="O124" s="35" t="inlineStr">
        <is>
          <t>ข้อสอบจริง</t>
        </is>
      </c>
      <c r="P124" s="35" t="inlineStr">
        <is>
          <t>ปี 2556</t>
        </is>
      </c>
    </row>
    <row r="125" ht="13.2" customHeight="1" s="49">
      <c r="A125" s="33" t="n">
        <v>123</v>
      </c>
      <c r="B125" s="34" t="inlineStr">
        <is>
          <t>ข้อใดไม่ถูกต้องเกี่ยวกับ NPH insulin</t>
        </is>
      </c>
      <c r="C125" s="35" t="n"/>
      <c r="D125" s="34" t="inlineStr">
        <is>
          <t>Glipizide 5 mg OD</t>
        </is>
      </c>
      <c r="E125" s="34" t="inlineStr">
        <is>
          <t>Empagliflozin 10 mg OD</t>
        </is>
      </c>
      <c r="F125" s="34" t="inlineStr">
        <is>
          <t>Sitagliptin 100 mg OD</t>
        </is>
      </c>
      <c r="G125" s="34" t="inlineStr">
        <is>
          <t>Liraglutide 1.2 mg SC OD</t>
        </is>
      </c>
      <c r="H125" s="34" t="inlineStr">
        <is>
          <t>Levothyroxine 50 mcg OD</t>
        </is>
      </c>
      <c r="I125" s="33" t="inlineStr">
        <is>
          <t>1</t>
        </is>
      </c>
      <c r="J125" s="34"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35" t="n"/>
      <c r="L125" s="34" t="inlineStr">
        <is>
          <t>Diabetes mellitus</t>
        </is>
      </c>
      <c r="M125" s="35" t="inlineStr">
        <is>
          <t>Clinic</t>
        </is>
      </c>
      <c r="N125" s="34" t="inlineStr">
        <is>
          <t>ข้อ 9 (PLE_CC1_2556.md)</t>
        </is>
      </c>
      <c r="O125" s="35" t="inlineStr">
        <is>
          <t>ข้อสอบจริง</t>
        </is>
      </c>
      <c r="P125" s="35" t="inlineStr">
        <is>
          <t>ปี 2556</t>
        </is>
      </c>
    </row>
    <row r="126" ht="13.2" customHeight="1" s="49">
      <c r="A126" s="33" t="n">
        <v>124</v>
      </c>
      <c r="B126" s="34" t="inlineStr">
        <is>
          <t>เป็น intermediate acting insulin</t>
        </is>
      </c>
      <c r="C126" s="35" t="n"/>
      <c r="D126" s="34" t="inlineStr">
        <is>
          <t>Liraglutide 1.2 mg SC OD</t>
        </is>
      </c>
      <c r="E126" s="34" t="inlineStr">
        <is>
          <t>Levothyroxine 50 mcg OD</t>
        </is>
      </c>
      <c r="F126" s="34" t="inlineStr">
        <is>
          <t>Propylthiouracil 50 mg TID</t>
        </is>
      </c>
      <c r="G126" s="34" t="inlineStr">
        <is>
          <t>Methimazole 10 mg OD</t>
        </is>
      </c>
      <c r="H126" s="34" t="inlineStr">
        <is>
          <t>Pioglitazone 15 mg OD</t>
        </is>
      </c>
      <c r="I126" s="33" t="inlineStr">
        <is>
          <t>1</t>
        </is>
      </c>
      <c r="J126"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35" t="n"/>
      <c r="L126" s="34" t="inlineStr">
        <is>
          <t>Diabetes mellitus</t>
        </is>
      </c>
      <c r="M126" s="35" t="inlineStr">
        <is>
          <t>Clinic</t>
        </is>
      </c>
      <c r="N126" s="34" t="inlineStr">
        <is>
          <t>ข้อ 2 (PLE_CC1_2556.md)</t>
        </is>
      </c>
      <c r="O126" s="35" t="inlineStr">
        <is>
          <t>ข้อสอบจริง</t>
        </is>
      </c>
      <c r="P126" s="35" t="inlineStr">
        <is>
          <t>ปี 2556</t>
        </is>
      </c>
    </row>
    <row r="127" ht="13.2" customHeight="1" s="49">
      <c r="A127" s="33" t="n">
        <v>125</v>
      </c>
      <c r="B127" s="34" t="inlineStr">
        <is>
          <t>insulin resistant</t>
        </is>
      </c>
      <c r="C127" s="35" t="n"/>
      <c r="D127" s="34" t="inlineStr">
        <is>
          <t>Methimazole 10 mg OD</t>
        </is>
      </c>
      <c r="E127" s="34" t="inlineStr">
        <is>
          <t>Pioglitazone 15 mg OD</t>
        </is>
      </c>
      <c r="F127" s="34" t="inlineStr">
        <is>
          <t>Insulin glargine 10 units SC HS</t>
        </is>
      </c>
      <c r="G127" s="34" t="inlineStr">
        <is>
          <t>Insulin lispro 4 units SC before meals</t>
        </is>
      </c>
      <c r="H127" s="34" t="inlineStr">
        <is>
          <t>Dapagliflozin 10 mg OD</t>
        </is>
      </c>
      <c r="I127" s="33" t="inlineStr">
        <is>
          <t>1</t>
        </is>
      </c>
      <c r="J127"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35" t="n"/>
      <c r="L127" s="34" t="inlineStr">
        <is>
          <t>Diabetes mellitus</t>
        </is>
      </c>
      <c r="M127" s="35" t="inlineStr">
        <is>
          <t>Clinic</t>
        </is>
      </c>
      <c r="N127" s="34" t="inlineStr">
        <is>
          <t>ข้อ 4 (PLE_CC1_2555 Day 2.md)</t>
        </is>
      </c>
      <c r="O127" s="35" t="inlineStr">
        <is>
          <t>ข้อสอบจริง</t>
        </is>
      </c>
      <c r="P127" s="35" t="inlineStr">
        <is>
          <t>ปี 2555</t>
        </is>
      </c>
    </row>
    <row r="128" ht="13.2" customHeight="1" s="49">
      <c r="A128" s="33" t="n">
        <v>126</v>
      </c>
      <c r="B128" s="34" t="inlineStr">
        <is>
          <t>อาการของไทรอยด์เป็นพิษ</t>
        </is>
      </c>
      <c r="C128" s="35" t="n"/>
      <c r="D128" s="34"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34" t="inlineStr">
        <is>
          <t>Dapagliflozin 10 mg OD</t>
        </is>
      </c>
      <c r="F128" s="34" t="inlineStr">
        <is>
          <t>Semaglutide 0.5 mg SC weekly</t>
        </is>
      </c>
      <c r="G128" s="34" t="inlineStr">
        <is>
          <t>Metformin 500 mg BID</t>
        </is>
      </c>
      <c r="H128" s="34" t="inlineStr">
        <is>
          <t>Glipizide 5 mg OD</t>
        </is>
      </c>
      <c r="I128" s="33" t="inlineStr">
        <is>
          <t>1</t>
        </is>
      </c>
      <c r="J128" s="34"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35" t="n"/>
      <c r="L128" s="34" t="inlineStr">
        <is>
          <t>Diabetes mellitus</t>
        </is>
      </c>
      <c r="M128" s="35" t="inlineStr">
        <is>
          <t>Clinic</t>
        </is>
      </c>
      <c r="N128" s="34" t="inlineStr">
        <is>
          <t>ข้อ 4 (PLE_CC1_2554 SET2.md)</t>
        </is>
      </c>
      <c r="O128" s="35" t="inlineStr">
        <is>
          <t>ข้อสอบจริง</t>
        </is>
      </c>
      <c r="P128" s="35" t="inlineStr">
        <is>
          <t>ปี 2554</t>
        </is>
      </c>
    </row>
    <row r="129" ht="13.2" customHeight="1" s="49">
      <c r="A129" s="33" t="n">
        <v>127</v>
      </c>
      <c r="B129" s="34" t="inlineStr">
        <is>
          <t>ยาที่ใช้รักษา Hyperthyroidism คือยาใด</t>
        </is>
      </c>
      <c r="C129" s="35" t="n"/>
      <c r="D129" s="34" t="inlineStr">
        <is>
          <t>Propylthiouracil (PTU), Methimazole (MTZ or MMI), Carbimazole(CBZ) เพราะยาดังกล่าวเป็นยาAntithyroid drugs Ref: ชีทอ.วรนุช</t>
        </is>
      </c>
      <c r="E129" s="34" t="inlineStr">
        <is>
          <t>Glipizide 5 mg OD</t>
        </is>
      </c>
      <c r="F129" s="34" t="inlineStr">
        <is>
          <t>Empagliflozin 10 mg OD</t>
        </is>
      </c>
      <c r="G129" s="34" t="inlineStr">
        <is>
          <t>Sitagliptin 100 mg OD</t>
        </is>
      </c>
      <c r="H129" s="34" t="inlineStr">
        <is>
          <t>Liraglutide 1.2 mg SC OD</t>
        </is>
      </c>
      <c r="I129" s="33" t="inlineStr">
        <is>
          <t>1</t>
        </is>
      </c>
      <c r="J129" s="34"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35" t="n"/>
      <c r="L129" s="34" t="inlineStr">
        <is>
          <t>Diabetes mellitus</t>
        </is>
      </c>
      <c r="M129" s="35" t="inlineStr">
        <is>
          <t>Clinic</t>
        </is>
      </c>
      <c r="N129" s="34" t="inlineStr">
        <is>
          <t>ข้อ 5 (PLE_CC1_2554 SET2.md)</t>
        </is>
      </c>
      <c r="O129" s="35" t="inlineStr">
        <is>
          <t>ข้อสอบจริง</t>
        </is>
      </c>
      <c r="P129" s="35" t="inlineStr">
        <is>
          <t>ปี 2554</t>
        </is>
      </c>
    </row>
    <row r="130" ht="13.2" customHeight="1" s="49">
      <c r="A130" s="33" t="n">
        <v>128</v>
      </c>
      <c r="B130" s="34" t="inlineStr">
        <is>
          <t>หากผู้ป่วยรายนี้ได้รับยา methotrexate ซึ่งเป็นยากลุ่ม DMARDs ควรให้ยาใดเพิ่ม เพื่อลดผลข้างเคียงของยา methotrexate ?</t>
        </is>
      </c>
      <c r="C130" s="35" t="n"/>
      <c r="D130" s="34" t="inlineStr">
        <is>
          <t>omeprazole</t>
        </is>
      </c>
      <c r="E130" s="34" t="inlineStr">
        <is>
          <t>calcium carbonate</t>
        </is>
      </c>
      <c r="F130" s="34" t="inlineStr">
        <is>
          <t>folic acid</t>
        </is>
      </c>
      <c r="G130" s="34" t="inlineStr">
        <is>
          <t>vitamin K</t>
        </is>
      </c>
      <c r="H130" s="34" t="inlineStr">
        <is>
          <t>finasteride</t>
        </is>
      </c>
      <c r="I130" s="33" t="inlineStr">
        <is>
          <t>3</t>
        </is>
      </c>
      <c r="J130" s="34"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30" s="35" t="n"/>
      <c r="L130" s="34" t="inlineStr">
        <is>
          <t>Diabetes mellitus</t>
        </is>
      </c>
      <c r="M130" s="35" t="inlineStr">
        <is>
          <t>Clinic</t>
        </is>
      </c>
      <c r="N130" s="34" t="inlineStr">
        <is>
          <t>ข้อ 4 (PLE_CC1_2554 SET2.md)</t>
        </is>
      </c>
      <c r="O130" s="35" t="inlineStr">
        <is>
          <t>ข้อสอบจริง</t>
        </is>
      </c>
      <c r="P130" s="35" t="inlineStr">
        <is>
          <t>ปี 2554</t>
        </is>
      </c>
    </row>
    <row r="131" ht="13.2" customHeight="1" s="49">
      <c r="A131" s="33" t="n">
        <v>129</v>
      </c>
      <c r="B131" s="34" t="inlineStr">
        <is>
          <t>อาการจากต่อมไทรอยด์โต: ผู้ป่วยจะมาพบแพทย์ด้วยอาการมีก้อนที่คอหรือคอโตกว่าปกติ</t>
        </is>
      </c>
      <c r="C131" s="35" t="n"/>
      <c r="D131" s="34" t="inlineStr">
        <is>
          <t>Propylthiouracil 50 mg TID</t>
        </is>
      </c>
      <c r="E131" s="34" t="inlineStr">
        <is>
          <t>Methimazole 10 mg OD</t>
        </is>
      </c>
      <c r="F131" s="34" t="inlineStr">
        <is>
          <t>Pioglitazone 15 mg OD</t>
        </is>
      </c>
      <c r="G131" s="34" t="inlineStr">
        <is>
          <t>Insulin glargine 10 units SC HS</t>
        </is>
      </c>
      <c r="H131" s="34" t="inlineStr">
        <is>
          <t>Insulin lispro 4 units SC before meals</t>
        </is>
      </c>
      <c r="I131" s="33" t="inlineStr">
        <is>
          <t>1</t>
        </is>
      </c>
      <c r="J131"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35" t="n"/>
      <c r="L131" s="34" t="inlineStr">
        <is>
          <t>Diabetes mellitus</t>
        </is>
      </c>
      <c r="M131" s="35" t="inlineStr">
        <is>
          <t>Clinic</t>
        </is>
      </c>
      <c r="N131" s="34" t="inlineStr">
        <is>
          <t>ข้อ 1 (PLE_CC1_2554 SET2.md)</t>
        </is>
      </c>
      <c r="O131" s="35" t="inlineStr">
        <is>
          <t>ข้อสอบจริง</t>
        </is>
      </c>
      <c r="P131" s="35" t="inlineStr">
        <is>
          <t>ปี 2554</t>
        </is>
      </c>
    </row>
    <row r="132" ht="13.2" customHeight="1" s="49">
      <c r="A132" s="33" t="n">
        <v>130</v>
      </c>
      <c r="B132" s="34"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32" s="35" t="n"/>
      <c r="D132" s="34" t="inlineStr">
        <is>
          <t>Insulin glargine 10 units SC HS</t>
        </is>
      </c>
      <c r="E132" s="34" t="inlineStr">
        <is>
          <t>Insulin lispro 4 units SC before meals</t>
        </is>
      </c>
      <c r="F132" s="34" t="inlineStr">
        <is>
          <t>Dapagliflozin 10 mg OD</t>
        </is>
      </c>
      <c r="G132" s="34" t="inlineStr">
        <is>
          <t>Semaglutide 0.5 mg SC weekly</t>
        </is>
      </c>
      <c r="H132" s="34" t="inlineStr">
        <is>
          <t>Metformin 500 mg BID</t>
        </is>
      </c>
      <c r="I132" s="33" t="inlineStr">
        <is>
          <t>1</t>
        </is>
      </c>
      <c r="J132" s="34"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32" s="35" t="n"/>
      <c r="L132" s="34" t="inlineStr">
        <is>
          <t>Diabetes mellitus</t>
        </is>
      </c>
      <c r="M132" s="35" t="inlineStr">
        <is>
          <t>Clinic</t>
        </is>
      </c>
      <c r="N132" s="34" t="inlineStr">
        <is>
          <t>ข้อ 6 (PLE_CC1_Practice_Exam.md)</t>
        </is>
      </c>
      <c r="O132" s="35" t="inlineStr">
        <is>
          <t>Mock</t>
        </is>
      </c>
      <c r="P132" s="35" t="inlineStr">
        <is>
          <t>Mock สภาเภสัชฯ Practice</t>
        </is>
      </c>
    </row>
    <row r="133" ht="13.2" customHeight="1" s="49">
      <c r="A133" s="33" t="n">
        <v>131</v>
      </c>
      <c r="B133" s="34" t="inlineStr">
        <is>
          <t>ยาใดต่อไปนี้สามารถใช้ในหญิง Hyperthyroidism ที่ตั้งครรภ์ได้</t>
        </is>
      </c>
      <c r="C133" s="35" t="n"/>
      <c r="D133" s="34" t="inlineStr">
        <is>
          <t>Propylthyouracil (PTU)</t>
        </is>
      </c>
      <c r="E133" s="34" t="inlineStr">
        <is>
          <t>Methimazole</t>
        </is>
      </c>
      <c r="F133" s="34" t="inlineStr">
        <is>
          <t>Levothyroxine</t>
        </is>
      </c>
      <c r="G133" s="34" t="inlineStr">
        <is>
          <t>ข้อ ก, ข ถูก</t>
        </is>
      </c>
      <c r="H133" s="34" t="inlineStr">
        <is>
          <t>ข้อ ก,ข,ค ถูก</t>
        </is>
      </c>
      <c r="I133" s="33" t="inlineStr">
        <is>
          <t>1</t>
        </is>
      </c>
      <c r="J133" s="34"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35" t="n"/>
      <c r="L133" s="34" t="inlineStr">
        <is>
          <t>Diabetes mellitus</t>
        </is>
      </c>
      <c r="M133" s="35" t="inlineStr">
        <is>
          <t>Clinic</t>
        </is>
      </c>
      <c r="N133" s="34" t="inlineStr">
        <is>
          <t>ข้อ 24 (PLE_CC1_Practice_Exam.md)</t>
        </is>
      </c>
      <c r="O133" s="35" t="inlineStr">
        <is>
          <t>Mock</t>
        </is>
      </c>
      <c r="P133" s="35" t="inlineStr">
        <is>
          <t>Mock สภาเภสัชฯ Practice</t>
        </is>
      </c>
    </row>
    <row r="134" ht="13.2" customHeight="1" s="49">
      <c r="A134" s="33" t="n">
        <v>132</v>
      </c>
      <c r="B134" s="34" t="inlineStr">
        <is>
          <t>ข้อใดไม่ใช่อาการข้างเคียงที่เกิดขึ้นถ้าผู้ป่วยที่มีภาวะขาดไทรอยด์ ได้รับยา Levothyroxine ที่มีขนาดสูง เกินไป</t>
        </is>
      </c>
      <c r="C134" s="35" t="n"/>
      <c r="D134" s="34" t="inlineStr">
        <is>
          <t>น้ำหนักตัวเพิ่ม</t>
        </is>
      </c>
      <c r="E134" s="34" t="inlineStr">
        <is>
          <t>ทนร้อนไม่ได้</t>
        </is>
      </c>
      <c r="F134" s="34" t="inlineStr">
        <is>
          <t>หัวใจเต้นเร็ว</t>
        </is>
      </c>
      <c r="G134" s="34" t="inlineStr">
        <is>
          <t>กระดูกบาง</t>
        </is>
      </c>
      <c r="H134" s="34" t="inlineStr">
        <is>
          <t>ชัก</t>
        </is>
      </c>
      <c r="I134" s="33" t="inlineStr">
        <is>
          <t>1</t>
        </is>
      </c>
      <c r="J134" s="34"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35" t="n"/>
      <c r="L134" s="34" t="inlineStr">
        <is>
          <t>Diabetes mellitus</t>
        </is>
      </c>
      <c r="M134" s="35" t="inlineStr">
        <is>
          <t>Clinic</t>
        </is>
      </c>
      <c r="N134" s="34" t="inlineStr">
        <is>
          <t>ข้อ 25 (PLE_CC1_Practice_Exam.md)</t>
        </is>
      </c>
      <c r="O134" s="35" t="inlineStr">
        <is>
          <t>Mock</t>
        </is>
      </c>
      <c r="P134" s="35" t="inlineStr">
        <is>
          <t>Mock สภาเภสัชฯ Practice</t>
        </is>
      </c>
    </row>
    <row r="135" ht="13.2" customHeight="1" s="49">
      <c r="A135" s="33" t="n">
        <v>133</v>
      </c>
      <c r="B135" s="34" t="inlineStr">
        <is>
          <t>ข้อใดไม่ใช่อาการหรืออาการแสดงของภาวะ Hypothyroidism</t>
        </is>
      </c>
      <c r="C135" s="35" t="n"/>
      <c r="D135" s="34" t="inlineStr">
        <is>
          <t>Bradycardia</t>
        </is>
      </c>
      <c r="E135" s="34" t="inlineStr">
        <is>
          <t>ทนต่อความเย็นไม่ได้</t>
        </is>
      </c>
      <c r="F135" s="34" t="inlineStr">
        <is>
          <t>ซึมเศร้า อ่อนเพลีย</t>
        </is>
      </c>
      <c r="G135" s="34" t="inlineStr">
        <is>
          <t>ผิวหนังแห้ง</t>
        </is>
      </c>
      <c r="H135" s="34" t="inlineStr">
        <is>
          <t>น้ำหนักลด</t>
        </is>
      </c>
      <c r="I135" s="33" t="inlineStr">
        <is>
          <t>1</t>
        </is>
      </c>
      <c r="J135" s="34"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35" t="n"/>
      <c r="L135" s="34" t="inlineStr">
        <is>
          <t>Diabetes mellitus</t>
        </is>
      </c>
      <c r="M135" s="35" t="inlineStr">
        <is>
          <t>Clinic</t>
        </is>
      </c>
      <c r="N135" s="34" t="inlineStr">
        <is>
          <t>ข้อ 26 (PLE_CC1_Practice_Exam.md)</t>
        </is>
      </c>
      <c r="O135" s="35" t="inlineStr">
        <is>
          <t>Mock</t>
        </is>
      </c>
      <c r="P135" s="35" t="inlineStr">
        <is>
          <t>Mock สภาเภสัชฯ Practice</t>
        </is>
      </c>
    </row>
    <row r="136" ht="13.2" customHeight="1" s="49">
      <c r="A136" s="33" t="n">
        <v>134</v>
      </c>
      <c r="B136" s="34"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35" t="n"/>
      <c r="D136" s="34" t="inlineStr">
        <is>
          <t>Ferrous sulfate</t>
        </is>
      </c>
      <c r="E136" s="34" t="inlineStr">
        <is>
          <t>Sucralfate</t>
        </is>
      </c>
      <c r="F136" s="34" t="inlineStr">
        <is>
          <t>Phenytoin</t>
        </is>
      </c>
      <c r="G136" s="34" t="inlineStr">
        <is>
          <t>Cholestyramine</t>
        </is>
      </c>
      <c r="H136" s="34" t="inlineStr">
        <is>
          <t>Sodium polystyrene sulfonate</t>
        </is>
      </c>
      <c r="I136" s="33" t="inlineStr">
        <is>
          <t>1</t>
        </is>
      </c>
      <c r="J136" s="34"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35" t="n"/>
      <c r="L136" s="34" t="inlineStr">
        <is>
          <t>Diabetes mellitus</t>
        </is>
      </c>
      <c r="M136" s="35" t="inlineStr">
        <is>
          <t>Clinic</t>
        </is>
      </c>
      <c r="N136" s="34" t="inlineStr">
        <is>
          <t>ข้อ 27 (PLE_CC1_Practice_Exam.md)</t>
        </is>
      </c>
      <c r="O136" s="35" t="inlineStr">
        <is>
          <t>Mock</t>
        </is>
      </c>
      <c r="P136" s="35" t="inlineStr">
        <is>
          <t>Mock สภาเภสัชฯ Practice</t>
        </is>
      </c>
    </row>
    <row r="137" ht="13.2" customHeight="1" s="49">
      <c r="A137" s="33" t="n">
        <v>135</v>
      </c>
      <c r="B137" s="34" t="inlineStr">
        <is>
          <t>ข้อใดควรให้ก่อนผ่าตัดต่อมไทรอยด์เพื่อลดเลือดที่มาเลี้ยงต่อมไทรอยด์</t>
        </is>
      </c>
      <c r="C137" s="35" t="n"/>
      <c r="D137" s="34" t="inlineStr">
        <is>
          <t>Propylthiouracil</t>
        </is>
      </c>
      <c r="E137" s="34" t="inlineStr">
        <is>
          <t>Methimazole</t>
        </is>
      </c>
      <c r="F137" s="34" t="inlineStr">
        <is>
          <t>KI solution</t>
        </is>
      </c>
      <c r="G137" s="34" t="inlineStr">
        <is>
          <t>Propranolol</t>
        </is>
      </c>
      <c r="H137" s="34" t="inlineStr">
        <is>
          <t>Radioactive iodine</t>
        </is>
      </c>
      <c r="I137" s="33" t="inlineStr">
        <is>
          <t>1</t>
        </is>
      </c>
      <c r="J137" s="34"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35" t="n"/>
      <c r="L137" s="34" t="inlineStr">
        <is>
          <t>Diabetes mellitus</t>
        </is>
      </c>
      <c r="M137" s="35" t="inlineStr">
        <is>
          <t>Clinic</t>
        </is>
      </c>
      <c r="N137" s="34" t="inlineStr">
        <is>
          <t>ข้อ 31 (PLE_CC1_Practice_Exam.md)</t>
        </is>
      </c>
      <c r="O137" s="35" t="inlineStr">
        <is>
          <t>Mock</t>
        </is>
      </c>
      <c r="P137" s="35" t="inlineStr">
        <is>
          <t>Mock สภาเภสัชฯ Practice</t>
        </is>
      </c>
    </row>
    <row r="138" ht="13.2" customHeight="1" s="49">
      <c r="A138" s="33" t="n">
        <v>136</v>
      </c>
      <c r="B138" s="34" t="inlineStr">
        <is>
          <t>ยาในข้อใดควรใช้รักษาใน ผู้ป่วยหญิงให้นมบุตรที่เป็นไทรอยด์พิษ</t>
        </is>
      </c>
      <c r="C138" s="35" t="n"/>
      <c r="D138" s="34" t="inlineStr">
        <is>
          <t>Methimazole</t>
        </is>
      </c>
      <c r="E138" s="34" t="inlineStr">
        <is>
          <t>Propylthiouracil</t>
        </is>
      </c>
      <c r="F138" s="34" t="inlineStr">
        <is>
          <t>Radioactive iodine</t>
        </is>
      </c>
      <c r="G138" s="34" t="inlineStr">
        <is>
          <t>ข้อ ก. และ ข้อ ข. สามารถใช้ได้ทั้งคู่</t>
        </is>
      </c>
      <c r="H138" s="34" t="inlineStr">
        <is>
          <t>ยาทุกข้อสามารถใช้ได้</t>
        </is>
      </c>
      <c r="I138" s="33" t="n">
        <v>2</v>
      </c>
      <c r="J138" s="34"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38" s="35" t="n"/>
      <c r="L138" s="34" t="inlineStr">
        <is>
          <t>Diabetes mellitus</t>
        </is>
      </c>
      <c r="M138" s="35" t="inlineStr">
        <is>
          <t>Clinic</t>
        </is>
      </c>
      <c r="N138" s="34" t="inlineStr">
        <is>
          <t>ข้อ 32 (PLE_CC1_Practice_Exam.md)</t>
        </is>
      </c>
      <c r="O138" s="35" t="inlineStr">
        <is>
          <t>Mock</t>
        </is>
      </c>
      <c r="P138" s="35" t="inlineStr">
        <is>
          <t>Mock สภาเภสัชฯ Practice</t>
        </is>
      </c>
    </row>
    <row r="139" ht="13.2" customHeight="1" s="49">
      <c r="A139" s="33" t="n">
        <v>137</v>
      </c>
      <c r="B139" s="34"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35" t="n"/>
      <c r="D139" s="34" t="inlineStr">
        <is>
          <t>Liraglutide 1.2 mg SC OD</t>
        </is>
      </c>
      <c r="E139" s="34" t="inlineStr">
        <is>
          <t>Levothyroxine 50 mcg OD</t>
        </is>
      </c>
      <c r="F139" s="34" t="inlineStr">
        <is>
          <t>Propylthiouracil 50 mg TID</t>
        </is>
      </c>
      <c r="G139" s="34" t="inlineStr">
        <is>
          <t>Methimazole 10 mg OD</t>
        </is>
      </c>
      <c r="H139" s="34" t="inlineStr">
        <is>
          <t>Pioglitazone 15 mg OD</t>
        </is>
      </c>
      <c r="I139" s="33" t="inlineStr">
        <is>
          <t>1</t>
        </is>
      </c>
      <c r="J139"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35" t="n"/>
      <c r="L139" s="34" t="inlineStr">
        <is>
          <t>Diabetes mellitus</t>
        </is>
      </c>
      <c r="M139" s="35" t="inlineStr">
        <is>
          <t>Clinic</t>
        </is>
      </c>
      <c r="N139" s="34" t="inlineStr">
        <is>
          <t>ข้อ 1 (PLE_CC1_Practice_Exam.md)</t>
        </is>
      </c>
      <c r="O139" s="35" t="inlineStr">
        <is>
          <t>Mock</t>
        </is>
      </c>
      <c r="P139" s="35" t="inlineStr">
        <is>
          <t>Mock สภาเภสัชฯ Practice</t>
        </is>
      </c>
    </row>
    <row r="140" ht="13.2" customHeight="1" s="49">
      <c r="A140" s="33" t="n">
        <v>138</v>
      </c>
      <c r="B140" s="34"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35" t="n"/>
      <c r="D140" s="34" t="inlineStr">
        <is>
          <t>Methimazole 10 mg OD</t>
        </is>
      </c>
      <c r="E140" s="34" t="inlineStr">
        <is>
          <t>Pioglitazone 15 mg OD</t>
        </is>
      </c>
      <c r="F140" s="34" t="inlineStr">
        <is>
          <t>Insulin glargine 10 units SC HS</t>
        </is>
      </c>
      <c r="G140" s="34" t="inlineStr">
        <is>
          <t>Insulin lispro 4 units SC before meals</t>
        </is>
      </c>
      <c r="H140" s="34" t="inlineStr">
        <is>
          <t>Dapagliflozin 10 mg OD</t>
        </is>
      </c>
      <c r="I140" s="33" t="inlineStr">
        <is>
          <t>1</t>
        </is>
      </c>
      <c r="J140"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35" t="n"/>
      <c r="L140" s="34" t="inlineStr">
        <is>
          <t>Diabetes mellitus</t>
        </is>
      </c>
      <c r="M140" s="35" t="inlineStr">
        <is>
          <t>Clinic</t>
        </is>
      </c>
      <c r="N140" s="34" t="inlineStr">
        <is>
          <t>ข้อ 17 (PLE_CC1_Practice_Exam.md)</t>
        </is>
      </c>
      <c r="O140" s="35" t="inlineStr">
        <is>
          <t>Mock</t>
        </is>
      </c>
      <c r="P140" s="35" t="inlineStr">
        <is>
          <t>Mock สภาเภสัชฯ Practice</t>
        </is>
      </c>
    </row>
    <row r="141" ht="13.2" customHeight="1" s="49">
      <c r="A141" s="33" t="n">
        <v>139</v>
      </c>
      <c r="B141" s="34" t="inlineStr">
        <is>
          <t>ตอบ ข. มีอาการท้องเสีย หงุดหงิดง่าย เหงื่อออกมาก เนื่องจาก เป็นอาการของ Hyperthyroid</t>
        </is>
      </c>
      <c r="C141" s="35" t="n"/>
      <c r="D141" s="34" t="inlineStr">
        <is>
          <t>ผิดตรงน้ำหนักเพิ่ม</t>
        </is>
      </c>
      <c r="E141" s="34" t="inlineStr">
        <is>
          <t>และง.ผิด Graves’ disease คือ สาเหตุหลัก ส่วน Hashimoto’s thyroiditis คือสาเหตุหลักของ hypothyroidism</t>
        </is>
      </c>
      <c r="F141" s="34" t="inlineStr">
        <is>
          <t>ผิดพบในเพศหญิงมากกว่าเพศชาย</t>
        </is>
      </c>
      <c r="G141" s="34" t="inlineStr">
        <is>
          <t>Metformin 500 mg BID</t>
        </is>
      </c>
      <c r="H141" s="34" t="inlineStr">
        <is>
          <t>Glipizide 5 mg OD</t>
        </is>
      </c>
      <c r="I141" s="33" t="inlineStr">
        <is>
          <t>1</t>
        </is>
      </c>
      <c r="J141" s="34"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35" t="n"/>
      <c r="L141" s="34" t="inlineStr">
        <is>
          <t>Diabetes mellitus</t>
        </is>
      </c>
      <c r="M141" s="35" t="inlineStr">
        <is>
          <t>Clinic</t>
        </is>
      </c>
      <c r="N141" s="34" t="inlineStr">
        <is>
          <t>ข้อ 21 (PLE_CC1_Practice_Exam.md)</t>
        </is>
      </c>
      <c r="O141" s="35" t="inlineStr">
        <is>
          <t>Mock</t>
        </is>
      </c>
      <c r="P141" s="35" t="inlineStr">
        <is>
          <t>Mock สภาเภสัชฯ Practice</t>
        </is>
      </c>
    </row>
    <row r="142" ht="13.2" customHeight="1" s="49">
      <c r="A142" s="33" t="n">
        <v>140</v>
      </c>
      <c r="B142" s="34"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35" t="n"/>
      <c r="D142" s="34" t="inlineStr">
        <is>
          <t>Metformin 500 mg BID</t>
        </is>
      </c>
      <c r="E142" s="34" t="inlineStr">
        <is>
          <t>Glipizide 5 mg OD</t>
        </is>
      </c>
      <c r="F142" s="34" t="inlineStr">
        <is>
          <t>Empagliflozin 10 mg OD</t>
        </is>
      </c>
      <c r="G142" s="34" t="inlineStr">
        <is>
          <t>Sitagliptin 100 mg OD</t>
        </is>
      </c>
      <c r="H142" s="34" t="inlineStr">
        <is>
          <t>Liraglutide 1.2 mg SC OD</t>
        </is>
      </c>
      <c r="I142" s="33" t="inlineStr">
        <is>
          <t>1</t>
        </is>
      </c>
      <c r="J142"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35" t="n"/>
      <c r="L142" s="34" t="inlineStr">
        <is>
          <t>Diabetes mellitus</t>
        </is>
      </c>
      <c r="M142" s="35" t="inlineStr">
        <is>
          <t>Clinic</t>
        </is>
      </c>
      <c r="N142" s="34" t="inlineStr">
        <is>
          <t>ข้อ 26 (PLE_CC1_Practice_Exam.md)</t>
        </is>
      </c>
      <c r="O142" s="35" t="inlineStr">
        <is>
          <t>Mock</t>
        </is>
      </c>
      <c r="P142" s="35" t="inlineStr">
        <is>
          <t>Mock สภาเภสัชฯ Practice</t>
        </is>
      </c>
    </row>
    <row r="143" ht="13.2" customHeight="1" s="49">
      <c r="A143" s="33" t="n">
        <v>141</v>
      </c>
      <c r="B143" s="34" t="inlineStr">
        <is>
          <t>ตอบ ค. Myxedema พัฒนาขึ้นเฉพาะในคนที่เป็นโรค Hypothyroidism ซึ่งเกิดจากต่อมไทรอยด์ทำงานน้อยผิดปกติ</t>
        </is>
      </c>
      <c r="C143" s="35" t="n"/>
      <c r="D143" s="34" t="inlineStr">
        <is>
          <t>Sitagliptin 100 mg OD</t>
        </is>
      </c>
      <c r="E143" s="34" t="inlineStr">
        <is>
          <t>Liraglutide 1.2 mg SC OD</t>
        </is>
      </c>
      <c r="F143" s="34" t="inlineStr">
        <is>
          <t>Levothyroxine 50 mcg OD</t>
        </is>
      </c>
      <c r="G143" s="34" t="inlineStr">
        <is>
          <t>Propylthiouracil 50 mg TID</t>
        </is>
      </c>
      <c r="H143" s="34" t="inlineStr">
        <is>
          <t>Methimazole 10 mg OD</t>
        </is>
      </c>
      <c r="I143" s="33" t="inlineStr">
        <is>
          <t>1</t>
        </is>
      </c>
      <c r="J143"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35" t="n"/>
      <c r="L143" s="34" t="inlineStr">
        <is>
          <t>Diabetes mellitus</t>
        </is>
      </c>
      <c r="M143" s="35" t="inlineStr">
        <is>
          <t>Clinic</t>
        </is>
      </c>
      <c r="N143" s="34" t="inlineStr">
        <is>
          <t>ข้อ 28 (PLE_CC1_Practice_Exam.md)</t>
        </is>
      </c>
      <c r="O143" s="35" t="inlineStr">
        <is>
          <t>Mock</t>
        </is>
      </c>
      <c r="P143" s="35" t="inlineStr">
        <is>
          <t>Mock สภาเภสัชฯ Practice</t>
        </is>
      </c>
    </row>
    <row r="144" ht="13.2" customHeight="1" s="49">
      <c r="A144" s="33" t="n">
        <v>142</v>
      </c>
      <c r="B144" s="34"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35" t="n"/>
      <c r="D144" s="34" t="inlineStr">
        <is>
          <t>Propylthiouracil 50 mg TID</t>
        </is>
      </c>
      <c r="E144" s="34" t="inlineStr">
        <is>
          <t>Methimazole 10 mg OD</t>
        </is>
      </c>
      <c r="F144" s="34" t="inlineStr">
        <is>
          <t>Pioglitazone 15 mg OD</t>
        </is>
      </c>
      <c r="G144" s="34" t="inlineStr">
        <is>
          <t>Insulin glargine 10 units SC HS</t>
        </is>
      </c>
      <c r="H144" s="34" t="inlineStr">
        <is>
          <t>Insulin lispro 4 units SC before meals</t>
        </is>
      </c>
      <c r="I144" s="33" t="inlineStr">
        <is>
          <t>1</t>
        </is>
      </c>
      <c r="J144"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35" t="n"/>
      <c r="L144" s="34" t="inlineStr">
        <is>
          <t>Diabetes mellitus</t>
        </is>
      </c>
      <c r="M144" s="35" t="inlineStr">
        <is>
          <t>Clinic</t>
        </is>
      </c>
      <c r="N144" s="34" t="inlineStr">
        <is>
          <t>ข้อ 29 (PLE_CC1_Practice_Exam.md)</t>
        </is>
      </c>
      <c r="O144" s="35" t="inlineStr">
        <is>
          <t>Mock</t>
        </is>
      </c>
      <c r="P144" s="35" t="inlineStr">
        <is>
          <t>Mock สภาเภสัชฯ Practice</t>
        </is>
      </c>
    </row>
    <row r="145" ht="13.2" customHeight="1" s="49">
      <c r="A145" s="33" t="n">
        <v>143</v>
      </c>
      <c r="B145" s="34"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35" t="n"/>
      <c r="D145" s="34" t="inlineStr">
        <is>
          <t>Insulin glargine 10 units SC HS</t>
        </is>
      </c>
      <c r="E145" s="34" t="inlineStr">
        <is>
          <t>Insulin lispro 4 units SC before meals</t>
        </is>
      </c>
      <c r="F145" s="34" t="inlineStr">
        <is>
          <t>Dapagliflozin 10 mg OD</t>
        </is>
      </c>
      <c r="G145" s="34" t="inlineStr">
        <is>
          <t>Semaglutide 0.5 mg SC weekly</t>
        </is>
      </c>
      <c r="H145" s="34" t="inlineStr">
        <is>
          <t>Metformin 500 mg BID</t>
        </is>
      </c>
      <c r="I145" s="33" t="inlineStr">
        <is>
          <t>1</t>
        </is>
      </c>
      <c r="J145"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35" t="n"/>
      <c r="L145" s="34" t="inlineStr">
        <is>
          <t>Diabetes mellitus</t>
        </is>
      </c>
      <c r="M145" s="35" t="inlineStr">
        <is>
          <t>Clinic</t>
        </is>
      </c>
      <c r="N145" s="34" t="inlineStr">
        <is>
          <t>ข้อ 8 (PLE_CC1_Practice_Exam.md)</t>
        </is>
      </c>
      <c r="O145" s="35" t="inlineStr">
        <is>
          <t>Mock</t>
        </is>
      </c>
      <c r="P145" s="35" t="inlineStr">
        <is>
          <t>Mock สภาเภสัชฯ Practice</t>
        </is>
      </c>
    </row>
    <row r="146" ht="13.2" customHeight="1" s="49">
      <c r="A146" s="33" t="n">
        <v>144</v>
      </c>
      <c r="B146" s="34"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35" t="n"/>
      <c r="D146" s="34" t="inlineStr">
        <is>
          <t>Timolol</t>
        </is>
      </c>
      <c r="E146" s="34" t="inlineStr">
        <is>
          <t>Pilocarpine</t>
        </is>
      </c>
      <c r="F146" s="34" t="inlineStr">
        <is>
          <t>Acetazolamide</t>
        </is>
      </c>
      <c r="G146" s="34" t="inlineStr">
        <is>
          <t>Betaxolol</t>
        </is>
      </c>
      <c r="H146" s="34" t="inlineStr">
        <is>
          <t>Brimonidine</t>
        </is>
      </c>
      <c r="I146" s="33" t="inlineStr">
        <is>
          <t>1</t>
        </is>
      </c>
      <c r="J146" s="34"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35" t="n"/>
      <c r="L146" s="34" t="inlineStr">
        <is>
          <t>Diabetes mellitus</t>
        </is>
      </c>
      <c r="M146" s="35" t="inlineStr">
        <is>
          <t>Clinic</t>
        </is>
      </c>
      <c r="N146" s="34" t="inlineStr">
        <is>
          <t>ข้อ 2 (PLE_CC1_Practice_Exam.md)</t>
        </is>
      </c>
      <c r="O146" s="35" t="inlineStr">
        <is>
          <t>Mock</t>
        </is>
      </c>
      <c r="P146" s="35" t="inlineStr">
        <is>
          <t>Mock สภาเภสัชฯ Practice</t>
        </is>
      </c>
    </row>
    <row r="147" ht="13.2" customHeight="1" s="49">
      <c r="A147" s="33" t="n">
        <v>145</v>
      </c>
      <c r="B147" s="34" t="inlineStr">
        <is>
          <t>ผู้ป่วยที่มีประวัติโรคเบาหวาน</t>
        </is>
      </c>
      <c r="C147" s="35" t="n"/>
      <c r="D147" s="34" t="inlineStr">
        <is>
          <t>Empagliflozin 10 mg OD</t>
        </is>
      </c>
      <c r="E147" s="34" t="inlineStr">
        <is>
          <t>Sitagliptin 100 mg OD</t>
        </is>
      </c>
      <c r="F147" s="34" t="inlineStr">
        <is>
          <t>Liraglutide 1.2 mg SC OD</t>
        </is>
      </c>
      <c r="G147" s="34" t="inlineStr">
        <is>
          <t>Levothyroxine 50 mcg OD</t>
        </is>
      </c>
      <c r="H147" s="34" t="inlineStr">
        <is>
          <t>Propylthiouracil 50 mg TID</t>
        </is>
      </c>
      <c r="I147" s="33" t="inlineStr">
        <is>
          <t>1</t>
        </is>
      </c>
      <c r="J147"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35" t="n"/>
      <c r="L147" s="34" t="inlineStr">
        <is>
          <t>Diabetes mellitus</t>
        </is>
      </c>
      <c r="M147" s="35" t="inlineStr">
        <is>
          <t>Clinic</t>
        </is>
      </c>
      <c r="N147" s="34" t="inlineStr">
        <is>
          <t>ข้อ 3 (PLE_CC1_Practice_Exam.md)</t>
        </is>
      </c>
      <c r="O147" s="35" t="inlineStr">
        <is>
          <t>Mock</t>
        </is>
      </c>
      <c r="P147" s="35" t="inlineStr">
        <is>
          <t>Mock สภาเภสัชฯ Practice</t>
        </is>
      </c>
    </row>
    <row r="148" ht="13.2" customHeight="1" s="49">
      <c r="A148" s="33" t="n">
        <v>146</v>
      </c>
      <c r="B148" s="34" t="inlineStr">
        <is>
          <t>กระตุ้นการหลั่ง insulin จาก pancreatic beta cells</t>
        </is>
      </c>
      <c r="C148" s="35" t="n"/>
      <c r="D148" s="34" t="inlineStr">
        <is>
          <t>Levothyroxine 50 mcg OD</t>
        </is>
      </c>
      <c r="E148" s="34" t="inlineStr">
        <is>
          <t>Propylthiouracil 50 mg TID</t>
        </is>
      </c>
      <c r="F148" s="34" t="inlineStr">
        <is>
          <t>Methimazole 10 mg OD</t>
        </is>
      </c>
      <c r="G148" s="34" t="inlineStr">
        <is>
          <t>Pioglitazone 15 mg OD</t>
        </is>
      </c>
      <c r="H148" s="34" t="inlineStr">
        <is>
          <t>Insulin glargine 10 units SC HS</t>
        </is>
      </c>
      <c r="I148" s="33" t="inlineStr">
        <is>
          <t>1</t>
        </is>
      </c>
      <c r="J148"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35" t="n"/>
      <c r="L148" s="34" t="inlineStr">
        <is>
          <t>Diabetes mellitus</t>
        </is>
      </c>
      <c r="M148" s="35" t="inlineStr">
        <is>
          <t>Clinic</t>
        </is>
      </c>
      <c r="N148" s="34" t="inlineStr">
        <is>
          <t>ข้อ 3 (PLE_CC1_Key_Rx20_UBU.md)</t>
        </is>
      </c>
      <c r="O148" s="35" t="inlineStr">
        <is>
          <t>Mock</t>
        </is>
      </c>
      <c r="P148" s="35" t="inlineStr">
        <is>
          <t>Mock Rx20 UBU</t>
        </is>
      </c>
    </row>
    <row r="149" ht="13.2" customHeight="1" s="49">
      <c r="A149" s="33" t="n">
        <v>147</v>
      </c>
      <c r="B149" s="34" t="inlineStr">
        <is>
          <t>ข้อใดไม่ใช่อาการแทรกซ้อนของโรคเบาหวาน เ%นHlme Metformm AวยลดMหNกOวใด</t>
        </is>
      </c>
      <c r="C149" s="35" t="n"/>
      <c r="D149" s="34" t="inlineStr">
        <is>
          <t>- - sulfonyl Ohea กระPนการหQง lhsulmi หกbeta - all ในOบRอน</t>
        </is>
      </c>
      <c r="E149" s="34" t="inlineStr">
        <is>
          <t>Insulin glargine 10 units SC HS</t>
        </is>
      </c>
      <c r="F149" s="34" t="inlineStr">
        <is>
          <t>Insulin lispro 4 units SC before meals</t>
        </is>
      </c>
      <c r="G149" s="34" t="inlineStr">
        <is>
          <t>Dapagliflozin 10 mg OD</t>
        </is>
      </c>
      <c r="H149" s="34" t="inlineStr">
        <is>
          <t>Semaglutide 0.5 mg SC weekly</t>
        </is>
      </c>
      <c r="I149" s="33" t="inlineStr">
        <is>
          <t>1</t>
        </is>
      </c>
      <c r="J149" s="34"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35" t="n"/>
      <c r="L149" s="34" t="inlineStr">
        <is>
          <t>Diabetes mellitus</t>
        </is>
      </c>
      <c r="M149" s="35" t="inlineStr">
        <is>
          <t>Clinic</t>
        </is>
      </c>
      <c r="N149" s="34" t="inlineStr">
        <is>
          <t>ข้อ 48 (PLE_CC1_Key_Rx20_UBU.md)</t>
        </is>
      </c>
      <c r="O149" s="35" t="inlineStr">
        <is>
          <t>Mock</t>
        </is>
      </c>
      <c r="P149" s="35" t="inlineStr">
        <is>
          <t>Mock Rx20 UBU</t>
        </is>
      </c>
    </row>
    <row r="150" ht="13.2" customHeight="1" s="49">
      <c r="A150" s="33" t="n">
        <v>148</v>
      </c>
      <c r="B150" s="34" t="inlineStr">
        <is>
          <t>ทำ DMSO เมื่อมีอาการปวดเป็นเวลา 7 วัน</t>
        </is>
      </c>
      <c r="C150" s="35" t="n"/>
      <c r="D150" s="34" t="inlineStr">
        <is>
          <t>Dapagliflozin 10 mg OD</t>
        </is>
      </c>
      <c r="E150" s="34" t="inlineStr">
        <is>
          <t>Semaglutide 0.5 mg SC weekly</t>
        </is>
      </c>
      <c r="F150" s="34" t="inlineStr">
        <is>
          <t>Metformin 500 mg BID</t>
        </is>
      </c>
      <c r="G150" s="34" t="inlineStr">
        <is>
          <t>Glipizide 5 mg OD</t>
        </is>
      </c>
      <c r="H150" s="34" t="inlineStr">
        <is>
          <t>Empagliflozin 10 mg OD</t>
        </is>
      </c>
      <c r="I150" s="33" t="inlineStr">
        <is>
          <t>1</t>
        </is>
      </c>
      <c r="J150"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35" t="n"/>
      <c r="L150" s="34" t="inlineStr">
        <is>
          <t>Diabetes mellitus</t>
        </is>
      </c>
      <c r="M150" s="35" t="inlineStr">
        <is>
          <t>Clinic</t>
        </is>
      </c>
      <c r="N150" s="34" t="inlineStr">
        <is>
          <t>ข้อ 4 (PLE_CC1_Key_Rx20_UBU.md)</t>
        </is>
      </c>
      <c r="O150" s="35" t="inlineStr">
        <is>
          <t>Mock</t>
        </is>
      </c>
      <c r="P150" s="35" t="inlineStr">
        <is>
          <t>Mock Rx20 UBU</t>
        </is>
      </c>
    </row>
    <row r="151" ht="13.2" customHeight="1" s="49">
      <c r="A151" s="33" t="n">
        <v>149</v>
      </c>
      <c r="B151" s="34" t="inlineStr">
        <is>
          <t>Insulin ควรใช้เป็นลำดับแแรกในการเริ่มรักษาผู้ป่วยเบาหวานชนิดที่ 2 หากไม่มีข้อห้ามใช้</t>
        </is>
      </c>
      <c r="C151" s="35" t="n"/>
      <c r="D151" s="34" t="inlineStr">
        <is>
          <t>Glipizide 5 mg OD</t>
        </is>
      </c>
      <c r="E151" s="34" t="inlineStr">
        <is>
          <t>Empagliflozin 10 mg OD</t>
        </is>
      </c>
      <c r="F151" s="34" t="inlineStr">
        <is>
          <t>Sitagliptin 100 mg OD</t>
        </is>
      </c>
      <c r="G151" s="34" t="inlineStr">
        <is>
          <t>Liraglutide 1.2 mg SC OD</t>
        </is>
      </c>
      <c r="H151" s="34" t="inlineStr">
        <is>
          <t>Levothyroxine 50 mcg OD</t>
        </is>
      </c>
      <c r="I151" s="33" t="inlineStr">
        <is>
          <t>5</t>
        </is>
      </c>
      <c r="J151" s="34"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35" t="n"/>
      <c r="L151" s="34" t="inlineStr">
        <is>
          <t>Diabetes mellitus</t>
        </is>
      </c>
      <c r="M151" s="35" t="inlineStr">
        <is>
          <t>Clinic</t>
        </is>
      </c>
      <c r="N151" s="34" t="inlineStr">
        <is>
          <t>ข้อ 4 (PLE_CC1_Key_Rx20_UBU.md)</t>
        </is>
      </c>
      <c r="O151" s="35" t="inlineStr">
        <is>
          <t>Mock</t>
        </is>
      </c>
      <c r="P151" s="35" t="inlineStr">
        <is>
          <t>Mock Rx20 UBU</t>
        </is>
      </c>
    </row>
    <row r="152" ht="13.2" customHeight="1" s="49">
      <c r="A152" s="33" t="n">
        <v>150</v>
      </c>
      <c r="B152" s="34" t="inlineStr">
        <is>
          <t>ต่อมาผู้ป่วยมีผลตรวจร่างกายดังนี้ FBS 164 mg/dl, HbA1c 9.5 %, BUN 12, Scr 0.8, AST 210, ALT 250 ยาในข้อใดสามารถใช้ได้ปลอดภัยในผู้ป่วยรายนี้</t>
        </is>
      </c>
      <c r="C152" s="35" t="n"/>
      <c r="D152" s="34" t="inlineStr">
        <is>
          <t>Liraglutide 1.2 mg SC OD</t>
        </is>
      </c>
      <c r="E152" s="34" t="inlineStr">
        <is>
          <t>Levothyroxine 50 mcg OD</t>
        </is>
      </c>
      <c r="F152" s="34" t="inlineStr">
        <is>
          <t>Propylthiouracil 50 mg TID</t>
        </is>
      </c>
      <c r="G152" s="34" t="inlineStr">
        <is>
          <t>Methimazole 10 mg OD</t>
        </is>
      </c>
      <c r="H152" s="34" t="inlineStr">
        <is>
          <t>Pioglitazone 15 mg OD</t>
        </is>
      </c>
      <c r="I152" s="33" t="inlineStr">
        <is>
          <t>1</t>
        </is>
      </c>
      <c r="J152" s="34"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35" t="n"/>
      <c r="L152" s="34" t="inlineStr">
        <is>
          <t>Diabetes mellitus</t>
        </is>
      </c>
      <c r="M152" s="35" t="inlineStr">
        <is>
          <t>Clinic</t>
        </is>
      </c>
      <c r="N152" s="34" t="inlineStr">
        <is>
          <t>ข้อ 6 (PLE_CC1_Key_Rx20_UBU.md)</t>
        </is>
      </c>
      <c r="O152" s="35" t="inlineStr">
        <is>
          <t>Mock</t>
        </is>
      </c>
      <c r="P152" s="35" t="inlineStr">
        <is>
          <t>Mock Rx20 UBU</t>
        </is>
      </c>
    </row>
    <row r="153" ht="13.2" customHeight="1" s="49">
      <c r="A153" s="33" t="n">
        <v>151</v>
      </c>
      <c r="B153" s="34" t="inlineStr">
        <is>
          <t>จัดเป็น intermediate insulin</t>
        </is>
      </c>
      <c r="C153" s="35" t="n"/>
      <c r="D153" s="34" t="inlineStr">
        <is>
          <t>Methimazole 10 mg OD</t>
        </is>
      </c>
      <c r="E153" s="34" t="inlineStr">
        <is>
          <t>Pioglitazone 15 mg OD</t>
        </is>
      </c>
      <c r="F153" s="34" t="inlineStr">
        <is>
          <t>Insulin glargine 10 units SC HS</t>
        </is>
      </c>
      <c r="G153" s="34" t="inlineStr">
        <is>
          <t>Insulin lispro 4 units SC before meals</t>
        </is>
      </c>
      <c r="H153" s="34" t="inlineStr">
        <is>
          <t>Dapagliflozin 10 mg OD</t>
        </is>
      </c>
      <c r="I153" s="33" t="inlineStr">
        <is>
          <t>1</t>
        </is>
      </c>
      <c r="J153"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35" t="n"/>
      <c r="L153" s="34" t="inlineStr">
        <is>
          <t>Diabetes mellitus</t>
        </is>
      </c>
      <c r="M153" s="35" t="inlineStr">
        <is>
          <t>Clinic</t>
        </is>
      </c>
      <c r="N153" s="34" t="inlineStr">
        <is>
          <t>ข้อ 3 (PLE_CC1_Key_Rx20_UBU.md)</t>
        </is>
      </c>
      <c r="O153" s="35" t="inlineStr">
        <is>
          <t>Mock</t>
        </is>
      </c>
      <c r="P153" s="35" t="inlineStr">
        <is>
          <t>Mock Rx20 UBU</t>
        </is>
      </c>
    </row>
    <row r="154" ht="13.2" customHeight="1" s="49">
      <c r="A154" s="33" t="n">
        <v>152</v>
      </c>
      <c r="B154" s="34"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35" t="n"/>
      <c r="D154" s="34" t="inlineStr">
        <is>
          <t>Insulin lispro 4 units SC before meals</t>
        </is>
      </c>
      <c r="E154" s="34" t="inlineStr">
        <is>
          <t>Dapagliflozin 10 mg OD</t>
        </is>
      </c>
      <c r="F154" s="34" t="inlineStr">
        <is>
          <t>Semaglutide 0.5 mg SC weekly</t>
        </is>
      </c>
      <c r="G154" s="34" t="inlineStr">
        <is>
          <t>Metformin 500 mg BID</t>
        </is>
      </c>
      <c r="H154" s="34" t="inlineStr">
        <is>
          <t>Glipizide 5 mg OD</t>
        </is>
      </c>
      <c r="I154" s="33" t="inlineStr">
        <is>
          <t>1</t>
        </is>
      </c>
      <c r="J154"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35" t="n"/>
      <c r="L154" s="34" t="inlineStr">
        <is>
          <t>Diabetes mellitus</t>
        </is>
      </c>
      <c r="M154" s="35" t="inlineStr">
        <is>
          <t>Clinic</t>
        </is>
      </c>
      <c r="N154" s="34" t="inlineStr">
        <is>
          <t>ข้อ 5 (PLE_CC1_Key_Rx20_UBU.md)</t>
        </is>
      </c>
      <c r="O154" s="35" t="inlineStr">
        <is>
          <t>Mock</t>
        </is>
      </c>
      <c r="P154" s="35" t="inlineStr">
        <is>
          <t>Mock Rx20 UBU</t>
        </is>
      </c>
    </row>
    <row r="155" ht="13.2" customHeight="1" s="49">
      <c r="A155" s="33" t="n">
        <v>153</v>
      </c>
      <c r="B155" s="34"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35" t="n"/>
      <c r="D155" s="34" t="inlineStr">
        <is>
          <t>Metformin 500 mg BID</t>
        </is>
      </c>
      <c r="E155" s="34" t="inlineStr">
        <is>
          <t>Glipizide 5 mg OD</t>
        </is>
      </c>
      <c r="F155" s="34" t="inlineStr">
        <is>
          <t>Empagliflozin 10 mg OD</t>
        </is>
      </c>
      <c r="G155" s="34" t="inlineStr">
        <is>
          <t>Sitagliptin 100 mg OD</t>
        </is>
      </c>
      <c r="H155" s="34" t="inlineStr">
        <is>
          <t>Liraglutide 1.2 mg SC OD</t>
        </is>
      </c>
      <c r="I155" s="33" t="inlineStr">
        <is>
          <t>1</t>
        </is>
      </c>
      <c r="J155" s="34"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35" t="n"/>
      <c r="L155" s="34" t="inlineStr">
        <is>
          <t>Diabetes mellitus</t>
        </is>
      </c>
      <c r="M155" s="35" t="inlineStr">
        <is>
          <t>Clinic</t>
        </is>
      </c>
      <c r="N155" s="34" t="inlineStr">
        <is>
          <t>ข้อ 2 (PLE_CC1_Key_Rx20_UBU.md)</t>
        </is>
      </c>
      <c r="O155" s="35" t="inlineStr">
        <is>
          <t>Mock</t>
        </is>
      </c>
      <c r="P155" s="35" t="inlineStr">
        <is>
          <t>Mock Rx20 UBU</t>
        </is>
      </c>
    </row>
    <row r="156" ht="13.2" customHeight="1" s="49">
      <c r="A156" s="33" t="n">
        <v>154</v>
      </c>
      <c r="B156" s="34" t="inlineStr">
        <is>
          <t>การพัฒนายา Insulin ให$อยูGในรูปสารประกอบเชิงซ$อน สามารถใช$สารใด</t>
        </is>
      </c>
      <c r="C156" s="35" t="n"/>
      <c r="D156" s="34" t="inlineStr">
        <is>
          <t>Protamine sulfate</t>
        </is>
      </c>
      <c r="E156" s="34" t="inlineStr">
        <is>
          <t>Calcium carbonate</t>
        </is>
      </c>
      <c r="F156" s="34" t="inlineStr">
        <is>
          <t>Triethanolamine</t>
        </is>
      </c>
      <c r="G156" s="34" t="inlineStr">
        <is>
          <t>Sodium chloride</t>
        </is>
      </c>
      <c r="H156" s="34" t="inlineStr">
        <is>
          <t>Dextrose</t>
        </is>
      </c>
      <c r="I156" s="33" t="inlineStr">
        <is>
          <t>1</t>
        </is>
      </c>
      <c r="J156" s="34"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35" t="n"/>
      <c r="L156" s="34" t="inlineStr">
        <is>
          <t>Diabetes mellitus</t>
        </is>
      </c>
      <c r="M156" s="35" t="inlineStr">
        <is>
          <t>Clinic</t>
        </is>
      </c>
      <c r="N156" s="34" t="inlineStr">
        <is>
          <t>ข้อ 13 (PLE_CC1_Key_Rx20_UBU.md)</t>
        </is>
      </c>
      <c r="O156" s="35" t="inlineStr">
        <is>
          <t>Mock</t>
        </is>
      </c>
      <c r="P156" s="35" t="inlineStr">
        <is>
          <t>Mock Rx20 UBU</t>
        </is>
      </c>
    </row>
    <row r="157" ht="13.2" customHeight="1" s="49">
      <c r="A157" s="33" t="n">
        <v>155</v>
      </c>
      <c r="B157" s="34" t="inlineStr">
        <is>
          <t>NPH Insulin มีจำหนGายที่ใด</t>
        </is>
      </c>
      <c r="C157" s="35" t="n"/>
      <c r="D157" s="34" t="inlineStr">
        <is>
          <t>ร$านขายยาแผนป[จจุบัน</t>
        </is>
      </c>
      <c r="E157" s="34" t="inlineStr">
        <is>
          <t>ร$านขายยาอันตรายและยาควบคุมพิเศษ</t>
        </is>
      </c>
      <c r="F157" s="34" t="inlineStr">
        <is>
          <t>สถานพยาบาลของแพทยเ_วชปฏิบัติทั่วไป</t>
        </is>
      </c>
      <c r="G157" s="34" t="inlineStr">
        <is>
          <t>สถานพยาบาลที่รับผู$ป&amp;วยไว$ค$างคืน</t>
        </is>
      </c>
      <c r="H157" s="34" t="inlineStr">
        <is>
          <t>ร้านขายของชำทั่วไป</t>
        </is>
      </c>
      <c r="I157" s="33" t="inlineStr">
        <is>
          <t>2</t>
        </is>
      </c>
      <c r="J157" s="34"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57" s="35" t="n"/>
      <c r="L157" s="34" t="inlineStr">
        <is>
          <t>Diabetes mellitus</t>
        </is>
      </c>
      <c r="M157" s="35" t="inlineStr">
        <is>
          <t>Clinic</t>
        </is>
      </c>
      <c r="N157" s="34" t="inlineStr">
        <is>
          <t>ข้อ 19 (PLE_CC1_Key_Rx20_UBU.md)</t>
        </is>
      </c>
      <c r="O157" s="35" t="inlineStr">
        <is>
          <t>Mock</t>
        </is>
      </c>
      <c r="P157" s="35" t="inlineStr">
        <is>
          <t>Mock Rx20 UBU</t>
        </is>
      </c>
    </row>
    <row r="158" ht="13.2" customHeight="1" s="49">
      <c r="A158" s="33" t="n">
        <v>156</v>
      </c>
      <c r="B158" s="34" t="inlineStr">
        <is>
          <t>มีประวัติเปญนเบาหวานขณะตั้งครรภ_</t>
        </is>
      </c>
      <c r="C158" s="35" t="n"/>
      <c r="D158" s="34" t="inlineStr">
        <is>
          <t>Insulin glargine 10 units SC HS</t>
        </is>
      </c>
      <c r="E158" s="34" t="inlineStr">
        <is>
          <t>Insulin lispro 4 units SC before meals</t>
        </is>
      </c>
      <c r="F158" s="34" t="inlineStr">
        <is>
          <t>Dapagliflozin 10 mg OD</t>
        </is>
      </c>
      <c r="G158" s="34" t="inlineStr">
        <is>
          <t>Semaglutide 0.5 mg SC weekly</t>
        </is>
      </c>
      <c r="H158" s="34" t="inlineStr">
        <is>
          <t>Metformin 500 mg BID</t>
        </is>
      </c>
      <c r="I158" s="33" t="inlineStr">
        <is>
          <t>1</t>
        </is>
      </c>
      <c r="J158"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35" t="n"/>
      <c r="L158" s="34" t="inlineStr">
        <is>
          <t>Diabetes mellitus</t>
        </is>
      </c>
      <c r="M158" s="35" t="inlineStr">
        <is>
          <t>Clinic</t>
        </is>
      </c>
      <c r="N158" s="34" t="inlineStr">
        <is>
          <t>ข้อ 3 (PLE_CC1_Key_Rx20_UBU.md)</t>
        </is>
      </c>
      <c r="O158" s="35" t="inlineStr">
        <is>
          <t>Mock</t>
        </is>
      </c>
      <c r="P158" s="35" t="inlineStr">
        <is>
          <t>Mock Rx20 UBU</t>
        </is>
      </c>
    </row>
    <row r="159" ht="13.2" customHeight="1" s="49">
      <c r="A159" s="33" t="n">
        <v>157</v>
      </c>
      <c r="B159" s="34" t="inlineStr">
        <is>
          <t>......ให$ประโยคมาเกี่ยวกับอุบัติการณ_การเกิดโรคเบาหวาน ถามวGา คำวGา “อุบัติการณ_” หมายความวGาอยGางไร</t>
        </is>
      </c>
      <c r="C159" s="35" t="n"/>
      <c r="D159" s="34" t="inlineStr">
        <is>
          <t>Semaglutide 0.5 mg SC weekly</t>
        </is>
      </c>
      <c r="E159" s="34" t="inlineStr">
        <is>
          <t>Metformin 500 mg BID</t>
        </is>
      </c>
      <c r="F159" s="34" t="inlineStr">
        <is>
          <t>Glipizide 5 mg OD</t>
        </is>
      </c>
      <c r="G159" s="34" t="inlineStr">
        <is>
          <t>Empagliflozin 10 mg OD</t>
        </is>
      </c>
      <c r="H159" s="34" t="inlineStr">
        <is>
          <t>Sitagliptin 100 mg OD</t>
        </is>
      </c>
      <c r="I159" s="33" t="inlineStr">
        <is>
          <t>1</t>
        </is>
      </c>
      <c r="J159"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35" t="n"/>
      <c r="L159" s="34" t="inlineStr">
        <is>
          <t>Diabetes mellitus</t>
        </is>
      </c>
      <c r="M159" s="35" t="inlineStr">
        <is>
          <t>Clinic</t>
        </is>
      </c>
      <c r="N159" s="34" t="inlineStr">
        <is>
          <t>ข้อ 106 (PLE_CC1_Key_Rx20_UBU.md)</t>
        </is>
      </c>
      <c r="O159" s="35" t="inlineStr">
        <is>
          <t>Mock</t>
        </is>
      </c>
      <c r="P159" s="35" t="inlineStr">
        <is>
          <t>Mock Rx20 UBU</t>
        </is>
      </c>
    </row>
    <row r="160" ht="13.2" customHeight="1" s="49">
      <c r="A160" s="33" t="n">
        <v>158</v>
      </c>
      <c r="B160" s="34" t="inlineStr">
        <is>
          <t>จำนวนผู$ป&amp;วยโรคเบาหวานรายใหมGจำนวนประชากรทั้งหมด ในพื้นที่ ในชGวงเวลาหนึ่ง</t>
        </is>
      </c>
      <c r="C160" s="35" t="n"/>
      <c r="D160" s="34" t="inlineStr">
        <is>
          <t>Empagliflozin 10 mg OD</t>
        </is>
      </c>
      <c r="E160" s="34" t="inlineStr">
        <is>
          <t>Sitagliptin 100 mg OD</t>
        </is>
      </c>
      <c r="F160" s="34" t="inlineStr">
        <is>
          <t>Liraglutide 1.2 mg SC OD</t>
        </is>
      </c>
      <c r="G160" s="34" t="inlineStr">
        <is>
          <t>Levothyroxine 50 mcg OD</t>
        </is>
      </c>
      <c r="H160" s="34" t="inlineStr">
        <is>
          <t>Propylthiouracil 50 mg TID</t>
        </is>
      </c>
      <c r="I160" s="33" t="inlineStr">
        <is>
          <t>1</t>
        </is>
      </c>
      <c r="J160" s="34"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35" t="n"/>
      <c r="L160" s="34" t="inlineStr">
        <is>
          <t>Diabetes mellitus</t>
        </is>
      </c>
      <c r="M160" s="35" t="inlineStr">
        <is>
          <t>Clinic</t>
        </is>
      </c>
      <c r="N160" s="34" t="inlineStr">
        <is>
          <t>ข้อ 1 (PLE_CC1_Key_Rx20_UBU.md)</t>
        </is>
      </c>
      <c r="O160" s="35" t="inlineStr">
        <is>
          <t>Mock</t>
        </is>
      </c>
      <c r="P160" s="35" t="inlineStr">
        <is>
          <t>Mock Rx20 UBU</t>
        </is>
      </c>
    </row>
    <row r="161" ht="13.2" customHeight="1" s="49">
      <c r="A161" s="33" t="n">
        <v>159</v>
      </c>
      <c r="B161" s="34" t="inlineStr">
        <is>
          <t>จำนวนผู$ป&amp;วยโรคเบาหวานรายใหมGตGอจำนวนประชากรที่มีความเสี่ยงที่จะเกิดโรคเบาห วาน</t>
        </is>
      </c>
      <c r="C161" s="35" t="n"/>
      <c r="D161" s="34" t="inlineStr">
        <is>
          <t>Levothyroxine 50 mcg OD</t>
        </is>
      </c>
      <c r="E161" s="34" t="inlineStr">
        <is>
          <t>Propylthiouracil 50 mg TID</t>
        </is>
      </c>
      <c r="F161" s="34" t="inlineStr">
        <is>
          <t>Methimazole 10 mg OD</t>
        </is>
      </c>
      <c r="G161" s="34" t="inlineStr">
        <is>
          <t>Pioglitazone 15 mg OD</t>
        </is>
      </c>
      <c r="H161" s="34" t="inlineStr">
        <is>
          <t>Insulin glargine 10 units SC HS</t>
        </is>
      </c>
      <c r="I161" s="33" t="inlineStr">
        <is>
          <t>1</t>
        </is>
      </c>
      <c r="J161" s="34"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35" t="n"/>
      <c r="L161" s="34" t="inlineStr">
        <is>
          <t>Diabetes mellitus</t>
        </is>
      </c>
      <c r="M161" s="35" t="inlineStr">
        <is>
          <t>Clinic</t>
        </is>
      </c>
      <c r="N161" s="34" t="inlineStr">
        <is>
          <t>ข้อ 2 (PLE_CC1_Key_Rx20_UBU.md)</t>
        </is>
      </c>
      <c r="O161" s="35" t="inlineStr">
        <is>
          <t>Mock</t>
        </is>
      </c>
      <c r="P161" s="35" t="inlineStr">
        <is>
          <t>Mock Rx20 UBU</t>
        </is>
      </c>
    </row>
    <row r="162" ht="13.2" customHeight="1" s="49">
      <c r="A162" s="33" t="n">
        <v>160</v>
      </c>
      <c r="B162" s="34" t="inlineStr">
        <is>
          <t>จำนวนผู$ป&amp;วยโรคเบาหวานตGอจำนวนประชากรที่มีความเสี่ยงที่จะเกิดโรคเบาหวาน ณ จุดเวลาใดเวลาหนึ่ง</t>
        </is>
      </c>
      <c r="C162" s="35" t="n"/>
      <c r="D162" s="34" t="inlineStr">
        <is>
          <t>Pioglitazone 15 mg OD</t>
        </is>
      </c>
      <c r="E162" s="34" t="inlineStr">
        <is>
          <t>Insulin glargine 10 units SC HS</t>
        </is>
      </c>
      <c r="F162" s="34" t="inlineStr">
        <is>
          <t>Insulin lispro 4 units SC before meals</t>
        </is>
      </c>
      <c r="G162" s="34" t="inlineStr">
        <is>
          <t>Dapagliflozin 10 mg OD</t>
        </is>
      </c>
      <c r="H162" s="34" t="inlineStr">
        <is>
          <t>Semaglutide 0.5 mg SC weekly</t>
        </is>
      </c>
      <c r="I162" s="33" t="inlineStr">
        <is>
          <t>1</t>
        </is>
      </c>
      <c r="J162" s="34"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35" t="n"/>
      <c r="L162" s="34" t="inlineStr">
        <is>
          <t>Diabetes mellitus</t>
        </is>
      </c>
      <c r="M162" s="35" t="inlineStr">
        <is>
          <t>Clinic</t>
        </is>
      </c>
      <c r="N162" s="34" t="inlineStr">
        <is>
          <t>ข้อ 4 (PLE_CC1_Key_Rx20_UBU.md)</t>
        </is>
      </c>
      <c r="O162" s="35" t="inlineStr">
        <is>
          <t>Mock</t>
        </is>
      </c>
      <c r="P162" s="35" t="inlineStr">
        <is>
          <t>Mock Rx20 UBU</t>
        </is>
      </c>
    </row>
    <row r="163" ht="13.2" customHeight="1" s="49">
      <c r="A163" s="33" t="n">
        <v>161</v>
      </c>
      <c r="B163" s="34" t="inlineStr">
        <is>
          <t>จำนวนผู$ป&amp;วยโรคเบาหวานตGอจำนวนประชากรทั้งหมด ณ จุดเวลาใดเวลาหนึ่ง จำนวนผู$ป&amp;วยโรคเบาหวานรายใหมGตGอจำนวนประชากรที่มีความเสี่ยงที่จะเกิดโรคเบาหวานในชGวงเว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35" t="n"/>
      <c r="D163" s="34" t="inlineStr">
        <is>
          <t>Dapagliflozin 10 mg OD</t>
        </is>
      </c>
      <c r="E163" s="34" t="inlineStr">
        <is>
          <t>Semaglutide 0.5 mg SC weekly</t>
        </is>
      </c>
      <c r="F163" s="34" t="inlineStr">
        <is>
          <t>Metformin 500 mg BID</t>
        </is>
      </c>
      <c r="G163" s="34" t="inlineStr">
        <is>
          <t>Glipizide 5 mg OD</t>
        </is>
      </c>
      <c r="H163" s="34" t="inlineStr">
        <is>
          <t>Empagliflozin 10 mg OD</t>
        </is>
      </c>
      <c r="I163" s="33" t="inlineStr">
        <is>
          <t>1</t>
        </is>
      </c>
      <c r="J163" s="34"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35" t="n"/>
      <c r="L163" s="34" t="inlineStr">
        <is>
          <t>Diabetes mellitus</t>
        </is>
      </c>
      <c r="M163" s="35" t="inlineStr">
        <is>
          <t>Clinic</t>
        </is>
      </c>
      <c r="N163" s="34" t="inlineStr">
        <is>
          <t>ข้อ 5 (PLE_CC1_Key_Rx20_UBU.md)</t>
        </is>
      </c>
      <c r="O163" s="35" t="inlineStr">
        <is>
          <t>Mock</t>
        </is>
      </c>
      <c r="P163" s="35" t="inlineStr">
        <is>
          <t>Mock Rx20 UBU</t>
        </is>
      </c>
    </row>
    <row r="164" ht="13.2" customHeight="1" s="49">
      <c r="A164" s="33" t="n">
        <v>162</v>
      </c>
      <c r="B164" s="34"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64" s="35" t="n"/>
      <c r="D164" s="34" t="inlineStr">
        <is>
          <t>Metformin 500 mg PO BID</t>
        </is>
      </c>
      <c r="E164" s="34" t="inlineStr">
        <is>
          <t>Empagliflozin 10 mg PO OD</t>
        </is>
      </c>
      <c r="F164" s="34" t="inlineStr">
        <is>
          <t>Sitagliptin 100 mg PO OD</t>
        </is>
      </c>
      <c r="G164" s="34" t="inlineStr">
        <is>
          <t>Glipizide 5 mg PO OD</t>
        </is>
      </c>
      <c r="H164" s="34" t="inlineStr">
        <is>
          <t>Pioglitazone 15 mg PO OD</t>
        </is>
      </c>
      <c r="I164" s="33" t="n">
        <v>1</v>
      </c>
      <c r="J164" s="34"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64" s="35" t="n"/>
      <c r="L164" s="34" t="inlineStr">
        <is>
          <t>Diabetes mellitus</t>
        </is>
      </c>
      <c r="M164" s="35" t="inlineStr">
        <is>
          <t>Clinic</t>
        </is>
      </c>
      <c r="N164" s="34" t="inlineStr">
        <is>
          <t>ข้อ 5 (PLE_CC1_Key_Rx20_UBU.md)</t>
        </is>
      </c>
      <c r="O164" s="35" t="inlineStr">
        <is>
          <t>Mock</t>
        </is>
      </c>
      <c r="P164" s="35" t="inlineStr">
        <is>
          <t>Mock Rx20 UBU</t>
        </is>
      </c>
    </row>
    <row r="165" ht="13.2" customHeight="1" s="49">
      <c r="A165" s="33" t="n">
        <v>163</v>
      </c>
      <c r="B165" s="34" t="inlineStr">
        <is>
          <t>ยาเบาหวานที่ผู้ป่วยควรได้รับ</t>
        </is>
      </c>
      <c r="C165" s="35" t="n"/>
      <c r="D165" s="34" t="inlineStr">
        <is>
          <t>Metformin</t>
        </is>
      </c>
      <c r="E165" s="34" t="inlineStr">
        <is>
          <t>RI</t>
        </is>
      </c>
      <c r="F165" s="34" t="inlineStr">
        <is>
          <t>Repaglinide</t>
        </is>
      </c>
      <c r="G165" s="34" t="inlineStr">
        <is>
          <t>Glibenclamide</t>
        </is>
      </c>
      <c r="H165" s="34"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33" t="inlineStr">
        <is>
          <t>1</t>
        </is>
      </c>
      <c r="J165" s="34"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35" t="n"/>
      <c r="L165" s="34" t="inlineStr">
        <is>
          <t>Diabetes mellitus</t>
        </is>
      </c>
      <c r="M165" s="35" t="inlineStr">
        <is>
          <t>Clinic</t>
        </is>
      </c>
      <c r="N165" s="34" t="inlineStr">
        <is>
          <t>ข้อ 2 (PLE_CC1_Key_Rx20_UBU.md)</t>
        </is>
      </c>
      <c r="O165" s="35" t="inlineStr">
        <is>
          <t>Mock</t>
        </is>
      </c>
      <c r="P165" s="35" t="inlineStr">
        <is>
          <t>Mock Rx20 UBU</t>
        </is>
      </c>
    </row>
    <row r="166" ht="13.2" customHeight="1" s="49">
      <c r="A166" s="33" t="n">
        <v>164</v>
      </c>
      <c r="B166" s="34" t="inlineStr">
        <is>
          <t>ใช้ยามานานคุมน้ำตาลดี แต่อยู่ดีๆ FBS กับ HBA1C เกิน (อยู่ที่ประมาณ 9 กว่าๆ) เกิดจากอะไร</t>
        </is>
      </c>
      <c r="C166" s="35" t="n"/>
      <c r="D166" s="34" t="inlineStr">
        <is>
          <t>Methimazole 10 mg OD</t>
        </is>
      </c>
      <c r="E166" s="34" t="inlineStr">
        <is>
          <t>Pioglitazone 15 mg OD</t>
        </is>
      </c>
      <c r="F166" s="34" t="inlineStr">
        <is>
          <t>Insulin glargine 10 units SC HS</t>
        </is>
      </c>
      <c r="G166" s="34" t="inlineStr">
        <is>
          <t>Insulin lispro 4 units SC before meals</t>
        </is>
      </c>
      <c r="H166" s="34" t="inlineStr">
        <is>
          <t>Dapagliflozin 10 mg OD</t>
        </is>
      </c>
      <c r="I166" s="33" t="inlineStr">
        <is>
          <t>1</t>
        </is>
      </c>
      <c r="J166" s="34"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35" t="n"/>
      <c r="L166" s="34" t="inlineStr">
        <is>
          <t>Diabetes mellitus</t>
        </is>
      </c>
      <c r="M166" s="35" t="inlineStr">
        <is>
          <t>Clinic</t>
        </is>
      </c>
      <c r="N166" s="34" t="inlineStr">
        <is>
          <t>ข้อ 2 (PLE_CC1_Key_Rx20_UBU.md)</t>
        </is>
      </c>
      <c r="O166" s="35" t="inlineStr">
        <is>
          <t>Mock</t>
        </is>
      </c>
      <c r="P166" s="35" t="inlineStr">
        <is>
          <t>Mock Rx20 UBU</t>
        </is>
      </c>
    </row>
    <row r="167" ht="13.2" customHeight="1" s="49">
      <c r="A167" s="33" t="n">
        <v>165</v>
      </c>
      <c r="B167" s="34" t="inlineStr">
        <is>
          <t>เป็น insulin sensitizer</t>
        </is>
      </c>
      <c r="C167" s="35" t="n"/>
      <c r="D167" s="34" t="inlineStr">
        <is>
          <t>Insulin lispro 4 units SC before meals</t>
        </is>
      </c>
      <c r="E167" s="34" t="inlineStr">
        <is>
          <t>Dapagliflozin 10 mg OD</t>
        </is>
      </c>
      <c r="F167" s="34" t="inlineStr">
        <is>
          <t>Semaglutide 0.5 mg SC weekly</t>
        </is>
      </c>
      <c r="G167" s="34" t="inlineStr">
        <is>
          <t>Metformin 500 mg BID</t>
        </is>
      </c>
      <c r="H167" s="34" t="inlineStr">
        <is>
          <t>Glipizide 5 mg OD</t>
        </is>
      </c>
      <c r="I167" s="33" t="inlineStr">
        <is>
          <t>1</t>
        </is>
      </c>
      <c r="J167" s="34"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35" t="n"/>
      <c r="L167" s="34" t="inlineStr">
        <is>
          <t>Diabetes mellitus</t>
        </is>
      </c>
      <c r="M167" s="35" t="inlineStr">
        <is>
          <t>Clinic</t>
        </is>
      </c>
      <c r="N167" s="34" t="inlineStr">
        <is>
          <t>ข้อ 1 (PLE_CC1_Key_Rx20_UBU.md)</t>
        </is>
      </c>
      <c r="O167" s="35" t="inlineStr">
        <is>
          <t>Mock</t>
        </is>
      </c>
      <c r="P167" s="35" t="inlineStr">
        <is>
          <t>Mock Rx20 UBU</t>
        </is>
      </c>
    </row>
    <row r="168" ht="13.2" customHeight="1" s="49">
      <c r="A168" s="33" t="n">
        <v>166</v>
      </c>
      <c r="B168" s="34" t="inlineStr">
        <is>
          <t>ไม่เลือกเป็นยาอันดับแรก เพราะลด HbA1Cไม่ดี</t>
        </is>
      </c>
      <c r="C168" s="35" t="n"/>
      <c r="D168" s="34" t="inlineStr">
        <is>
          <t>ผิด เพราะ เป็น insulin secretagogues</t>
        </is>
      </c>
      <c r="E168" s="34" t="inlineStr">
        <is>
          <t>Glipizide 5 mg OD</t>
        </is>
      </c>
      <c r="F168" s="34" t="inlineStr">
        <is>
          <t>Empagliflozin 10 mg OD</t>
        </is>
      </c>
      <c r="G168" s="34" t="inlineStr">
        <is>
          <t>Sitagliptin 100 mg OD</t>
        </is>
      </c>
      <c r="H168" s="34" t="inlineStr">
        <is>
          <t>Liraglutide 1.2 mg SC OD</t>
        </is>
      </c>
      <c r="I168" s="33" t="inlineStr">
        <is>
          <t>3</t>
        </is>
      </c>
      <c r="J168" s="34"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35" t="n"/>
      <c r="L168" s="34" t="inlineStr">
        <is>
          <t>Diabetes mellitus</t>
        </is>
      </c>
      <c r="M168" s="35" t="inlineStr">
        <is>
          <t>Clinic</t>
        </is>
      </c>
      <c r="N168" s="34" t="inlineStr">
        <is>
          <t>ข้อ 4 (PLE_CC1_Key_Rx20_UBU.md)</t>
        </is>
      </c>
      <c r="O168" s="35" t="inlineStr">
        <is>
          <t>Mock</t>
        </is>
      </c>
      <c r="P168" s="35" t="inlineStr">
        <is>
          <t>Mock Rx20 UBU</t>
        </is>
      </c>
    </row>
    <row r="169" ht="13.2" customHeight="1" s="49">
      <c r="A169" s="33" t="n">
        <v>167</v>
      </c>
      <c r="B169" s="34" t="inlineStr">
        <is>
          <t>ผิด เพราะ สามารถเลือกเป็นยาอันดับแรก และลด HbA1C ได้</t>
        </is>
      </c>
      <c r="C169" s="35" t="n"/>
      <c r="D169" s="34" t="inlineStr">
        <is>
          <t>Sitagliptin 100 mg OD</t>
        </is>
      </c>
      <c r="E169" s="34" t="inlineStr">
        <is>
          <t>Liraglutide 1.2 mg SC OD</t>
        </is>
      </c>
      <c r="F169" s="34" t="inlineStr">
        <is>
          <t>Levothyroxine 50 mcg OD</t>
        </is>
      </c>
      <c r="G169" s="34" t="inlineStr">
        <is>
          <t>Propylthiouracil 50 mg TID</t>
        </is>
      </c>
      <c r="H169" s="34" t="inlineStr">
        <is>
          <t>Methimazole 10 mg OD</t>
        </is>
      </c>
      <c r="I169" s="33" t="inlineStr">
        <is>
          <t>1</t>
        </is>
      </c>
      <c r="J169" s="34"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35" t="n"/>
      <c r="L169" s="34" t="inlineStr">
        <is>
          <t>Diabetes mellitus</t>
        </is>
      </c>
      <c r="M169" s="35" t="inlineStr">
        <is>
          <t>Clinic</t>
        </is>
      </c>
      <c r="N169" s="34" t="inlineStr">
        <is>
          <t>ข้อ 4 (PLE_CC1_Key_Rx20_UBU.md)</t>
        </is>
      </c>
      <c r="O169" s="35" t="inlineStr">
        <is>
          <t>Mock</t>
        </is>
      </c>
      <c r="P169" s="35" t="inlineStr">
        <is>
          <t>Mock Rx20 UBU</t>
        </is>
      </c>
    </row>
    <row r="170" ht="13.2" customHeight="1" s="49">
      <c r="A170" s="33" t="n">
        <v>168</v>
      </c>
      <c r="B170" s="34" t="inlineStr">
        <is>
          <t>Insulin NPH ก่อนนอน</t>
        </is>
      </c>
      <c r="C170" s="35" t="n"/>
      <c r="D170" s="34" t="inlineStr">
        <is>
          <t>Propylthiouracil 50 mg TID</t>
        </is>
      </c>
      <c r="E170" s="34" t="inlineStr">
        <is>
          <t>Methimazole 10 mg OD</t>
        </is>
      </c>
      <c r="F170" s="34" t="inlineStr">
        <is>
          <t>Pioglitazone 15 mg OD</t>
        </is>
      </c>
      <c r="G170" s="34" t="inlineStr">
        <is>
          <t>Insulin glargine 10 units SC HS</t>
        </is>
      </c>
      <c r="H170" s="34" t="inlineStr">
        <is>
          <t>Insulin lispro 4 units SC before meals</t>
        </is>
      </c>
      <c r="I170" s="33" t="inlineStr">
        <is>
          <t>1</t>
        </is>
      </c>
      <c r="J170" s="34"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35" t="n"/>
      <c r="L170" s="34" t="inlineStr">
        <is>
          <t>Diabetes mellitus</t>
        </is>
      </c>
      <c r="M170" s="35" t="inlineStr">
        <is>
          <t>Clinic</t>
        </is>
      </c>
      <c r="N170" s="34" t="inlineStr">
        <is>
          <t>ข้อ 2 (PLE_CC1_Key_Rx20_UBU.md)</t>
        </is>
      </c>
      <c r="O170" s="35" t="inlineStr">
        <is>
          <t>Mock</t>
        </is>
      </c>
      <c r="P170" s="35" t="inlineStr">
        <is>
          <t>Mock Rx20 UBU</t>
        </is>
      </c>
    </row>
    <row r="171" ht="13.2" customHeight="1" s="49">
      <c r="A171" s="33" t="n">
        <v>169</v>
      </c>
      <c r="B171" s="34" t="inlineStr">
        <is>
          <t>Insulin Aspart ก่อนอาหาร เช้า-กลางวัน-เย็น</t>
        </is>
      </c>
      <c r="C171" s="35" t="n"/>
      <c r="D171" s="34" t="inlineStr">
        <is>
          <t>Insulin glargine 10 units SC HS</t>
        </is>
      </c>
      <c r="E171" s="34" t="inlineStr">
        <is>
          <t>Insulin lispro 4 units SC before meals</t>
        </is>
      </c>
      <c r="F171" s="34" t="inlineStr">
        <is>
          <t>Dapagliflozin 10 mg OD</t>
        </is>
      </c>
      <c r="G171" s="34" t="inlineStr">
        <is>
          <t>Semaglutide 0.5 mg SC weekly</t>
        </is>
      </c>
      <c r="H171" s="34" t="inlineStr">
        <is>
          <t>Metformin 500 mg BID</t>
        </is>
      </c>
      <c r="I171" s="33" t="inlineStr">
        <is>
          <t>1</t>
        </is>
      </c>
      <c r="J171" s="34"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35" t="n"/>
      <c r="L171" s="34" t="inlineStr">
        <is>
          <t>Diabetes mellitus</t>
        </is>
      </c>
      <c r="M171" s="35" t="inlineStr">
        <is>
          <t>Clinic</t>
        </is>
      </c>
      <c r="N171" s="34" t="inlineStr">
        <is>
          <t>ข้อ 3 (PLE_CC1_Key_Rx20_UBU.md)</t>
        </is>
      </c>
      <c r="O171" s="35" t="inlineStr">
        <is>
          <t>Mock</t>
        </is>
      </c>
      <c r="P171" s="35" t="inlineStr">
        <is>
          <t>Mock Rx20 UBU</t>
        </is>
      </c>
    </row>
    <row r="172" ht="13.2" customHeight="1" s="49">
      <c r="A172" s="33" t="n">
        <v>170</v>
      </c>
      <c r="B172" s="34" t="inlineStr">
        <is>
          <t>Insulin Glargine เช้า - เย็น</t>
        </is>
      </c>
      <c r="C172" s="35" t="n"/>
      <c r="D172" s="34" t="inlineStr">
        <is>
          <t>Semaglutide 0.5 mg SC weekly</t>
        </is>
      </c>
      <c r="E172" s="34" t="inlineStr">
        <is>
          <t>Metformin 500 mg BID</t>
        </is>
      </c>
      <c r="F172" s="34" t="inlineStr">
        <is>
          <t>Glipizide 5 mg OD</t>
        </is>
      </c>
      <c r="G172" s="34" t="inlineStr">
        <is>
          <t>Empagliflozin 10 mg OD</t>
        </is>
      </c>
      <c r="H172" s="34" t="inlineStr">
        <is>
          <t>Sitagliptin 100 mg OD</t>
        </is>
      </c>
      <c r="I172" s="33" t="inlineStr">
        <is>
          <t>1</t>
        </is>
      </c>
      <c r="J172" s="34"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35" t="n"/>
      <c r="L172" s="34" t="inlineStr">
        <is>
          <t>Diabetes mellitus</t>
        </is>
      </c>
      <c r="M172" s="35" t="inlineStr">
        <is>
          <t>Clinic</t>
        </is>
      </c>
      <c r="N172" s="34" t="inlineStr">
        <is>
          <t>ข้อ 4 (PLE_CC1_Key_Rx20_UBU.md)</t>
        </is>
      </c>
      <c r="O172" s="35" t="inlineStr">
        <is>
          <t>Mock</t>
        </is>
      </c>
      <c r="P172" s="35" t="inlineStr">
        <is>
          <t>Mock Rx20 UBU</t>
        </is>
      </c>
    </row>
    <row r="173" ht="13.2" customHeight="1" s="49">
      <c r="A173" s="33" t="n">
        <v>171</v>
      </c>
      <c r="B173" s="34" t="inlineStr">
        <is>
          <t>ยาเบาหวานใด ไม่ต้องปรับขนาดยาในผู้ป่วยโรคไต</t>
        </is>
      </c>
      <c r="C173" s="35" t="n"/>
      <c r="D173" s="34" t="inlineStr">
        <is>
          <t>Pioglitazone</t>
        </is>
      </c>
      <c r="E173" s="34" t="inlineStr">
        <is>
          <t>Acarbose</t>
        </is>
      </c>
      <c r="F173" s="34" t="inlineStr">
        <is>
          <t>Sitagliptin</t>
        </is>
      </c>
      <c r="G173" s="34" t="inlineStr">
        <is>
          <t>Empaglifloxin</t>
        </is>
      </c>
      <c r="H173" s="34" t="inlineStr">
        <is>
          <t>Glibenclamide</t>
        </is>
      </c>
      <c r="I173" s="33" t="inlineStr">
        <is>
          <t>1</t>
        </is>
      </c>
      <c r="J173" s="34"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35" t="n"/>
      <c r="L173" s="34" t="inlineStr">
        <is>
          <t>Diabetes mellitus</t>
        </is>
      </c>
      <c r="M173" s="35" t="inlineStr">
        <is>
          <t>Clinic</t>
        </is>
      </c>
      <c r="N173" s="34" t="inlineStr">
        <is>
          <t>ข้อ 24 (PLE_CC1_Key_Rx20_UBU.md)</t>
        </is>
      </c>
      <c r="O173" s="35" t="inlineStr">
        <is>
          <t>Mock</t>
        </is>
      </c>
      <c r="P173" s="35" t="inlineStr">
        <is>
          <t>Mock Rx20 UBU</t>
        </is>
      </c>
    </row>
    <row r="174" ht="13.2" customHeight="1" s="49">
      <c r="A174" t="n">
        <v>172</v>
      </c>
      <c r="B174" t="inlineStr">
        <is>
          <t>3 เดือนต่อมาตรวจเพิ่ม FBS = 190, A1C= 8, LDL ปกติ ควรให้ยาใดเป็นอันดับแรกแก่ผู้ป่วย</t>
        </is>
      </c>
      <c r="D174" t="inlineStr">
        <is>
          <t>Metformin</t>
        </is>
      </c>
      <c r="E174" t="inlineStr">
        <is>
          <t>Simvastatin 20 mg HS</t>
        </is>
      </c>
      <c r="F174" t="inlineStr">
        <is>
          <t>Bisoprolol 5 mg OD</t>
        </is>
      </c>
      <c r="G174" t="inlineStr">
        <is>
          <t>Spironolactone 25 mg OD</t>
        </is>
      </c>
      <c r="H174" t="inlineStr">
        <is>
          <t>Pioglitazone 30 mg OD</t>
        </is>
      </c>
      <c r="I174" t="inlineStr">
        <is>
          <t>1</t>
        </is>
      </c>
      <c r="J174"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L174" t="inlineStr">
        <is>
          <t>Dyslipidemias</t>
        </is>
      </c>
      <c r="M174" t="inlineStr">
        <is>
          <t>Clinic</t>
        </is>
      </c>
      <c r="N174" t="inlineStr">
        <is>
          <t>PLE_CC1_2564_All_Key ข้อ 129</t>
        </is>
      </c>
    </row>
    <row r="175" ht="13.2" customHeight="1" s="49">
      <c r="A175" t="n">
        <v>173</v>
      </c>
      <c r="B175" t="inlineStr">
        <is>
          <t>ข้อใดคือความเสี่ยงที่อาจเกิดขึ้นเมื่อใช้ metformin เป็นระยะยาว - Retinopathy - Nephro - Neuro</t>
        </is>
      </c>
      <c r="D175" t="inlineStr">
        <is>
          <t>Bone fracture</t>
        </is>
      </c>
      <c r="E175" t="inlineStr">
        <is>
          <t>Bladder cancer</t>
        </is>
      </c>
      <c r="F175" t="inlineStr">
        <is>
          <t>Cyanocobalamin deficiency</t>
        </is>
      </c>
      <c r="G175" t="inlineStr">
        <is>
          <t>Edema</t>
        </is>
      </c>
      <c r="H175" t="inlineStr">
        <is>
          <t>Heart failure</t>
        </is>
      </c>
      <c r="I175" t="inlineStr">
        <is>
          <t>1</t>
        </is>
      </c>
      <c r="J175"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75" t="inlineStr">
        <is>
          <t>Hypertension</t>
        </is>
      </c>
      <c r="M175" t="inlineStr">
        <is>
          <t>Clinic</t>
        </is>
      </c>
      <c r="N175" t="inlineStr">
        <is>
          <t>ข้อ 60 (PLE_CC1_2562_Key.md)</t>
        </is>
      </c>
    </row>
    <row r="176" ht="13.2" customHeight="1" s="49">
      <c r="A176" t="n">
        <v>174</v>
      </c>
      <c r="B176" t="inlineStr">
        <is>
          <t>หากผู้ป่วยท้อง 4 เดือนแล้วต้องรักษาได้รับยา MMI อยู่ควรทำอย่างไร dose dependent . X ิ Galerveining &gt; 30mg/d &amp;side : PTU in esier dose independent ~</t>
        </is>
      </c>
      <c r="D176" t="inlineStr">
        <is>
          <t>เปลี่ยนเป็น PTU ไนไตรมาสแรก</t>
        </is>
      </c>
      <c r="E176" t="inlineStr">
        <is>
          <t>ใช้ MMI ต่อ</t>
        </is>
      </c>
      <c r="F176" t="inlineStr">
        <is>
          <t>เปลี่ยนเป็น PTU จนคลอด</t>
        </is>
      </c>
      <c r="G176" t="inlineStr">
        <is>
          <t>ลดขนาดยา MMI</t>
        </is>
      </c>
      <c r="H176" t="inlineStr">
        <is>
          <t>เพิ่มขนาดยา MMI</t>
        </is>
      </c>
      <c r="I176" t="inlineStr">
        <is>
          <t>1</t>
        </is>
      </c>
      <c r="J17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6" t="inlineStr">
        <is>
          <t>Hypertension</t>
        </is>
      </c>
      <c r="M176" t="inlineStr">
        <is>
          <t>Clinic</t>
        </is>
      </c>
      <c r="N176" t="inlineStr">
        <is>
          <t>ข้อ 27 (PLE_CC1_2562_Key.md)</t>
        </is>
      </c>
    </row>
    <row r="177" ht="13.2" customHeight="1" s="49">
      <c r="A177" t="n">
        <v>175</v>
      </c>
      <c r="B177" t="inlineStr">
        <is>
          <t>คนไข้น ้าตาลสูงมาก HbA1C 10%, FBS 320 mg/dL, SCr 2 ได้รับ Insulin Mixtard 8-0-4 ac ข้อใด ถูกต้องเกี่ยวกับ Mixtard</t>
        </is>
      </c>
      <c r="D177" t="inlineStr">
        <is>
          <t>ออกฤทธิ์ช้ากว่า Glulisine</t>
        </is>
      </c>
      <c r="E177" t="inlineStr">
        <is>
          <t>ประกอบด้วย NPH 30%, RI 70%</t>
        </is>
      </c>
      <c r="F177" t="inlineStr">
        <is>
          <t>แก้ไขภาวะ Diabetic ketoacidosis</t>
        </is>
      </c>
      <c r="G177" t="inlineStr">
        <is>
          <t>เกิด Hypoglycemia น้อยกว่า Lispro</t>
        </is>
      </c>
      <c r="H177" t="inlineStr">
        <is>
          <t>สามารถฉีดได้ทั ง SC และ IV</t>
        </is>
      </c>
      <c r="I177" t="inlineStr">
        <is>
          <t>1</t>
        </is>
      </c>
      <c r="J177"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7" t="inlineStr">
        <is>
          <t>Hypertension</t>
        </is>
      </c>
      <c r="M177" t="inlineStr">
        <is>
          <t>Clinic</t>
        </is>
      </c>
      <c r="N177" t="inlineStr">
        <is>
          <t>ข้อ 5 (PLE_CC1_2560 22 April Set 1.md)</t>
        </is>
      </c>
    </row>
    <row r="178" ht="13.2" customHeight="1" s="49">
      <c r="A178" t="n">
        <v>176</v>
      </c>
      <c r="B178" t="inlineStr">
        <is>
          <t>ยาตัวใดท้าให้เกิด hypoglycemia ได้มากที่สุด</t>
        </is>
      </c>
      <c r="D178" t="inlineStr">
        <is>
          <t>Glibenclamide</t>
        </is>
      </c>
      <c r="E178" t="inlineStr">
        <is>
          <t>Metformin</t>
        </is>
      </c>
      <c r="F178" t="inlineStr">
        <is>
          <t>Insulin glargine</t>
        </is>
      </c>
      <c r="G178" t="inlineStr">
        <is>
          <t>Acarbose</t>
        </is>
      </c>
      <c r="H178" t="inlineStr">
        <is>
          <t>Pioglitazone</t>
        </is>
      </c>
      <c r="I178" t="inlineStr">
        <is>
          <t>1</t>
        </is>
      </c>
      <c r="J178"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8" t="inlineStr">
        <is>
          <t>Hypertension</t>
        </is>
      </c>
      <c r="M178" t="inlineStr">
        <is>
          <t>Clinic</t>
        </is>
      </c>
      <c r="N178" t="inlineStr">
        <is>
          <t>ข้อ 19 (PLE_CC1_2559.md)</t>
        </is>
      </c>
    </row>
    <row r="179" ht="13.2" customHeight="1" s="49">
      <c r="A179" t="n">
        <v>177</v>
      </c>
      <c r="B179" t="inlineStr">
        <is>
          <t>ข้อใดคือผลข้างเคียงของ Phentermine</t>
        </is>
      </c>
      <c r="D179" t="inlineStr">
        <is>
          <t>Hypertension</t>
        </is>
      </c>
      <c r="E179" t="inlineStr">
        <is>
          <t>Hyperkalemia</t>
        </is>
      </c>
      <c r="F179" t="inlineStr">
        <is>
          <t>Proteinurea</t>
        </is>
      </c>
      <c r="G179" t="inlineStr">
        <is>
          <t>Hyperphosphatemia</t>
        </is>
      </c>
      <c r="H179" t="inlineStr">
        <is>
          <t>Hyperuricemia</t>
        </is>
      </c>
      <c r="I179" t="inlineStr">
        <is>
          <t>1</t>
        </is>
      </c>
      <c r="J179"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79" t="inlineStr">
        <is>
          <t>Hypertension</t>
        </is>
      </c>
      <c r="M179" t="inlineStr">
        <is>
          <t>Clinic</t>
        </is>
      </c>
      <c r="N179" t="inlineStr">
        <is>
          <t>ข้อ 75 (PLE_CC1_2559.md)</t>
        </is>
      </c>
    </row>
    <row r="180" ht="13.2" customHeight="1" s="49">
      <c r="A180" t="n">
        <v>178</v>
      </c>
      <c r="B180" t="inlineStr">
        <is>
          <t>ข้อใดถูกต้องที่สุดเกี่ยวกับภาวะ hyperthyroidism</t>
        </is>
      </c>
      <c r="D180" t="inlineStr">
        <is>
          <t>grave’s disease คือสาเหตุหลัก</t>
        </is>
      </c>
      <c r="E180" t="inlineStr">
        <is>
          <t>hashimotoคือสาเหตุหลัก</t>
        </is>
      </c>
      <c r="F180" t="inlineStr">
        <is>
          <t>หากพบภาวะนี้ในเด็ก มักพิจารณาการผ่าตัด</t>
        </is>
      </c>
      <c r="G180" t="inlineStr">
        <is>
          <t>หากพบภาวะนี้ในผู้สูงอายุ มักพิจารณาการผ่าตัด</t>
        </is>
      </c>
      <c r="H180" t="inlineStr">
        <is>
          <t>ระดับ euthyroid คือระดับฮอร์โมนไทรอยด์อยู่ในช่วงปกติ</t>
        </is>
      </c>
      <c r="I180" t="n">
        <v>1</v>
      </c>
      <c r="J180"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L180" t="inlineStr">
        <is>
          <t>Hypertension</t>
        </is>
      </c>
      <c r="M180" t="inlineStr">
        <is>
          <t>Clinic</t>
        </is>
      </c>
      <c r="N180" t="inlineStr">
        <is>
          <t>ข้อ 2 (PLE_CC1_2554 SET2.md)</t>
        </is>
      </c>
    </row>
    <row r="181" ht="13.2" customHeight="1" s="49">
      <c r="A181" t="n">
        <v>179</v>
      </c>
      <c r="B181" t="inlineStr">
        <is>
          <t>ผู้ป่วยเพศหญิง อายุ 50 ปี เพิ่งได้รับการวินิจฉัยว่าเป็นเบาหวานชนิดที่ 2 และได้รับยา Metformin ข้อใด ถูกต้องเกี่ยวกับยานี้</t>
        </is>
      </c>
      <c r="D181" t="inlineStr">
        <is>
          <t>เพิ่มการหลั่งอินซูลินจาก β-cell ของตับอ่อน</t>
        </is>
      </c>
      <c r="E181" t="inlineStr">
        <is>
          <t>ลดการดูดซึมกลูโคสจากทางเดินอาหาร</t>
        </is>
      </c>
      <c r="F181" t="inlineStr">
        <is>
          <t>ลดการสังเคราะห์กลูโคสจากตับ</t>
        </is>
      </c>
      <c r="G181" t="inlineStr">
        <is>
          <t>ลด glucose uptake และการใช้กลูโคสในเซลล์เป้าหมายของอินซูลิน</t>
        </is>
      </c>
      <c r="H181" t="inlineStr">
        <is>
          <t>ผลข้างเคียงที่พบบ่อยคือ ภาวะกลูโคสในเลือดต่ำ (Hypoglycemia)</t>
        </is>
      </c>
      <c r="I181" t="inlineStr">
        <is>
          <t>1</t>
        </is>
      </c>
      <c r="J181"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1" t="inlineStr">
        <is>
          <t>Hypertension</t>
        </is>
      </c>
      <c r="M181" t="inlineStr">
        <is>
          <t>Clinic</t>
        </is>
      </c>
      <c r="N181" t="inlineStr">
        <is>
          <t>ข้อ 2 (PLE_CC1_Practice_Exam.md)</t>
        </is>
      </c>
    </row>
    <row r="182" ht="13.2" customHeight="1" s="49">
      <c r="A182" t="n">
        <v>180</v>
      </c>
      <c r="B182"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D182" t="inlineStr">
        <is>
          <t>Insulin Lispro มี onset ในการออกฤทธิ์ที่เร็วกว่า NPH และจัดอยู่ใน Rapid acting insulin</t>
        </is>
      </c>
      <c r="E182"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82" t="inlineStr">
        <is>
          <t>Insulin Aspart บริหารยาโดยฉีดเข้าใต้ผิวหนังได้ทันทีก่อนมื้ออาหาร</t>
        </is>
      </c>
      <c r="G182" t="inlineStr">
        <is>
          <t>NPH insulin ไม่ใช้ในการรักษาผู้ป่วย Diabetic ketoacidosis</t>
        </is>
      </c>
      <c r="H182" t="inlineStr">
        <is>
          <t>สามารถฉีดได้ทั้ง SC และ IV</t>
        </is>
      </c>
      <c r="I182" t="inlineStr">
        <is>
          <t>1</t>
        </is>
      </c>
      <c r="J182" t="inlineStr">
        <is>
          <t>✅ คำตอบที่ถูกต้อง: ข้อ ข. NPH นิยมใช้ผสมกับ Regular insulin เพราะ NPH ออกฤทธิ์รวดเร็ว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ข. ระบุว่า NPH ออกฤทธิ์รวดเร็วกว่า Regular insulin ซึ่งผิดตรงกันข้าม: NPH เป็น Intermediate-acting (onset 2-4 ชม, peak 4-10 ชม) ส่วน Regular insulin เป็น Short-acting (onset 30-60 นาที) จึงออกฤทธิ์ได้เร็วกว่า NPH เหตุผลที่ใช้ NPH ผสม Regular คือ Regular ออกฤทธิ์เร็วดูแลหลังอาหาร ส่วน NPH ออกฤทธิ์ช้าดูแลช่วงกลางวัน-กลางคืน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L182" t="inlineStr">
        <is>
          <t>Hypertension</t>
        </is>
      </c>
      <c r="M182" t="inlineStr">
        <is>
          <t>Clinic</t>
        </is>
      </c>
      <c r="N182" t="inlineStr">
        <is>
          <t>ข้อ 3 (PLE_CC1_Practice_Exam.md)</t>
        </is>
      </c>
    </row>
    <row r="183" ht="13.2" customHeight="1" s="49">
      <c r="A183" t="n">
        <v>181</v>
      </c>
      <c r="B183" t="inlineStr">
        <is>
          <t>ผู้ป่วยหญิงไทยคู่ อายุ 45 ปี น้ำหนัก 86 กิโลกรัม สูง 168 ซม. CC: มาพบแพทย์ตามนัด HPI: Chronic kidney disease stage 4</t>
        </is>
      </c>
      <c r="D183" t="inlineStr">
        <is>
          <t>ไม่เหมาะสม เนื่องจากขนาดยา Metformin สูงเกินไป</t>
        </is>
      </c>
      <c r="E183" t="inlineStr">
        <is>
          <t>ไม่เมาะสม เนื่องจากขนาดยา Metformin ต่ำเกินไป</t>
        </is>
      </c>
      <c r="F183" t="inlineStr">
        <is>
          <t>ไม่เหมาะสม เนื่องจากผู้ป่วยมีค่า eGFR น้อยกว่า 30 mL/min/1.73 mଶ</t>
        </is>
      </c>
      <c r="G183" t="inlineStr">
        <is>
          <t>เหมาะสม เนื่องจากยานี้ไม่ทำให้เกิด hypoglycemia</t>
        </is>
      </c>
      <c r="H183" t="inlineStr">
        <is>
          <t>เหมาะสม เนื่องจากผู้ป่วยมีน้ำหนักตัวเกิน</t>
        </is>
      </c>
      <c r="I183" t="inlineStr">
        <is>
          <t>1</t>
        </is>
      </c>
      <c r="J183"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3" t="inlineStr">
        <is>
          <t>Hypertension</t>
        </is>
      </c>
      <c r="M183" t="inlineStr">
        <is>
          <t>Clinic</t>
        </is>
      </c>
      <c r="N183" t="inlineStr">
        <is>
          <t>ข้อ 8 (PLE_CC1_Practice_Exam.md)</t>
        </is>
      </c>
    </row>
    <row r="184" ht="13.2" customHeight="1" s="49">
      <c r="A184" t="n">
        <v>182</v>
      </c>
      <c r="B184"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D184" t="inlineStr">
        <is>
          <t>ไม่ควรเปลี่ยนยา เนื่องจากยาเดิมมีประสิทธิภาพดีอยู่แล้ว</t>
        </is>
      </c>
      <c r="E184" t="inlineStr">
        <is>
          <t>ควรเปลี่ยนยา โดยใช้ยา Glibenclamide แทน</t>
        </is>
      </c>
      <c r="F184" t="inlineStr">
        <is>
          <t>ควรเปลี่ยนยา โดยใช้ยา Acarbose แทน</t>
        </is>
      </c>
      <c r="G184" t="inlineStr">
        <is>
          <t>ควรปลี่ยนยา โดยใช้ยา Repaglinide แทน</t>
        </is>
      </c>
      <c r="H184" t="inlineStr">
        <is>
          <t>มีข้อถูกมากกว่า1ข้อ</t>
        </is>
      </c>
      <c r="I184" t="inlineStr">
        <is>
          <t>1</t>
        </is>
      </c>
      <c r="J184"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184" t="inlineStr">
        <is>
          <t>Hypertension</t>
        </is>
      </c>
      <c r="M184" t="inlineStr">
        <is>
          <t>Clinic</t>
        </is>
      </c>
      <c r="N184" t="inlineStr">
        <is>
          <t>ข้อ 15 (PLE_CC1_Practice_Exam.md)</t>
        </is>
      </c>
    </row>
    <row r="185" ht="13.2" customHeight="1" s="49">
      <c r="A185" t="n">
        <v>183</v>
      </c>
      <c r="B185"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D185" t="inlineStr">
        <is>
          <t>Prader-Willi Syndrome</t>
        </is>
      </c>
      <c r="E185" t="inlineStr">
        <is>
          <t>Cushing's syndrome</t>
        </is>
      </c>
      <c r="F185" t="inlineStr">
        <is>
          <t>Hyperthyroidism</t>
        </is>
      </c>
      <c r="G185" t="inlineStr">
        <is>
          <t>ข้อ ก และ ข</t>
        </is>
      </c>
      <c r="H185" t="inlineStr">
        <is>
          <t>ถูกทุกข้อ</t>
        </is>
      </c>
      <c r="I185" t="inlineStr">
        <is>
          <t>1</t>
        </is>
      </c>
      <c r="J185"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85" t="inlineStr">
        <is>
          <t>Hypertension</t>
        </is>
      </c>
      <c r="M185" t="inlineStr">
        <is>
          <t>Clinic</t>
        </is>
      </c>
      <c r="N185" t="inlineStr">
        <is>
          <t>ข้อ 33 (PLE_CC1_Practice_Exam.md)</t>
        </is>
      </c>
    </row>
    <row r="186" ht="13.2" customHeight="1" s="49">
      <c r="A186" t="n">
        <v>184</v>
      </c>
      <c r="B186" t="inlineStr">
        <is>
          <t>ผู้ป่วยน้ำตาลสูงมาก HbA1C 10.0 %, FBS 320 mg/dL, SCr 2 mg/dL ได้รับ Insulin Mixtard 8- 0-4 ac ข้อใดถูกต้องเกี่ยวกับ Insulin Mixtard</t>
        </is>
      </c>
      <c r="D186" t="inlineStr">
        <is>
          <t>ออกฤทธิ์ช้ากว่า Glulisine</t>
        </is>
      </c>
      <c r="E186" t="inlineStr">
        <is>
          <t>ประกอบด้วย NPH 30%, RI 70%</t>
        </is>
      </c>
      <c r="F186" t="inlineStr">
        <is>
          <t>แก้ไขภาวะ Diabetic ketoacidosis</t>
        </is>
      </c>
      <c r="G186" t="inlineStr">
        <is>
          <t>เกิด Hypoglycemia น้อยกว่า Lispro</t>
        </is>
      </c>
      <c r="H186" t="inlineStr">
        <is>
          <t>สามารถฉีดได้ทั้ง SC และ IV</t>
        </is>
      </c>
      <c r="I186" t="inlineStr">
        <is>
          <t>1</t>
        </is>
      </c>
      <c r="J18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L186" t="inlineStr">
        <is>
          <t>Hypertension</t>
        </is>
      </c>
      <c r="M186" t="inlineStr">
        <is>
          <t>Clinic</t>
        </is>
      </c>
      <c r="N186" t="inlineStr">
        <is>
          <t>ข้อ 78 (PLE_CC1_Key_Rx20_UBU.md)</t>
        </is>
      </c>
    </row>
    <row r="187" ht="13.2" customHeight="1" s="49">
      <c r="A187" t="n">
        <v>185</v>
      </c>
      <c r="B187" t="inlineStr">
        <is>
          <t>เพราะเหตุใดผู้ป่วยโรคไตจึงควรหยุดใช้ Metformin</t>
        </is>
      </c>
      <c r="D187" t="inlineStr">
        <is>
          <t>ยังไม่มีการศึกษาข้อมูลความปลอดภัยของยาในผู้ป่วยโรคไต</t>
        </is>
      </c>
      <c r="E187" t="inlineStr">
        <is>
          <t>Metabolite ของยาเป็นพิษต่อตับและไต</t>
        </is>
      </c>
      <c r="F187" t="inlineStr">
        <is>
          <t>ยาสะสมจึงเพิ่มความเสี่ยงของการเกิด Lactic acidosis</t>
        </is>
      </c>
      <c r="G187" t="inlineStr">
        <is>
          <t>ยาเป็นพิษต่อไตโดยตรง</t>
        </is>
      </c>
      <c r="H187" t="inlineStr">
        <is>
          <t>ยามีผลเพิ่มกระบวนการ reabsorption ของไต ทำให้ไตทำงานหนักขึ้น</t>
        </is>
      </c>
      <c r="I187" t="inlineStr">
        <is>
          <t>3</t>
        </is>
      </c>
      <c r="J187"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L187" t="inlineStr">
        <is>
          <t>Hypertension</t>
        </is>
      </c>
      <c r="M187" t="inlineStr">
        <is>
          <t>Clinic</t>
        </is>
      </c>
      <c r="N187" t="inlineStr">
        <is>
          <t>ข้อ 23 (PLE_CC1_Key_Rx20_UBU.md)</t>
        </is>
      </c>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Q198"/>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การใช้ยาลดกรดในข้อใดต่อไปนี้ในขนาดสูงติดต่อกันเป็นเวลานาน จะทำให้เกิด acid rebound</t>
        </is>
      </c>
      <c r="C3" s="35" t="n"/>
      <c r="D3" s="34" t="inlineStr">
        <is>
          <t>Aluminium hydroxide</t>
        </is>
      </c>
      <c r="E3" s="34" t="inlineStr">
        <is>
          <t>Sodium bicarbonate</t>
        </is>
      </c>
      <c r="F3" s="34" t="inlineStr">
        <is>
          <t>Calcium carbonate</t>
        </is>
      </c>
      <c r="G3" s="34" t="inlineStr">
        <is>
          <t>Hydrogen peroxide</t>
        </is>
      </c>
      <c r="H3" s="34" t="inlineStr">
        <is>
          <t>Sodium chloride</t>
        </is>
      </c>
      <c r="I3" s="33" t="inlineStr">
        <is>
          <t>3</t>
        </is>
      </c>
      <c r="J3" s="34"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35" t="n"/>
      <c r="L3" s="34" t="inlineStr">
        <is>
          <t>GERD</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ข้อใดผิดเกี่ยวกับการใช้ยา bisacodyl</t>
        </is>
      </c>
      <c r="C4" s="35" t="n"/>
      <c r="D4" s="34" t="inlineStr">
        <is>
          <t>ห้ามใช้ในหญิงตั้งครรภ์</t>
        </is>
      </c>
      <c r="E4" s="34" t="inlineStr">
        <is>
          <t>ห้ามใช้กับยาลดกรด</t>
        </is>
      </c>
      <c r="F4" s="34" t="inlineStr">
        <is>
          <t>ใช้เตรียมผู้ป่วยก่อนการผ่าตัด</t>
        </is>
      </c>
      <c r="G4" s="34" t="inlineStr">
        <is>
          <t>มีผลกดระบบประสาทส่วนกลาง</t>
        </is>
      </c>
      <c r="H4" s="34" t="inlineStr">
        <is>
          <t>เป็น stimulant laxative</t>
        </is>
      </c>
      <c r="I4" s="33" t="inlineStr">
        <is>
          <t>1</t>
        </is>
      </c>
      <c r="J4" s="34"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35" t="n"/>
      <c r="L4" s="34" t="inlineStr">
        <is>
          <t>Diarrhea &amp; Constipation</t>
        </is>
      </c>
      <c r="M4" s="35" t="inlineStr">
        <is>
          <t>Clinic</t>
        </is>
      </c>
      <c r="N4" s="34" t="inlineStr">
        <is>
          <t>ข้อ 2 Pharma Plus เล่มม่วง (เฉลยข้อ ก ง)</t>
        </is>
      </c>
      <c r="O4" s="35" t="inlineStr">
        <is>
          <t>Mock</t>
        </is>
      </c>
      <c r="P4" s="35" t="inlineStr">
        <is>
          <t>Pharma Plus เล่มม่วง</t>
        </is>
      </c>
    </row>
    <row r="5" ht="13.2" customHeight="1" s="49">
      <c r="A5" s="33" t="n">
        <v>3</v>
      </c>
      <c r="B5" s="34" t="inlineStr">
        <is>
          <t>ถ้าต้องการใช้ยาระบายเพื่อออกฤทธิ์ทันที ควรใช้ข้อใด</t>
        </is>
      </c>
      <c r="C5" s="35" t="n"/>
      <c r="D5" s="34" t="inlineStr">
        <is>
          <t>Psyllium</t>
        </is>
      </c>
      <c r="E5" s="34" t="inlineStr">
        <is>
          <t>Senna</t>
        </is>
      </c>
      <c r="F5" s="34" t="inlineStr">
        <is>
          <t>Bisacodyl</t>
        </is>
      </c>
      <c r="G5" s="34" t="inlineStr">
        <is>
          <t>Enema</t>
        </is>
      </c>
      <c r="H5" s="34" t="inlineStr">
        <is>
          <t>Mucilin</t>
        </is>
      </c>
      <c r="I5" s="33" t="inlineStr">
        <is>
          <t>4</t>
        </is>
      </c>
      <c r="J5" s="34"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35" t="n"/>
      <c r="L5" s="34" t="inlineStr">
        <is>
          <t>GERD</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สารอนินทรีย์ใดมีคุณสมบัติเป็นยาถ่ายหรือยาระบาย ซึ่งสามารถให้หลังจากที่ได้รับยา niclosamide แล้ว</t>
        </is>
      </c>
      <c r="C6" s="35" t="n"/>
      <c r="D6" s="34" t="inlineStr">
        <is>
          <t>Mg(OH)2</t>
        </is>
      </c>
      <c r="E6" s="34" t="inlineStr">
        <is>
          <t>Al(OH)3</t>
        </is>
      </c>
      <c r="F6" s="34" t="inlineStr">
        <is>
          <t>Na2SO4</t>
        </is>
      </c>
      <c r="G6" s="34" t="inlineStr">
        <is>
          <t>Na2CO3</t>
        </is>
      </c>
      <c r="H6" s="34" t="inlineStr">
        <is>
          <t>NaCl</t>
        </is>
      </c>
      <c r="I6" s="33" t="inlineStr">
        <is>
          <t>1</t>
        </is>
      </c>
      <c r="J6" s="34"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35" t="n"/>
      <c r="L6" s="34" t="inlineStr">
        <is>
          <t>GERD</t>
        </is>
      </c>
      <c r="M6" s="35" t="inlineStr">
        <is>
          <t>Clinic</t>
        </is>
      </c>
      <c r="N6" s="34" t="inlineStr">
        <is>
          <t>ข้อ 4 Pharma Plus เล่มม่วง (เฉลยข้อ ก จ)</t>
        </is>
      </c>
      <c r="O6" s="35" t="inlineStr">
        <is>
          <t>Mock</t>
        </is>
      </c>
      <c r="P6" s="35" t="inlineStr">
        <is>
          <t>Pharma Plus เล่มม่วง</t>
        </is>
      </c>
    </row>
    <row r="7" ht="13.2" customHeight="1" s="49">
      <c r="A7" s="33" t="n">
        <v>5</v>
      </c>
      <c r="B7" s="34" t="inlineStr">
        <is>
          <t>ผลิตภัณฑ์ยาในข้อใดมีข้อบ่งใช้เกี่ยวข้องกับโรคริดสีดวงทวารน้อยที่สุด</t>
        </is>
      </c>
      <c r="C7" s="35" t="n"/>
      <c r="D7" s="34" t="inlineStr">
        <is>
          <t>Proctosedyl</t>
        </is>
      </c>
      <c r="E7" s="34" t="inlineStr">
        <is>
          <t>Anusal</t>
        </is>
      </c>
      <c r="F7" s="34" t="inlineStr">
        <is>
          <t>Bactroban</t>
        </is>
      </c>
      <c r="G7" s="34" t="inlineStr">
        <is>
          <t>Essaven</t>
        </is>
      </c>
      <c r="H7" s="34" t="inlineStr">
        <is>
          <t>Siduol</t>
        </is>
      </c>
      <c r="I7" s="33" t="inlineStr">
        <is>
          <t>3</t>
        </is>
      </c>
      <c r="J7" s="34"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35" t="n"/>
      <c r="L7" s="34" t="inlineStr">
        <is>
          <t>GERD</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35" t="n"/>
      <c r="D8" s="34" t="inlineStr">
        <is>
          <t>มักมีถ่ายอุจจาระเป็นเลือดสีคล้ำดำ</t>
        </is>
      </c>
      <c r="E8" s="34" t="inlineStr">
        <is>
          <t>ริดสีดวงแบ่งเป็น 2 ประเภท คือริดสีดวงภายในและริดสีดวงภายนอก</t>
        </is>
      </c>
      <c r="F8" s="34"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34" t="inlineStr">
        <is>
          <t>ริดสีดวงภายนอก คือ เนื้อเยื่อที่อยู่ใต้ dentate line ยื่นออกเป็นติ่งเนื้อ</t>
        </is>
      </c>
      <c r="H8" s="34"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33" t="inlineStr">
        <is>
          <t>1</t>
        </is>
      </c>
      <c r="J8" s="34"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GERD</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ข้อใดเป็นขนาดใช้ของยา daflon 500 mg ในระยะเกิด hemorrhoidal attacks</t>
        </is>
      </c>
      <c r="C9" s="35" t="n"/>
      <c r="D9" s="34" t="inlineStr">
        <is>
          <t>2 tablets daily</t>
        </is>
      </c>
      <c r="E9" s="34" t="inlineStr">
        <is>
          <t>6 tablets daily for 4 days followed by 4 tablets daily for 3 days</t>
        </is>
      </c>
      <c r="F9" s="34" t="inlineStr">
        <is>
          <t>4 tablets daily for 4 days followed by 3 tablets daily for 3 days</t>
        </is>
      </c>
      <c r="G9" s="34" t="inlineStr">
        <is>
          <t>1-tab tid pc for 5 days</t>
        </is>
      </c>
      <c r="H9" s="34" t="inlineStr">
        <is>
          <t>1-tab OD</t>
        </is>
      </c>
      <c r="I9" s="33" t="inlineStr">
        <is>
          <t>2</t>
        </is>
      </c>
      <c r="J9" s="34"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35" t="n"/>
      <c r="L9" s="34" t="inlineStr">
        <is>
          <t>GERD</t>
        </is>
      </c>
      <c r="M9" s="35" t="inlineStr">
        <is>
          <t>Clinic</t>
        </is>
      </c>
      <c r="N9" s="34" t="inlineStr">
        <is>
          <t>ข้อ 7 Pharma Plus เล่มม่วง (เฉลยข้อ ข)</t>
        </is>
      </c>
      <c r="O9" s="35" t="inlineStr">
        <is>
          <t>Mock</t>
        </is>
      </c>
      <c r="P9" s="35" t="inlineStr">
        <is>
          <t>Pharma Plus เล่มม่วง</t>
        </is>
      </c>
    </row>
    <row r="10" ht="13.2" customHeight="1" s="49">
      <c r="A10" s="33" t="n">
        <v>8</v>
      </c>
      <c r="B10" s="34"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35" t="n"/>
      <c r="D10" s="34" t="inlineStr">
        <is>
          <t>ไทพอยด์ จำเป็นต้องใช้ยาปฏิชีวนะ</t>
        </is>
      </c>
      <c r="E10" s="34" t="inlineStr">
        <is>
          <t>บิดมีตัว จำเป็นต้องใช้ยาปฏิชีวนะ</t>
        </is>
      </c>
      <c r="F10" s="34" t="inlineStr">
        <is>
          <t>บิดไม่มีตัว ไม่จำเป็นต้องใช้ยาปฏิชีวนะ</t>
        </is>
      </c>
      <c r="G10" s="34" t="inlineStr">
        <is>
          <t>อหิวาต์ จำเป็นต้องใช้ยาปฏิชีวนะ</t>
        </is>
      </c>
      <c r="H10" s="34" t="inlineStr">
        <is>
          <t>อาหารเป็นพิษ ไม่จำเป็นต้องใช้ยาปฏิชีวนะ</t>
        </is>
      </c>
      <c r="I10" s="33" t="inlineStr">
        <is>
          <t>4</t>
        </is>
      </c>
      <c r="J10" s="34"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Loperamide = Peripheral mu-opioid agonist; ไม่ผ่าน BBB; ห้ามใช้ใน invasive diarrhea/เด็กเล็ก</t>
        </is>
      </c>
      <c r="K10" s="35" t="n"/>
      <c r="L10" s="34" t="inlineStr">
        <is>
          <t>Diarrhea &amp; Constipation</t>
        </is>
      </c>
      <c r="M10" s="35" t="inlineStr">
        <is>
          <t>Clinic</t>
        </is>
      </c>
      <c r="N10" s="34" t="inlineStr">
        <is>
          <t>ข้อ 8 Pharma Plus เล่มม่วง (เฉลยข้อ ง)</t>
        </is>
      </c>
      <c r="O10" s="35" t="inlineStr">
        <is>
          <t>Mock</t>
        </is>
      </c>
      <c r="P10" s="35" t="inlineStr">
        <is>
          <t>Pharma Plus เล่มม่วง</t>
        </is>
      </c>
    </row>
    <row r="11" ht="13.2" customHeight="1" s="49">
      <c r="A11" s="33" t="n">
        <v>9</v>
      </c>
      <c r="B11" s="34" t="inlineStr">
        <is>
          <t>คำแนะนำในข้อใดไม่ถูกต้อง</t>
        </is>
      </c>
      <c r="C11" s="35" t="n"/>
      <c r="D11" s="34" t="inlineStr">
        <is>
          <t>สามารถเตรียมผงน้ำตาลเกลือแร่เองได้ โดยใช้น้ำตาลทรายผสมกับเกลือแกง</t>
        </is>
      </c>
      <c r="E11" s="34" t="inlineStr">
        <is>
          <t>เมื่อละลายผงน้ำตาลเกลือแร่แล้ว ควรใช้ภายใน 24 ชั่วโมง</t>
        </is>
      </c>
      <c r="F11" s="34" t="inlineStr">
        <is>
          <t>ควรให้ดื่มนมที่ชงเข้มข้นกว่าปกติเพื่อชดเชยน้ำที่สูญเสียไป</t>
        </is>
      </c>
      <c r="G11" s="34" t="inlineStr">
        <is>
          <t>ล้างมือด้วยน้ำกับสบู่ทุกครั้งก่อนรับประทานอาหาร</t>
        </is>
      </c>
      <c r="H11" s="34" t="inlineStr">
        <is>
          <t>กินอาหารสุก ไม่มีแมลงวันตอม</t>
        </is>
      </c>
      <c r="I11" s="33" t="inlineStr">
        <is>
          <t>3</t>
        </is>
      </c>
      <c r="J11" s="34"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BSS ห้ามในเด็ก (Reye's), aspirin allergy; ทำลิ้น/อุจจาระดำชั่วคราว</t>
        </is>
      </c>
      <c r="K11" s="35" t="n"/>
      <c r="L11" s="34" t="inlineStr">
        <is>
          <t>Diarrhea &amp; Constipation</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การให้ Kaolin - Pectin แก่ผู้ป่วยเพื่อ</t>
        </is>
      </c>
      <c r="C12" s="35" t="n"/>
      <c r="D12" s="34" t="inlineStr">
        <is>
          <t>ดูดซับสารพิษ</t>
        </is>
      </c>
      <c r="E12" s="34" t="inlineStr">
        <is>
          <t>บรรเทาการสูญเสียน้ำและเกลือแร่จากร่างกาย</t>
        </is>
      </c>
      <c r="F12" s="34" t="inlineStr">
        <is>
          <t>มีคุณสมบัติเป็นประจุบวก</t>
        </is>
      </c>
      <c r="G12" s="34" t="inlineStr">
        <is>
          <t>ดูดน้ำเข้าหาตัว</t>
        </is>
      </c>
      <c r="H12" s="34" t="inlineStr">
        <is>
          <t>เพิ่มการดูดกลับน้ำและอิเลคโทรไลต์</t>
        </is>
      </c>
      <c r="I12" s="33" t="inlineStr">
        <is>
          <t>1</t>
        </is>
      </c>
      <c r="J12" s="34"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35" t="n"/>
      <c r="L12" s="34" t="inlineStr">
        <is>
          <t>GERD</t>
        </is>
      </c>
      <c r="M12" s="35" t="inlineStr">
        <is>
          <t>Clinic</t>
        </is>
      </c>
      <c r="N12" s="34" t="inlineStr">
        <is>
          <t>ข้อ 10 Pharma Plus เล่มม่วง (เฉลยข้อ ก)</t>
        </is>
      </c>
      <c r="O12" s="35" t="inlineStr">
        <is>
          <t>Mock</t>
        </is>
      </c>
      <c r="P12" s="35" t="inlineStr">
        <is>
          <t>Pharma Plus เล่มม่วง</t>
        </is>
      </c>
    </row>
    <row r="13" ht="13.2" customHeight="1" s="49">
      <c r="A13" s="33" t="n">
        <v>11</v>
      </c>
      <c r="B13" s="34" t="inlineStr">
        <is>
          <t>เพราะเหตุใดจึงห้ามใช้ norfloxacin ในเด็กอายุต่ำกว่า 12 ปี</t>
        </is>
      </c>
      <c r="C13" s="35" t="n"/>
      <c r="D13" s="34" t="inlineStr">
        <is>
          <t>ทำให้คลื่นไส้</t>
        </is>
      </c>
      <c r="E13" s="34" t="inlineStr">
        <is>
          <t>ทำให้ปวดศีรษะ</t>
        </is>
      </c>
      <c r="F13" s="34" t="inlineStr">
        <is>
          <t>ทำให้เกิดความผิดปกติในการเจริญเติบโตของข้อกระดูก เส้นเอ็น</t>
        </is>
      </c>
      <c r="G13" s="34" t="inlineStr">
        <is>
          <t>ทำให้เกิดความผิดปกติในการทำงานของตับและไต</t>
        </is>
      </c>
      <c r="H13" s="34" t="inlineStr">
        <is>
          <t>ทำให้เกิดภาวะช็อก</t>
        </is>
      </c>
      <c r="I13" s="33" t="inlineStr">
        <is>
          <t>3</t>
        </is>
      </c>
      <c r="J13" s="34"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35" t="n"/>
      <c r="L13" s="34" t="inlineStr">
        <is>
          <t>GERD</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35" t="n"/>
      <c r="D14" s="34" t="inlineStr">
        <is>
          <t>ให้ยาทั้งสองแตกตัวได้ดียิ่งขึ้น</t>
        </is>
      </c>
      <c r="E14" s="34" t="inlineStr">
        <is>
          <t>ลดผลข้างเคียงซึ่งกันและกัน เนื่องจาก Al(OH)3 ทำให้เกิดอาการท้องผูก</t>
        </is>
      </c>
      <c r="F14" s="34" t="inlineStr">
        <is>
          <t>ลดผลข้างเคียงซึ่งกันและกัน เนื่องจาก Al(OH)3 ทำให้เกิดอาการท้องเสีย</t>
        </is>
      </c>
      <c r="G14" s="34" t="inlineStr">
        <is>
          <t>เพิ่มความคงตัวของตำรับ</t>
        </is>
      </c>
      <c r="H14" s="34" t="inlineStr">
        <is>
          <t>ลดอาการคลื่นไส้อาเจียน เมื่อใช้ยาลดกรดตัวเดียว</t>
        </is>
      </c>
      <c r="I14" s="33" t="inlineStr">
        <is>
          <t>2</t>
        </is>
      </c>
      <c r="J14" s="34"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35" t="n"/>
      <c r="L14" s="34" t="inlineStr">
        <is>
          <t>GERD</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35" t="n"/>
      <c r="D15" s="34" t="inlineStr">
        <is>
          <t>Dyspepsia</t>
        </is>
      </c>
      <c r="E15" s="34" t="inlineStr">
        <is>
          <t>Peptic ulcer</t>
        </is>
      </c>
      <c r="F15" s="34" t="inlineStr">
        <is>
          <t>Heart burn</t>
        </is>
      </c>
      <c r="G15" s="34" t="inlineStr">
        <is>
          <t>Constipation</t>
        </is>
      </c>
      <c r="H15" s="34" t="inlineStr">
        <is>
          <t>Malignancy in stomach</t>
        </is>
      </c>
      <c r="I15" s="33" t="inlineStr">
        <is>
          <t>2</t>
        </is>
      </c>
      <c r="J15" s="34"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35" t="n"/>
      <c r="L15" s="34" t="inlineStr">
        <is>
          <t>GERD</t>
        </is>
      </c>
      <c r="M15" s="35" t="inlineStr">
        <is>
          <t>Clinic</t>
        </is>
      </c>
      <c r="N15" s="34" t="inlineStr">
        <is>
          <t>ข้อ 13 Pharma Plus เล่มม่วง (เฉลยข้อ ข)</t>
        </is>
      </c>
      <c r="O15" s="35" t="inlineStr">
        <is>
          <t>Mock</t>
        </is>
      </c>
      <c r="P15" s="35" t="inlineStr">
        <is>
          <t>Pharma Plus เล่มม่วง</t>
        </is>
      </c>
    </row>
    <row r="16" ht="13.2" customHeight="1" s="49">
      <c r="A16" s="33" t="n">
        <v>14</v>
      </c>
      <c r="B16" s="34" t="inlineStr">
        <is>
          <t>สาเหตุหลักของโรคดังกล่าวในข้อที่ 13 ที่ได้รับการวินิจฉัยจากแพทย์คือ</t>
        </is>
      </c>
      <c r="C16" s="35" t="n"/>
      <c r="D16" s="34" t="inlineStr">
        <is>
          <t>NSAIDs</t>
        </is>
      </c>
      <c r="E16" s="34" t="inlineStr">
        <is>
          <t>Zolinger Ellison syndrome</t>
        </is>
      </c>
      <c r="F16" s="34" t="inlineStr">
        <is>
          <t>Helicobacter Pylori</t>
        </is>
      </c>
      <c r="G16" s="34" t="inlineStr">
        <is>
          <t>Alcoholism</t>
        </is>
      </c>
      <c r="H16" s="34" t="inlineStr">
        <is>
          <t>Cigarette</t>
        </is>
      </c>
      <c r="I16" s="33" t="inlineStr">
        <is>
          <t>3</t>
        </is>
      </c>
      <c r="J16" s="34"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35" t="n"/>
      <c r="L16" s="34" t="inlineStr">
        <is>
          <t>Dyspepsia &amp; PUD</t>
        </is>
      </c>
      <c r="M16" s="35" t="inlineStr">
        <is>
          <t>Clinic</t>
        </is>
      </c>
      <c r="N16" s="34" t="inlineStr">
        <is>
          <t>ข้อ 14 Pharma Plus เล่มม่วง (เฉลยข้อ ค)</t>
        </is>
      </c>
      <c r="O16" s="35" t="inlineStr">
        <is>
          <t>Mock</t>
        </is>
      </c>
      <c r="P16" s="35" t="inlineStr">
        <is>
          <t>Pharma Plus เล่มม่วง</t>
        </is>
      </c>
    </row>
    <row r="17" ht="13.2" customHeight="1" s="49">
      <c r="A17" s="33" t="n">
        <v>15</v>
      </c>
      <c r="B17" s="34"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35" t="n"/>
      <c r="D17" s="34" t="inlineStr">
        <is>
          <t>มังคุด - plaunotol</t>
        </is>
      </c>
      <c r="E17" s="34" t="inlineStr">
        <is>
          <t>มะขามแขก - sennoside</t>
        </is>
      </c>
      <c r="F17" s="34" t="inlineStr">
        <is>
          <t>ปลพน้อย - curcuminoids</t>
        </is>
      </c>
      <c r="G17" s="34" t="inlineStr">
        <is>
          <t>ขมิ้นชัน - curcuminoids</t>
        </is>
      </c>
      <c r="H17" s="34" t="inlineStr">
        <is>
          <t>ปลาน้อย - plaunotol</t>
        </is>
      </c>
      <c r="I17" s="33" t="inlineStr">
        <is>
          <t>5</t>
        </is>
      </c>
      <c r="J17" s="34"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35" t="n"/>
      <c r="L17" s="34" t="inlineStr">
        <is>
          <t>Dyspepsia &amp; PUD</t>
        </is>
      </c>
      <c r="M17" s="35" t="inlineStr">
        <is>
          <t>Clinic</t>
        </is>
      </c>
      <c r="N17" s="34" t="inlineStr">
        <is>
          <t>ข้อ 15 Pharma Plus เล่มม่วง (เฉลยข้อ จ)</t>
        </is>
      </c>
      <c r="O17" s="35" t="inlineStr">
        <is>
          <t>Mock</t>
        </is>
      </c>
      <c r="P17" s="35" t="inlineStr">
        <is>
          <t>Pharma Plus เล่มม่วง</t>
        </is>
      </c>
    </row>
    <row r="18" ht="13.2" customHeight="1" s="49">
      <c r="A18" s="33" t="n">
        <v>16</v>
      </c>
      <c r="B18"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35" t="n"/>
      <c r="D18" s="34" t="inlineStr">
        <is>
          <t>Senna</t>
        </is>
      </c>
      <c r="E18" s="34" t="inlineStr">
        <is>
          <t>Castor oil</t>
        </is>
      </c>
      <c r="F18" s="34" t="inlineStr">
        <is>
          <t>Bisacodyl</t>
        </is>
      </c>
      <c r="G18" s="34" t="inlineStr">
        <is>
          <t>Mineral oil</t>
        </is>
      </c>
      <c r="H18" s="34" t="inlineStr">
        <is>
          <t>Psyllium seed</t>
        </is>
      </c>
      <c r="I18" s="33" t="inlineStr">
        <is>
          <t>5</t>
        </is>
      </c>
      <c r="J18" s="34"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35" t="n"/>
      <c r="L18" s="34" t="inlineStr">
        <is>
          <t>Diarrhea &amp; Constipation</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35" t="n"/>
      <c r="D19" s="34" t="inlineStr">
        <is>
          <t>ผู้ป่วยมักจะดื่มน้ำวันละ 6 แก้ว</t>
        </is>
      </c>
      <c r="E19" s="34" t="inlineStr">
        <is>
          <t>ผู้ป่วยมักจะออกกำลังกายสม่ำเสมอ</t>
        </is>
      </c>
      <c r="F19" s="34" t="inlineStr">
        <is>
          <t>ผู้ป่วยมักจะหลีกเลี่ยงการดื่มชา กาแฟ</t>
        </is>
      </c>
      <c r="G19" s="34" t="inlineStr">
        <is>
          <t>ผู้ป่วยมักจะดื่มนม 1 แก้วเป็นประจำทุกวัน</t>
        </is>
      </c>
      <c r="H19" s="34" t="inlineStr">
        <is>
          <t>ผู้ป่วยมักจะนั่งอ่านหนังสือในห้องน้ำเป็นเวลานาน</t>
        </is>
      </c>
      <c r="I19" s="33" t="inlineStr">
        <is>
          <t>5</t>
        </is>
      </c>
      <c r="J19" s="34"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35" t="n"/>
      <c r="L19" s="34" t="inlineStr">
        <is>
          <t>Diarrhea &amp; Constipation</t>
        </is>
      </c>
      <c r="M19" s="35" t="inlineStr">
        <is>
          <t>Clinic</t>
        </is>
      </c>
      <c r="N19" s="34" t="inlineStr">
        <is>
          <t>ข้อ 17 Pharma Plus เล่มม่วง (เฉลยข้อ จ)</t>
        </is>
      </c>
      <c r="O19" s="35" t="inlineStr">
        <is>
          <t>Mock</t>
        </is>
      </c>
      <c r="P19" s="35" t="inlineStr">
        <is>
          <t>Pharma Plus เล่มม่วง</t>
        </is>
      </c>
    </row>
    <row r="20" ht="13.2" customHeight="1" s="49">
      <c r="A20" s="33" t="n">
        <v>18</v>
      </c>
      <c r="B20" s="34" t="inlineStr">
        <is>
          <t>ข้อใดไม่ใช่กลไกการออกฤทธิ์ของยาระบาย</t>
        </is>
      </c>
      <c r="C20" s="35" t="n"/>
      <c r="D20" s="34" t="inlineStr">
        <is>
          <t>ช่วยเหลือลื่นอุจจาระ</t>
        </is>
      </c>
      <c r="E20" s="34" t="inlineStr">
        <is>
          <t>ทำให้อุจจาระอ่อนนุ่ม</t>
        </is>
      </c>
      <c r="F20" s="34" t="inlineStr">
        <is>
          <t>เพิ่มแรงดันออสโมติกภายในลำไส้</t>
        </is>
      </c>
      <c r="G20" s="34" t="inlineStr">
        <is>
          <t>ทำให้อุจจาระจับตัวเป็นก้อน</t>
        </is>
      </c>
      <c r="H20" s="34" t="inlineStr">
        <is>
          <t>เพิ่มการเคลื่อนไหวของลำไส้เล็ก</t>
        </is>
      </c>
      <c r="I20" s="33" t="inlineStr">
        <is>
          <t>4</t>
        </is>
      </c>
      <c r="J20" s="34"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35" t="n"/>
      <c r="L20" s="34" t="inlineStr">
        <is>
          <t>GERD</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หากผู้ป่วยมีประวัติลำไส้อุดตัน ไม่ควรให้ยาตัวใด</t>
        </is>
      </c>
      <c r="C21" s="35" t="n"/>
      <c r="D21" s="34" t="inlineStr">
        <is>
          <t>Senna</t>
        </is>
      </c>
      <c r="E21" s="34" t="inlineStr">
        <is>
          <t>Castor oil</t>
        </is>
      </c>
      <c r="F21" s="34" t="inlineStr">
        <is>
          <t>Bisacodyl</t>
        </is>
      </c>
      <c r="G21" s="34" t="inlineStr">
        <is>
          <t>Lactulose</t>
        </is>
      </c>
      <c r="H21" s="34" t="inlineStr">
        <is>
          <t>Psyllium seed</t>
        </is>
      </c>
      <c r="I21" s="33" t="inlineStr">
        <is>
          <t>5</t>
        </is>
      </c>
      <c r="J21" s="34"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35" t="n"/>
      <c r="L21" s="34" t="inlineStr">
        <is>
          <t>Diarrhea &amp; Constipation</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ข้อใดไม่ใช่คำแนะนำที่ถูกต้องในการใช้ยาเหน็บทวาร</t>
        </is>
      </c>
      <c r="C22" s="35" t="n"/>
      <c r="D22" s="34" t="inlineStr">
        <is>
          <t>ฉีกซองพลาสติกก่อนใช้</t>
        </is>
      </c>
      <c r="E22" s="34" t="inlineStr">
        <is>
          <t>เก็บยาไว้ในตู้เย็นช่องแช่แข็ง</t>
        </is>
      </c>
      <c r="F22" s="34" t="inlineStr">
        <is>
          <t>ล้างมือให้สะอาดก่อนเหน็บยา</t>
        </is>
      </c>
      <c r="G22" s="34" t="inlineStr">
        <is>
          <t>ไม่ต้องนำยาเหน็บออกจากร่างกายหลังจากเหน็บ</t>
        </is>
      </c>
      <c r="H22" s="34" t="inlineStr">
        <is>
          <t>เหน็บยาแล้วให้นอนพักอย่างน้อย 15 นาทีก่อนลุก</t>
        </is>
      </c>
      <c r="I22" s="33" t="inlineStr">
        <is>
          <t>2</t>
        </is>
      </c>
      <c r="J22" s="34"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35" t="n"/>
      <c r="L22" s="34" t="inlineStr">
        <is>
          <t>GERD</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35" t="n"/>
      <c r="D23" s="34" t="inlineStr">
        <is>
          <t>ยาชนิดเม็ดส่วนใหญ่ต้องกลืนยาทั้งเม็ด ห้ามเคี้ยว</t>
        </is>
      </c>
      <c r="E23" s="34" t="inlineStr">
        <is>
          <t>ยาอาจทำให้ท้องเสีย เพราะมีตัวยาสำคัญคือ aluminium hydroxide</t>
        </is>
      </c>
      <c r="F23" s="34" t="inlineStr">
        <is>
          <t>ในผู้ป่วยที่เป็นโรคไตร่วมด้วย ควรให้ยาลดกรดที่มี Magnesium เป็นองค์ประกอบ</t>
        </is>
      </c>
      <c r="G23" s="34" t="inlineStr">
        <is>
          <t>ควรรับประทานยาก่อนอาหาร 1 ชม. และก่อนนอนเพื่อให้ยามีฤทธิ์อยู่ได้นาน</t>
        </is>
      </c>
      <c r="H23" s="34" t="inlineStr">
        <is>
          <t>ในผู้ป่วยที่มีอาการรุนแรงสามารถรับประทานได้ทุก 1 ชั่วโมง</t>
        </is>
      </c>
      <c r="I23" s="33" t="inlineStr">
        <is>
          <t>1</t>
        </is>
      </c>
      <c r="J23" s="34"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35" t="n"/>
      <c r="L23" s="34" t="inlineStr">
        <is>
          <t>Dyspepsia &amp; PUD</t>
        </is>
      </c>
      <c r="M23" s="35" t="inlineStr">
        <is>
          <t>Clinic</t>
        </is>
      </c>
      <c r="N23" s="34" t="inlineStr">
        <is>
          <t>ข้อ 21 Pharma Plus เล่มม่วง (เฉลยข้อ )</t>
        </is>
      </c>
      <c r="O23" s="35" t="inlineStr">
        <is>
          <t>Mock</t>
        </is>
      </c>
      <c r="P23" s="35" t="inlineStr">
        <is>
          <t>Pharma Plus เล่มม่วง</t>
        </is>
      </c>
    </row>
    <row r="24" ht="13.2" customHeight="1" s="49">
      <c r="A24" s="33" t="n">
        <v>22</v>
      </c>
      <c r="B24" s="34"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35" t="n"/>
      <c r="D24" s="34" t="inlineStr">
        <is>
          <t>โดยทั่วไประยะเวลาที่ใช้รักษา 8-12 สัปดาห์</t>
        </is>
      </c>
      <c r="E24" s="34" t="inlineStr">
        <is>
          <t>ระยะเวลาที่ใช้รักษา Duodenal ulcer ยาวกว่า gastric ulcer</t>
        </is>
      </c>
      <c r="F24" s="34" t="inlineStr">
        <is>
          <t>ยากลุ่มนี้สามารถยับยั้งการเจริญของเชื้อ H. pylori ได้</t>
        </is>
      </c>
      <c r="G24" s="34" t="inlineStr">
        <is>
          <t>สามารถให้ผู้ป่วยรับประทานยากลุ่มนี้ครั้งเดียวก่อนนอนได้</t>
        </is>
      </c>
      <c r="H24" s="34" t="inlineStr">
        <is>
          <t>ยาที่เป็น Prototype ของกลุ่มนี้เกิดปฏิกิริยากับยาน้อย</t>
        </is>
      </c>
      <c r="I24" s="33" t="inlineStr">
        <is>
          <t>1</t>
        </is>
      </c>
      <c r="J24" s="34"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Dyspepsia &amp; PUD</t>
        </is>
      </c>
      <c r="M24" s="35" t="inlineStr">
        <is>
          <t>Clinic</t>
        </is>
      </c>
      <c r="N24" s="34" t="inlineStr">
        <is>
          <t>ข้อ 22 Pharma Plus เล่มม่วง (เฉลยข้อ ก ง)</t>
        </is>
      </c>
      <c r="O24" s="35" t="inlineStr">
        <is>
          <t>Mock</t>
        </is>
      </c>
      <c r="P24" s="35" t="inlineStr">
        <is>
          <t>Pharma Plus เล่มม่วง</t>
        </is>
      </c>
    </row>
    <row r="25" ht="13.2" customHeight="1" s="49">
      <c r="A25" s="33" t="n">
        <v>23</v>
      </c>
      <c r="B25" s="34" t="inlineStr">
        <is>
          <t>สารสำคัญของขมิ้นชันที่ออกฤทธิ์ในการกระตุ้นการหลั่ง</t>
        </is>
      </c>
      <c r="C25" s="35" t="n"/>
      <c r="D25" s="34" t="inlineStr">
        <is>
          <t>Lupeol</t>
        </is>
      </c>
      <c r="E25" s="34" t="inlineStr">
        <is>
          <t>Curcumin</t>
        </is>
      </c>
      <c r="F25" s="34" t="inlineStr">
        <is>
          <t>Stigmasterol</t>
        </is>
      </c>
      <c r="G25" s="34" t="inlineStr">
        <is>
          <t>Andrographolide</t>
        </is>
      </c>
      <c r="H25" s="34" t="inlineStr">
        <is>
          <t>Hydroxyanthracens</t>
        </is>
      </c>
      <c r="I25" s="33" t="inlineStr">
        <is>
          <t>2</t>
        </is>
      </c>
      <c r="J25" s="34"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35" t="n"/>
      <c r="L25" s="34" t="inlineStr">
        <is>
          <t>GERD</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35" t="n"/>
      <c r="D26" s="34" t="inlineStr">
        <is>
          <t>ผงน้ำตาลเกลือแร่</t>
        </is>
      </c>
      <c r="E26" s="34" t="inlineStr">
        <is>
          <t>Norfloxacin</t>
        </is>
      </c>
      <c r="F26" s="34" t="inlineStr">
        <is>
          <t>Loperamide</t>
        </is>
      </c>
      <c r="G26" s="34" t="inlineStr">
        <is>
          <t>Chlortetracycline</t>
        </is>
      </c>
      <c r="H26" s="34" t="inlineStr">
        <is>
          <t>Furazolidine</t>
        </is>
      </c>
      <c r="I26" s="33" t="inlineStr">
        <is>
          <t>3</t>
        </is>
      </c>
      <c r="J26" s="34"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Diarrhea &amp; Constipation</t>
        </is>
      </c>
      <c r="M26" s="35" t="inlineStr">
        <is>
          <t>Clinic</t>
        </is>
      </c>
      <c r="N26" s="34" t="inlineStr">
        <is>
          <t>ข้อ 24 Pharma Plus เล่มม่วง (เฉลยข้อ ค ง จ)</t>
        </is>
      </c>
      <c r="O26" s="35" t="inlineStr">
        <is>
          <t>Mock</t>
        </is>
      </c>
      <c r="P26" s="35" t="inlineStr">
        <is>
          <t>Pharma Plus เล่มม่วง</t>
        </is>
      </c>
    </row>
    <row r="27" ht="13.2" customHeight="1" s="49">
      <c r="A27" s="33" t="n">
        <v>25</v>
      </c>
      <c r="B27" s="34" t="inlineStr">
        <is>
          <t>ในผู้ใหญ่ คนปกติ ถ้าพบว่า ผู้ป่วยท้องเสียจากเชื้อ Salmonella จะให้ยาต้านจุลชีพในข้อใด</t>
        </is>
      </c>
      <c r="C27" s="35" t="n"/>
      <c r="D27" s="34" t="inlineStr">
        <is>
          <t>Norfloxacin</t>
        </is>
      </c>
      <c r="E27" s="34" t="inlineStr">
        <is>
          <t>Ofloxacin</t>
        </is>
      </c>
      <c r="F27" s="34" t="inlineStr">
        <is>
          <t>Chloramphenicol</t>
        </is>
      </c>
      <c r="G27" s="34" t="inlineStr">
        <is>
          <t>Furazolidine</t>
        </is>
      </c>
      <c r="H27" s="34" t="inlineStr">
        <is>
          <t>ไม่ต้องให้ยาต้านจุลชีพ</t>
        </is>
      </c>
      <c r="I27" s="33" t="inlineStr">
        <is>
          <t>1</t>
        </is>
      </c>
      <c r="J27" s="34" t="inlineStr">
        <is>
          <t>✅ คำตอบที่ถูกต้อง: ข้อ จ. ไม่ต้องให้ยาต้านจุลชีพ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แนวทางการรักษา Non-typhoidal Salmonella ในผู้ใหญ่ปกติ (ไม่มีไข้สูง, ไม่มีภาวะ bacteremia, ไม่มีภูมิคุ้มกันบกพร่อง) คือ Supportive care + ORS เท่านั้น การให้ Fluoroquinolone เช่น Norfloxacin อาจทำให้เชื้อดื้อยาและยืดระยะ carrier state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35" t="n"/>
      <c r="L27" s="34" t="inlineStr">
        <is>
          <t>Diarrhea &amp; Constipation</t>
        </is>
      </c>
      <c r="M27" s="35" t="inlineStr">
        <is>
          <t>Clinic</t>
        </is>
      </c>
      <c r="N27" s="34" t="inlineStr">
        <is>
          <t>ข้อ 25 Pharma Plus เล่มม่วง (เฉลยข้อ ก)</t>
        </is>
      </c>
      <c r="O27" s="35" t="inlineStr">
        <is>
          <t>Mock</t>
        </is>
      </c>
      <c r="P27" s="35" t="inlineStr">
        <is>
          <t>Pharma Plus เล่มม่วง</t>
        </is>
      </c>
    </row>
    <row r="28" ht="13.2" customHeight="1" s="49">
      <c r="A28" s="33" t="n">
        <v>26</v>
      </c>
      <c r="B28" s="34"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35" t="n"/>
      <c r="D28" s="34" t="inlineStr">
        <is>
          <t>Nicotinic receptor, ปากแห้ง ตาพร่า ท้องผูก</t>
        </is>
      </c>
      <c r="E28" s="34" t="inlineStr">
        <is>
          <t>Muscarinic receptor, ปากแห้ง ตาพร่า ท้องผูก</t>
        </is>
      </c>
      <c r="F28" s="34" t="inlineStr">
        <is>
          <t>Beta-2 receptor, หลอดลมตีบ</t>
        </is>
      </c>
      <c r="G28" s="34" t="inlineStr">
        <is>
          <t>Beta-1 receptor, หลอดลมตีบ</t>
        </is>
      </c>
      <c r="H28" s="34" t="inlineStr">
        <is>
          <t>Alpha 1 receptor, ปากแห้ง ตาพร่า ท้องผูก</t>
        </is>
      </c>
      <c r="I28" s="33" t="inlineStr">
        <is>
          <t>2</t>
        </is>
      </c>
      <c r="J28" s="34"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Hyoscine = Anticholinergic (Muscarinic blocker); side effects: ปากแห้ง ตาพร่า ท้องผูก ปัสสาวะลำบาก</t>
        </is>
      </c>
      <c r="K28" s="35" t="n"/>
      <c r="L28" s="34" t="inlineStr">
        <is>
          <t>Diarrhea &amp; Constipation</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35" t="n"/>
      <c r="D29" s="34" t="inlineStr">
        <is>
          <t>พยาธิปากขอ</t>
        </is>
      </c>
      <c r="E29" s="34" t="inlineStr">
        <is>
          <t>พยาธิเส้นด้าย</t>
        </is>
      </c>
      <c r="F29" s="34" t="inlineStr">
        <is>
          <t>พยาธิไส้เดือน</t>
        </is>
      </c>
      <c r="G29" s="34" t="inlineStr">
        <is>
          <t>พยาธิใบไม้ในตับ</t>
        </is>
      </c>
      <c r="H29" s="34" t="inlineStr">
        <is>
          <t>พยาธิตัวตืด</t>
        </is>
      </c>
      <c r="I29" s="33" t="inlineStr">
        <is>
          <t>5</t>
        </is>
      </c>
      <c r="J29" s="34"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35" t="n"/>
      <c r="L29" s="34" t="inlineStr">
        <is>
          <t>GERD</t>
        </is>
      </c>
      <c r="M29" s="35" t="inlineStr">
        <is>
          <t>Clinic</t>
        </is>
      </c>
      <c r="N29" s="34" t="inlineStr">
        <is>
          <t>ข้อ 27 Pharma Plus เล่มม่วง (เฉลยข้อ จ)</t>
        </is>
      </c>
      <c r="O29" s="35" t="inlineStr">
        <is>
          <t>Mock</t>
        </is>
      </c>
      <c r="P29" s="35" t="inlineStr">
        <is>
          <t>Pharma Plus เล่มม่วง</t>
        </is>
      </c>
    </row>
    <row r="30" ht="13.2" customHeight="1" s="49">
      <c r="A30" s="33" t="n">
        <v>28</v>
      </c>
      <c r="B30"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35" t="n"/>
      <c r="D30" s="34" t="inlineStr">
        <is>
          <t>วัว</t>
        </is>
      </c>
      <c r="E30" s="34" t="inlineStr">
        <is>
          <t>หมู</t>
        </is>
      </c>
      <c r="F30" s="34" t="inlineStr">
        <is>
          <t>ปลา</t>
        </is>
      </c>
      <c r="G30" s="34" t="inlineStr">
        <is>
          <t>ไก่</t>
        </is>
      </c>
      <c r="H30" s="34" t="inlineStr">
        <is>
          <t>หนู</t>
        </is>
      </c>
      <c r="I30" s="33" t="inlineStr">
        <is>
          <t>2</t>
        </is>
      </c>
      <c r="J30" s="34"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35" t="n"/>
      <c r="L30" s="34" t="inlineStr">
        <is>
          <t>GERD</t>
        </is>
      </c>
      <c r="M30" s="35" t="inlineStr">
        <is>
          <t>Clinic</t>
        </is>
      </c>
      <c r="N30" s="34" t="inlineStr">
        <is>
          <t>ข้อ 28 Pharma Plus เล่มม่วง (เฉลยข้อ ข)</t>
        </is>
      </c>
      <c r="O30" s="35" t="inlineStr">
        <is>
          <t>Mock</t>
        </is>
      </c>
      <c r="P30" s="35" t="inlineStr">
        <is>
          <t>Pharma Plus เล่มม่วง</t>
        </is>
      </c>
    </row>
    <row r="31" ht="13.2" customHeight="1" s="49">
      <c r="A31" s="33" t="n">
        <v>29</v>
      </c>
      <c r="B31" s="34"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35" t="n"/>
      <c r="D31" s="34" t="inlineStr">
        <is>
          <t>1000 mg 1x3, 1 day</t>
        </is>
      </c>
      <c r="E31" s="34" t="inlineStr">
        <is>
          <t>1000 mg 1x3, 2 days</t>
        </is>
      </c>
      <c r="F31" s="34" t="inlineStr">
        <is>
          <t>600 mg 1x3, 14 days</t>
        </is>
      </c>
      <c r="G31" s="34" t="inlineStr">
        <is>
          <t>600 mg 2x1, 1 day</t>
        </is>
      </c>
      <c r="H31" s="34" t="inlineStr">
        <is>
          <t>600 mg 2x3, 1 day</t>
        </is>
      </c>
      <c r="I31" s="33" t="inlineStr">
        <is>
          <t>1</t>
        </is>
      </c>
      <c r="J31" s="34"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35" t="n"/>
      <c r="L31" s="34" t="inlineStr">
        <is>
          <t>GERD</t>
        </is>
      </c>
      <c r="M31" s="35" t="inlineStr">
        <is>
          <t>Clinic</t>
        </is>
      </c>
      <c r="N31" s="34" t="inlineStr">
        <is>
          <t>ข้อ 29 Pharma Plus เล่มม่วง (เฉลยข้อ )</t>
        </is>
      </c>
      <c r="O31" s="35" t="inlineStr">
        <is>
          <t>Mock</t>
        </is>
      </c>
      <c r="P31" s="35" t="inlineStr">
        <is>
          <t>Pharma Plus เล่มม่วง</t>
        </is>
      </c>
    </row>
    <row r="32" ht="13.2" customHeight="1" s="49">
      <c r="A32" s="33" t="n">
        <v>30</v>
      </c>
      <c r="B32" s="34" t="inlineStr">
        <is>
          <t>สมุนไพรใดที่อาจแนะนำในผู้ป่วยรายนี้ คือ</t>
        </is>
      </c>
      <c r="C32" s="35" t="n"/>
      <c r="D32" s="34" t="inlineStr">
        <is>
          <t>เมล็ดฟักทอง</t>
        </is>
      </c>
      <c r="E32" s="34" t="inlineStr">
        <is>
          <t>เมล็ดทานตะวัน</t>
        </is>
      </c>
      <c r="F32" s="34" t="inlineStr">
        <is>
          <t>เปลือกมังคุด</t>
        </is>
      </c>
      <c r="G32" s="34" t="inlineStr">
        <is>
          <t>เปลือกทับทิม</t>
        </is>
      </c>
      <c r="H32" s="34" t="inlineStr">
        <is>
          <t>เปลือกส้มโอ</t>
        </is>
      </c>
      <c r="I32" s="33" t="inlineStr">
        <is>
          <t>1</t>
        </is>
      </c>
      <c r="J32" s="34"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35" t="n"/>
      <c r="L32" s="34" t="inlineStr">
        <is>
          <t>GERD</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ข้อแนะนำการใช้ยาสำหรับผู้ป่วยให้นมบุตรคือข้อใด</t>
        </is>
      </c>
      <c r="C33" s="35" t="n"/>
      <c r="D33" s="34" t="inlineStr">
        <is>
          <t>สามารถใช้ได้เพราะไม่สามารถขับออกทางน้ำนม</t>
        </is>
      </c>
      <c r="E33" s="34" t="inlineStr">
        <is>
          <t>สามารถใช้ได้ไม่มีอาการข้างเคียงที่ร้ายแรง</t>
        </is>
      </c>
      <c r="F33" s="34" t="inlineStr">
        <is>
          <t>สามารถใช้ได้เพราะไม่เกิดเมตาบอไลต์ที่เป็นพิษ</t>
        </is>
      </c>
      <c r="G33" s="34" t="inlineStr">
        <is>
          <t>ไม่สามารถใช้ได้เพราะขับออกทางน้ำนม</t>
        </is>
      </c>
      <c r="H33" s="34" t="inlineStr">
        <is>
          <t>ไม่สามารถใช้ได้ขณะให้นมบุตร และหยุดใช้ยาอีก 2-3 วัน เพราะเมตาบอไลต์ช้า</t>
        </is>
      </c>
      <c r="I33" s="33" t="inlineStr">
        <is>
          <t>4</t>
        </is>
      </c>
      <c r="J33" s="34"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5" t="n"/>
      <c r="L33" s="34" t="inlineStr">
        <is>
          <t>GERD</t>
        </is>
      </c>
      <c r="M33" s="35" t="inlineStr">
        <is>
          <t>Clinic</t>
        </is>
      </c>
      <c r="N33" s="34" t="inlineStr">
        <is>
          <t>ข้อ 31 Pharma Plus เล่มม่วง (เฉลยข้อ ง)</t>
        </is>
      </c>
      <c r="O33" s="35" t="inlineStr">
        <is>
          <t>Mock</t>
        </is>
      </c>
      <c r="P33" s="35" t="inlineStr">
        <is>
          <t>Pharma Plus เล่มม่วง</t>
        </is>
      </c>
    </row>
    <row r="34" ht="13.2" customHeight="1" s="49">
      <c r="A34" s="33" t="n">
        <v>32</v>
      </c>
      <c r="B34" s="34"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35" t="n"/>
      <c r="D34" s="34" t="inlineStr">
        <is>
          <t>GERD</t>
        </is>
      </c>
      <c r="E34" s="34" t="inlineStr">
        <is>
          <t>GU</t>
        </is>
      </c>
      <c r="F34" s="34" t="inlineStr">
        <is>
          <t>DU</t>
        </is>
      </c>
      <c r="G34" s="34" t="inlineStr">
        <is>
          <t>Gastroparesis</t>
        </is>
      </c>
      <c r="H34" s="34" t="inlineStr">
        <is>
          <t>IBS</t>
        </is>
      </c>
      <c r="I34" s="33" t="inlineStr">
        <is>
          <t>1</t>
        </is>
      </c>
      <c r="J34" s="34"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35" t="n"/>
      <c r="L34" s="34" t="inlineStr">
        <is>
          <t>GERD</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35" t="n"/>
      <c r="D35" s="34" t="inlineStr">
        <is>
          <t>Sucralfate 1 g bid</t>
        </is>
      </c>
      <c r="E35" s="34" t="inlineStr">
        <is>
          <t>Famotidine 10 mg OD</t>
        </is>
      </c>
      <c r="F35" s="34" t="inlineStr">
        <is>
          <t>Domperidone 10 mg tid</t>
        </is>
      </c>
      <c r="G35" s="34" t="inlineStr">
        <is>
          <t>Magnesium-aluminium hydroxide 30 ml</t>
        </is>
      </c>
      <c r="H35" s="34" t="inlineStr">
        <is>
          <t>Omeprazole 20 mg OD</t>
        </is>
      </c>
      <c r="I35" s="33" t="inlineStr">
        <is>
          <t>5</t>
        </is>
      </c>
      <c r="J35" s="34"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GERD</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Domperidone ออกฤทธิ์ผ่าน receptor ใด</t>
        </is>
      </c>
      <c r="C36" s="35" t="n"/>
      <c r="D36" s="34" t="inlineStr">
        <is>
          <t>D2 receptor</t>
        </is>
      </c>
      <c r="E36" s="34" t="inlineStr">
        <is>
          <t>M3 muscarinic receptor</t>
        </is>
      </c>
      <c r="F36" s="34" t="inlineStr">
        <is>
          <t>5-HT3 receptor</t>
        </is>
      </c>
      <c r="G36" s="34" t="inlineStr">
        <is>
          <t>5-HT4 receptor</t>
        </is>
      </c>
      <c r="H36" s="34" t="inlineStr">
        <is>
          <t>Alpha-1 adrenergic receptor</t>
        </is>
      </c>
      <c r="I36" s="33" t="inlineStr">
        <is>
          <t>1</t>
        </is>
      </c>
      <c r="J36" s="34"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ผ่าน BBB น้อย; side effects: QT prolongation, Hyperprolactinemia</t>
        </is>
      </c>
      <c r="K36" s="35" t="n"/>
      <c r="L36" s="34" t="inlineStr">
        <is>
          <t>Nausea and vomiting</t>
        </is>
      </c>
      <c r="M36" s="35" t="inlineStr">
        <is>
          <t>Clinic</t>
        </is>
      </c>
      <c r="N36" s="34" t="inlineStr">
        <is>
          <t>ข้อ 34 Pharma Plus เล่มม่วง (เฉลยข้อ ก)</t>
        </is>
      </c>
      <c r="O36" s="35" t="inlineStr">
        <is>
          <t>Mock</t>
        </is>
      </c>
      <c r="P36" s="35" t="inlineStr">
        <is>
          <t>Pharma Plus เล่มม่วง</t>
        </is>
      </c>
    </row>
    <row r="37" ht="13.2" customHeight="1" s="49">
      <c r="A37" s="33" t="n">
        <v>35</v>
      </c>
      <c r="B37" s="34" t="inlineStr">
        <is>
          <t>ยาใดห้ามบดในสายยาง</t>
        </is>
      </c>
      <c r="C37" s="35" t="n"/>
      <c r="D37" s="34" t="inlineStr">
        <is>
          <t>HCTZ</t>
        </is>
      </c>
      <c r="E37" s="34" t="inlineStr">
        <is>
          <t>Famotidine</t>
        </is>
      </c>
      <c r="F37" s="34" t="inlineStr">
        <is>
          <t>Domperidone</t>
        </is>
      </c>
      <c r="G37" s="34" t="inlineStr">
        <is>
          <t>Al3+ + Mg2+</t>
        </is>
      </c>
      <c r="H37" s="34" t="inlineStr">
        <is>
          <t>Omeprazole</t>
        </is>
      </c>
      <c r="I37" s="33" t="inlineStr">
        <is>
          <t>5</t>
        </is>
      </c>
      <c r="J37" s="34"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35" t="n"/>
      <c r="L37" s="34" t="inlineStr">
        <is>
          <t>GERD</t>
        </is>
      </c>
      <c r="M37" s="35" t="inlineStr">
        <is>
          <t>Clinic</t>
        </is>
      </c>
      <c r="N37" s="34" t="inlineStr">
        <is>
          <t>ข้อ 35 Pharma Plus เล่มม่วง (เฉลยข้อ จ)</t>
        </is>
      </c>
      <c r="O37" s="35" t="inlineStr">
        <is>
          <t>Mock</t>
        </is>
      </c>
      <c r="P37" s="35" t="inlineStr">
        <is>
          <t>Pharma Plus เล่มม่วง</t>
        </is>
      </c>
    </row>
    <row r="38" ht="13.2" customHeight="1" s="49">
      <c r="A38" s="33" t="n">
        <v>36</v>
      </c>
      <c r="B38" s="34" t="inlineStr">
        <is>
          <t>ยาใดที่เป็นยาสามัญประจำบ้าน</t>
        </is>
      </c>
      <c r="C38" s="35" t="n"/>
      <c r="D38" s="34" t="inlineStr">
        <is>
          <t>HCTZ</t>
        </is>
      </c>
      <c r="E38" s="34" t="inlineStr">
        <is>
          <t>Famotidine</t>
        </is>
      </c>
      <c r="F38" s="34" t="inlineStr">
        <is>
          <t>Domperidone</t>
        </is>
      </c>
      <c r="G38" s="34" t="inlineStr">
        <is>
          <t>Al3+ + Mg2+ (alum milk)</t>
        </is>
      </c>
      <c r="H38" s="34" t="inlineStr">
        <is>
          <t>Cimetidine</t>
        </is>
      </c>
      <c r="I38" s="33" t="inlineStr">
        <is>
          <t>4</t>
        </is>
      </c>
      <c r="J38" s="34"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GERD</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ยาใดต่อไปนี้ไม่ได้อยู่ใน regimen ในการรักษา H. pylori</t>
        </is>
      </c>
      <c r="C39" s="35" t="n"/>
      <c r="D39" s="34" t="inlineStr">
        <is>
          <t>Tetracycline</t>
        </is>
      </c>
      <c r="E39" s="34" t="inlineStr">
        <is>
          <t>Ranitidine</t>
        </is>
      </c>
      <c r="F39" s="34" t="inlineStr">
        <is>
          <t>Metronidazole</t>
        </is>
      </c>
      <c r="G39" s="34" t="inlineStr">
        <is>
          <t>Erythromycin</t>
        </is>
      </c>
      <c r="H39" s="34" t="inlineStr">
        <is>
          <t>Lansoprazole</t>
        </is>
      </c>
      <c r="I39" s="33" t="inlineStr">
        <is>
          <t>4</t>
        </is>
      </c>
      <c r="J39" s="34"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Dyspepsia &amp; PUD</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35" t="n"/>
      <c r="D40" s="34" t="inlineStr">
        <is>
          <t>Omeprazole ลดการดูดซึม clopidogrel เนื่องจากดูดซึมได้ดีในสภาวะเป็นกรด</t>
        </is>
      </c>
      <c r="E40" s="34" t="inlineStr">
        <is>
          <t>Clopidogrel ลดการดูดซึม omeprazole</t>
        </is>
      </c>
      <c r="F40" s="34" t="inlineStr">
        <is>
          <t>Omeprazole ลดการดูดซึม clopidogrel เกิด toxic metabolite ที่ตับ</t>
        </is>
      </c>
      <c r="G40" s="34" t="inlineStr">
        <is>
          <t>Omeprazole เพิ่มการขับออกของ clopidogrel</t>
        </is>
      </c>
      <c r="H40" s="34" t="inlineStr">
        <is>
          <t>Omeprazole ทำให้ clopidogrel ไม่ถูกเปลี่ยนในรูปที่ออกฤทธิ์</t>
        </is>
      </c>
      <c r="I40" s="33" t="inlineStr">
        <is>
          <t>5</t>
        </is>
      </c>
      <c r="J40" s="34"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35" t="n"/>
      <c r="L40" s="34" t="inlineStr">
        <is>
          <t>GERD</t>
        </is>
      </c>
      <c r="M40" s="35" t="inlineStr">
        <is>
          <t>Clinic</t>
        </is>
      </c>
      <c r="N40" s="34" t="inlineStr">
        <is>
          <t>ข้อ 38 Pharma Plus เล่มม่วง (เฉลยข้อ จ)</t>
        </is>
      </c>
      <c r="O40" s="35" t="inlineStr">
        <is>
          <t>Mock</t>
        </is>
      </c>
      <c r="P40" s="35" t="inlineStr">
        <is>
          <t>Pharma Plus เล่มม่วง</t>
        </is>
      </c>
    </row>
    <row r="41" ht="13.2" customHeight="1" s="49">
      <c r="A41" s="33" t="n">
        <v>39</v>
      </c>
      <c r="B41" s="34"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35" t="n"/>
      <c r="D41" s="34" t="inlineStr">
        <is>
          <t>Erythromycin</t>
        </is>
      </c>
      <c r="E41" s="34" t="inlineStr">
        <is>
          <t>Ketoconazole</t>
        </is>
      </c>
      <c r="F41" s="34" t="inlineStr">
        <is>
          <t>Diazepam</t>
        </is>
      </c>
      <c r="G41" s="34" t="inlineStr">
        <is>
          <t>Warfarin</t>
        </is>
      </c>
      <c r="H41" s="34" t="inlineStr">
        <is>
          <t>Escitalopram</t>
        </is>
      </c>
      <c r="I41" s="33" t="inlineStr">
        <is>
          <t>2</t>
        </is>
      </c>
      <c r="J41" s="34"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35" t="n"/>
      <c r="L41" s="34" t="inlineStr">
        <is>
          <t>GERD</t>
        </is>
      </c>
      <c r="M41" s="35" t="inlineStr">
        <is>
          <t>Clinic</t>
        </is>
      </c>
      <c r="N41" s="34" t="inlineStr">
        <is>
          <t>ข้อ 39 Pharma Plus เล่มม่วง (เฉลยข้อ ข)</t>
        </is>
      </c>
      <c r="O41" s="35" t="inlineStr">
        <is>
          <t>Mock</t>
        </is>
      </c>
      <c r="P41" s="35" t="inlineStr">
        <is>
          <t>Pharma Plus เล่มม่วง</t>
        </is>
      </c>
    </row>
    <row r="42" ht="13.2" customHeight="1" s="49">
      <c r="A42" s="33" t="n">
        <v>40</v>
      </c>
      <c r="B42" s="34"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35" t="n"/>
      <c r="D42" s="34" t="inlineStr">
        <is>
          <t>แกะแคปซูลแล้วผสมกับน้ำเปล่า</t>
        </is>
      </c>
      <c r="E42" s="34" t="inlineStr">
        <is>
          <t>นมถั่วเหลือง</t>
        </is>
      </c>
      <c r="F42" s="34" t="inlineStr">
        <is>
          <t>ยาลดกรด</t>
        </is>
      </c>
      <c r="G42" s="34" t="inlineStr">
        <is>
          <t>น้ำส้ม</t>
        </is>
      </c>
      <c r="H42" s="34" t="inlineStr">
        <is>
          <t>น้ำหวาน</t>
        </is>
      </c>
      <c r="I42" s="33" t="inlineStr">
        <is>
          <t>3</t>
        </is>
      </c>
      <c r="J42" s="34"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35" t="n"/>
      <c r="L42" s="34" t="inlineStr">
        <is>
          <t>GERD</t>
        </is>
      </c>
      <c r="M42" s="35" t="inlineStr">
        <is>
          <t>Clinic</t>
        </is>
      </c>
      <c r="N42" s="34" t="inlineStr">
        <is>
          <t>ข้อ 40 Pharma Plus เล่มม่วง (เฉลยข้อ ค)</t>
        </is>
      </c>
      <c r="O42" s="35" t="inlineStr">
        <is>
          <t>Mock</t>
        </is>
      </c>
      <c r="P42" s="35" t="inlineStr">
        <is>
          <t>Pharma Plus เล่มม่วง</t>
        </is>
      </c>
    </row>
    <row r="43" ht="13.2" customHeight="1" s="49">
      <c r="A43" s="33" t="n">
        <v>41</v>
      </c>
      <c r="B43" s="34"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35" t="n"/>
      <c r="D43" s="34" t="inlineStr">
        <is>
          <t>พยาธิไส้เดือน (Ascariasis)</t>
        </is>
      </c>
      <c r="E43" s="34" t="inlineStr">
        <is>
          <t>พยาธิตัวตืด (Tape worm)</t>
        </is>
      </c>
      <c r="F43" s="34" t="inlineStr">
        <is>
          <t>พยาธิปากขอ (Hook worm)</t>
        </is>
      </c>
      <c r="G43" s="34" t="inlineStr">
        <is>
          <t>พยาธิเข็มหมุด (Enterobiasis or pinworm)</t>
        </is>
      </c>
      <c r="H43" s="34" t="inlineStr">
        <is>
          <t>พยาธิใบไม้ในตับ (Opisthorchis)</t>
        </is>
      </c>
      <c r="I43" s="33" t="inlineStr">
        <is>
          <t>4</t>
        </is>
      </c>
      <c r="J43" s="34"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GERD</t>
        </is>
      </c>
      <c r="M43" s="35" t="inlineStr">
        <is>
          <t>Clinic</t>
        </is>
      </c>
      <c r="N43" s="34" t="inlineStr">
        <is>
          <t>ข้อ 41 Pharma Plus เล่มม่วง (เฉลยข้อ ง)</t>
        </is>
      </c>
      <c r="O43" s="35" t="inlineStr">
        <is>
          <t>Mock</t>
        </is>
      </c>
      <c r="P43" s="35" t="inlineStr">
        <is>
          <t>Pharma Plus เล่มม่วง</t>
        </is>
      </c>
    </row>
    <row r="44" ht="13.2" customHeight="1" s="49">
      <c r="A44" s="33" t="n">
        <v>42</v>
      </c>
      <c r="B44" s="34"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35" t="n"/>
      <c r="D44" s="34" t="inlineStr">
        <is>
          <t>Albendazole 400 mg ติดต่อกัน 3 วัน</t>
        </is>
      </c>
      <c r="E44" s="34" t="inlineStr">
        <is>
          <t>Mebendazole 100 mg ครั้งเดียว แล้วทานซ้ำในอีก 2 wk</t>
        </is>
      </c>
      <c r="F44" s="34" t="inlineStr">
        <is>
          <t>Niclosamide</t>
        </is>
      </c>
      <c r="G44" s="34" t="inlineStr">
        <is>
          <t>Pyrantel pamoate</t>
        </is>
      </c>
      <c r="H44" s="34" t="inlineStr">
        <is>
          <t>Praziquantel</t>
        </is>
      </c>
      <c r="I44" s="33" t="inlineStr">
        <is>
          <t>2</t>
        </is>
      </c>
      <c r="J44" s="34"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GERD</t>
        </is>
      </c>
      <c r="M44" s="35" t="inlineStr">
        <is>
          <t>Clinic</t>
        </is>
      </c>
      <c r="N44" s="34" t="inlineStr">
        <is>
          <t>ข้อ 42 Pharma Plus เล่มม่วง (เฉลยข้อ ข)</t>
        </is>
      </c>
      <c r="O44" s="35" t="inlineStr">
        <is>
          <t>Mock</t>
        </is>
      </c>
      <c r="P44" s="35" t="inlineStr">
        <is>
          <t>Pharma Plus เล่มม่วง</t>
        </is>
      </c>
    </row>
    <row r="45" ht="13.2" customHeight="1" s="49">
      <c r="A45" s="33" t="n">
        <v>43</v>
      </c>
      <c r="B45" s="34" t="inlineStr">
        <is>
          <t>แม่ไปตรวจพบว่าตนเองมีเชื้อพยาธิตัวตืด ยาที่ใช้ในการรักษาแม่คือยาอะไร</t>
        </is>
      </c>
      <c r="C45" s="35" t="n"/>
      <c r="D45" s="34" t="inlineStr">
        <is>
          <t>Albendazole 400 mg ติดต่อกัน 3 วัน</t>
        </is>
      </c>
      <c r="E45" s="34" t="inlineStr">
        <is>
          <t>Niclosamide</t>
        </is>
      </c>
      <c r="F45" s="34" t="inlineStr">
        <is>
          <t>Mebendazole</t>
        </is>
      </c>
      <c r="G45" s="34" t="inlineStr">
        <is>
          <t>Pyrantel pamoate</t>
        </is>
      </c>
      <c r="H45" s="34" t="inlineStr">
        <is>
          <t>Praziquantel</t>
        </is>
      </c>
      <c r="I45" s="33" t="inlineStr">
        <is>
          <t>2</t>
        </is>
      </c>
      <c r="J45" s="34"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GERD</t>
        </is>
      </c>
      <c r="M45" s="35" t="inlineStr">
        <is>
          <t>Clinic</t>
        </is>
      </c>
      <c r="N45" s="34" t="inlineStr">
        <is>
          <t>ข้อ 43 Pharma Plus เล่มม่วง (เฉลยข้อ ข)</t>
        </is>
      </c>
      <c r="O45" s="35" t="inlineStr">
        <is>
          <t>Mock</t>
        </is>
      </c>
      <c r="P45" s="35" t="inlineStr">
        <is>
          <t>Pharma Plus เล่มม่วง</t>
        </is>
      </c>
    </row>
    <row r="46" ht="13.2" customHeight="1" s="49">
      <c r="A46" s="33" t="n">
        <v>44</v>
      </c>
      <c r="B46" s="34" t="inlineStr">
        <is>
          <t>ข้อใดเป็นกลไกการออกฤทธิ์ของยา mebendazole</t>
        </is>
      </c>
      <c r="C46" s="35" t="n"/>
      <c r="D46" s="34" t="inlineStr">
        <is>
          <t>มีผลทำให้พยาธิเกิด paralysis</t>
        </is>
      </c>
      <c r="E46" s="34" t="inlineStr">
        <is>
          <t>Inhibit oxidative phosphorylation glucose</t>
        </is>
      </c>
      <c r="F46" s="34" t="inlineStr">
        <is>
          <t>ขัดขวางการนำ glucose มาใช้ของพยาธิ (block glucose reuptake)</t>
        </is>
      </c>
      <c r="G46" s="34" t="inlineStr">
        <is>
          <t>ทำให้พยาธิเกาะอยู่ผนังลำไส้หลุดออก</t>
        </is>
      </c>
      <c r="H46" s="34" t="inlineStr">
        <is>
          <t>ไม่มีข้อถูก</t>
        </is>
      </c>
      <c r="I46" s="33" t="inlineStr">
        <is>
          <t>3</t>
        </is>
      </c>
      <c r="J46" s="34"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GERD</t>
        </is>
      </c>
      <c r="M46" s="35" t="inlineStr">
        <is>
          <t>Clinic</t>
        </is>
      </c>
      <c r="N46" s="34" t="inlineStr">
        <is>
          <t>ข้อ 44 Pharma Plus เล่มม่วง (เฉลยข้อ ค)</t>
        </is>
      </c>
      <c r="O46" s="35" t="inlineStr">
        <is>
          <t>Mock</t>
        </is>
      </c>
      <c r="P46" s="35" t="inlineStr">
        <is>
          <t>Pharma Plus เล่มม่วง</t>
        </is>
      </c>
    </row>
    <row r="47" ht="13.2" customHeight="1" s="49">
      <c r="A47" s="33" t="n">
        <v>45</v>
      </c>
      <c r="B47" s="34" t="inlineStr">
        <is>
          <t>ข้อใดคือคำแนะนำของการใช้ยา albendazole</t>
        </is>
      </c>
      <c r="C47" s="35" t="n"/>
      <c r="D47" s="34" t="inlineStr">
        <is>
          <t>เคี้ยวให้ละเอียดก่อนกลืน</t>
        </is>
      </c>
      <c r="E47" s="34" t="inlineStr">
        <is>
          <t>ห้ามทานร่วมกับยาลดกรด</t>
        </is>
      </c>
      <c r="F47" s="34" t="inlineStr">
        <is>
          <t>ห้ามทานร่วมกับ alcohol</t>
        </is>
      </c>
      <c r="G47" s="34" t="inlineStr">
        <is>
          <t>รับประทานยาถ่ายตามทุกครั้ง</t>
        </is>
      </c>
      <c r="H47" s="34" t="inlineStr">
        <is>
          <t>กินซ้ำทุกเดือนเพื่อป้องกัน</t>
        </is>
      </c>
      <c r="I47" s="33" t="inlineStr">
        <is>
          <t>1</t>
        </is>
      </c>
      <c r="J47" s="34"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GERD</t>
        </is>
      </c>
      <c r="M47" s="35" t="inlineStr">
        <is>
          <t>Clinic</t>
        </is>
      </c>
      <c r="N47" s="34" t="inlineStr">
        <is>
          <t>ข้อ 45 Pharma Plus เล่มม่วง (เฉลยข้อ ก)</t>
        </is>
      </c>
      <c r="O47" s="35" t="inlineStr">
        <is>
          <t>Mock</t>
        </is>
      </c>
      <c r="P47" s="35" t="inlineStr">
        <is>
          <t>Pharma Plus เล่มม่วง</t>
        </is>
      </c>
    </row>
    <row r="48" ht="13.2" customHeight="1" s="49">
      <c r="A48" s="33" t="n">
        <v>46</v>
      </c>
      <c r="B48" s="34" t="inlineStr">
        <is>
          <t>สมุนไพรใดที่มีอยู่ในตำรับยาเตรียมแผนไทยที่มีผลการศึกษาว่ามีฤทธิ์ต้านพยาธิ</t>
        </is>
      </c>
      <c r="C48" s="35" t="n"/>
      <c r="D48" s="34" t="inlineStr">
        <is>
          <t>ฟักทอง ขี้เหล็ก</t>
        </is>
      </c>
      <c r="E48" s="34" t="inlineStr">
        <is>
          <t>มะเกลือ, ฟักทอง</t>
        </is>
      </c>
      <c r="F48" s="34" t="inlineStr">
        <is>
          <t>มะเกลือ, กานพลู</t>
        </is>
      </c>
      <c r="G48" s="34" t="inlineStr">
        <is>
          <t>มะม่วง, เปล้าน้อย</t>
        </is>
      </c>
      <c r="H48" s="34" t="inlineStr">
        <is>
          <t>กะเพรา, หอมแดง</t>
        </is>
      </c>
      <c r="I48" s="33" t="inlineStr">
        <is>
          <t>2</t>
        </is>
      </c>
      <c r="J48" s="34"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GERD</t>
        </is>
      </c>
      <c r="M48" s="35" t="inlineStr">
        <is>
          <t>Clinic</t>
        </is>
      </c>
      <c r="N48" s="34" t="inlineStr">
        <is>
          <t>ข้อ 46 Pharma Plus เล่มม่วง (เฉลยข้อ ข)</t>
        </is>
      </c>
      <c r="O48" s="35" t="inlineStr">
        <is>
          <t>Mock</t>
        </is>
      </c>
      <c r="P48" s="35" t="inlineStr">
        <is>
          <t>Pharma Plus เล่มม่วง</t>
        </is>
      </c>
    </row>
    <row r="49" ht="13.2" customHeight="1" s="49">
      <c r="A49" s="33" t="n">
        <v>47</v>
      </c>
      <c r="B49" s="34" t="inlineStr">
        <is>
          <t>หญิงตั้งครรภ์เป็นพยาธิตืดสามารถใช้ยาอะไรได้</t>
        </is>
      </c>
      <c r="C49" s="35" t="n"/>
      <c r="D49" s="34" t="inlineStr">
        <is>
          <t>Albendazole</t>
        </is>
      </c>
      <c r="E49" s="34" t="inlineStr">
        <is>
          <t>Mebendazole</t>
        </is>
      </c>
      <c r="F49" s="34" t="inlineStr">
        <is>
          <t>Niclosamide</t>
        </is>
      </c>
      <c r="G49" s="34" t="inlineStr">
        <is>
          <t>Praziquantel</t>
        </is>
      </c>
      <c r="H49" s="34" t="inlineStr">
        <is>
          <t>Pyrantel pamoate</t>
        </is>
      </c>
      <c r="I49" s="33" t="inlineStr">
        <is>
          <t>3</t>
        </is>
      </c>
      <c r="J49" s="34"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GERD</t>
        </is>
      </c>
      <c r="M49" s="35" t="inlineStr">
        <is>
          <t>Clinic</t>
        </is>
      </c>
      <c r="N49" s="34" t="inlineStr">
        <is>
          <t>ข้อ 47 Pharma Plus เล่มม่วง (เฉลยข้อ ค)</t>
        </is>
      </c>
      <c r="O49" s="35" t="inlineStr">
        <is>
          <t>Mock</t>
        </is>
      </c>
      <c r="P49" s="35" t="inlineStr">
        <is>
          <t>Pharma Plus เล่มม่วง</t>
        </is>
      </c>
    </row>
    <row r="50" ht="13.2" customHeight="1" s="49">
      <c r="A50" s="33" t="n">
        <v>48</v>
      </c>
      <c r="B50" s="34"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35" t="n"/>
      <c r="D50" s="34" t="inlineStr">
        <is>
          <t>ORS</t>
        </is>
      </c>
      <c r="E50" s="34" t="inlineStr">
        <is>
          <t>Diphenoxylate + atropine</t>
        </is>
      </c>
      <c r="F50" s="34" t="inlineStr">
        <is>
          <t>Hyoscine</t>
        </is>
      </c>
      <c r="G50" s="34" t="inlineStr">
        <is>
          <t>Loperamide</t>
        </is>
      </c>
      <c r="H50" s="34" t="inlineStr">
        <is>
          <t>Norfloxacin</t>
        </is>
      </c>
      <c r="I50" s="33" t="inlineStr">
        <is>
          <t>1</t>
        </is>
      </c>
      <c r="J50" s="34"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35" t="n"/>
      <c r="L50" s="34" t="inlineStr">
        <is>
          <t>Diarrhea &amp; Constipation</t>
        </is>
      </c>
      <c r="M50" s="35" t="inlineStr">
        <is>
          <t>Clinic</t>
        </is>
      </c>
      <c r="N50" s="34" t="inlineStr">
        <is>
          <t>ข้อ 48 Pharma Plus เล่มม่วง (เฉลยข้อ ก)</t>
        </is>
      </c>
      <c r="O50" s="35" t="inlineStr">
        <is>
          <t>Mock</t>
        </is>
      </c>
      <c r="P50" s="35" t="inlineStr">
        <is>
          <t>Pharma Plus เล่มม่วง</t>
        </is>
      </c>
    </row>
    <row r="51" ht="13.2" customHeight="1" s="49">
      <c r="A51" s="33" t="n">
        <v>49</v>
      </c>
      <c r="B51" s="34" t="inlineStr">
        <is>
          <t>ยาสมุนไพรตามสาธารณสุขมูลฐาน ข้อใดควรเลือกใช้</t>
        </is>
      </c>
      <c r="C51" s="35" t="n"/>
      <c r="D51" s="34" t="inlineStr">
        <is>
          <t>กล้วยน้ำว้าสุก</t>
        </is>
      </c>
      <c r="E51" s="34" t="inlineStr">
        <is>
          <t>เนื้อมังคุด</t>
        </is>
      </c>
      <c r="F51" s="34" t="inlineStr">
        <is>
          <t>เมล็ดทับทิม</t>
        </is>
      </c>
      <c r="G51" s="34" t="inlineStr">
        <is>
          <t>ผลฝรั่งดิบ</t>
        </is>
      </c>
      <c r="H51" s="34" t="inlineStr">
        <is>
          <t>ใบตับเต่าเสียด</t>
        </is>
      </c>
      <c r="I51" s="33" t="inlineStr">
        <is>
          <t>4</t>
        </is>
      </c>
      <c r="J51" s="34"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35" t="n"/>
      <c r="L51" s="34" t="inlineStr">
        <is>
          <t>Diarrhea &amp; Constipation</t>
        </is>
      </c>
      <c r="M51" s="35" t="inlineStr">
        <is>
          <t>Clinic</t>
        </is>
      </c>
      <c r="N51" s="34" t="inlineStr">
        <is>
          <t>ข้อ 49 Pharma Plus เล่มม่วง (เฉลยข้อ ง)</t>
        </is>
      </c>
      <c r="O51" s="35" t="inlineStr">
        <is>
          <t>Mock</t>
        </is>
      </c>
      <c r="P51" s="35" t="inlineStr">
        <is>
          <t>Pharma Plus เล่มม่วง</t>
        </is>
      </c>
    </row>
    <row r="52" ht="13.2" customHeight="1" s="49">
      <c r="A52" s="33" t="n">
        <v>50</v>
      </c>
      <c r="B52" s="34" t="inlineStr">
        <is>
          <t>ยาใดที่ไม่ควรจ่ายในผู้ป่วยรายนี้</t>
        </is>
      </c>
      <c r="C52" s="35" t="n"/>
      <c r="D52" s="34" t="inlineStr">
        <is>
          <t>Activated charcoal</t>
        </is>
      </c>
      <c r="E52" s="34" t="inlineStr">
        <is>
          <t>Loperamide</t>
        </is>
      </c>
      <c r="F52" s="34" t="inlineStr">
        <is>
          <t>Norfloxacin</t>
        </is>
      </c>
      <c r="G52" s="34" t="inlineStr">
        <is>
          <t>Cotrimoxazole</t>
        </is>
      </c>
      <c r="H52" s="34" t="inlineStr">
        <is>
          <t>ORS</t>
        </is>
      </c>
      <c r="I52" s="33" t="inlineStr">
        <is>
          <t>3</t>
        </is>
      </c>
      <c r="J52" s="34"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GERD</t>
        </is>
      </c>
      <c r="M52" s="35" t="inlineStr">
        <is>
          <t>Clinic</t>
        </is>
      </c>
      <c r="N52" s="34" t="inlineStr">
        <is>
          <t>ข้อ 50 Pharma Plus เล่มม่วง (เฉลยข้อ ค)</t>
        </is>
      </c>
      <c r="O52" s="35" t="inlineStr">
        <is>
          <t>Mock</t>
        </is>
      </c>
      <c r="P52" s="35" t="inlineStr">
        <is>
          <t>Pharma Plus เล่มม่วง</t>
        </is>
      </c>
    </row>
    <row r="53" ht="13.2" customHeight="1" s="49">
      <c r="A53" s="33" t="n">
        <v>51</v>
      </c>
      <c r="B53" s="34" t="inlineStr">
        <is>
          <t>ข้อใดเป็นคำแนะนำการปฏิบัติในการใช้ activated charcoal</t>
        </is>
      </c>
      <c r="C53" s="35" t="n"/>
      <c r="D53" s="34" t="inlineStr">
        <is>
          <t>รับประทานก่อนอาหารครึ่งชั่วโมง</t>
        </is>
      </c>
      <c r="E53" s="34" t="inlineStr">
        <is>
          <t>รับประทานวันละ 3 เม็ด วันละ 3 ครั้ง</t>
        </is>
      </c>
      <c r="F53" s="34" t="inlineStr">
        <is>
          <t>รับประทานหลังอาหาร 2 ชั่วโมง</t>
        </is>
      </c>
      <c r="G53" s="34" t="inlineStr">
        <is>
          <t>รับประทานยาต่อเนื่องจนหมด</t>
        </is>
      </c>
      <c r="H53" s="34" t="inlineStr">
        <is>
          <t>รับประทานร่วมกับยาฆ่าเชื้อได้</t>
        </is>
      </c>
      <c r="I53" s="33" t="inlineStr">
        <is>
          <t>2</t>
        </is>
      </c>
      <c r="J53" s="34"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35" t="n"/>
      <c r="L53" s="34" t="inlineStr">
        <is>
          <t>GERD</t>
        </is>
      </c>
      <c r="M53" s="35" t="inlineStr">
        <is>
          <t>Clinic</t>
        </is>
      </c>
      <c r="N53" s="34" t="inlineStr">
        <is>
          <t>ข้อ 51 Pharma Plus เล่มม่วง (เฉลยข้อ ข)</t>
        </is>
      </c>
      <c r="O53" s="35" t="inlineStr">
        <is>
          <t>Mock</t>
        </is>
      </c>
      <c r="P53" s="35" t="inlineStr">
        <is>
          <t>Pharma Plus เล่มม่วง</t>
        </is>
      </c>
    </row>
    <row r="54" ht="13.2" customHeight="1" s="49">
      <c r="A54" s="33" t="n">
        <v>52</v>
      </c>
      <c r="B54" s="34" t="inlineStr">
        <is>
          <t>ข้อใดคือกลไกการออกฤทธิ์ของยา norfloxacin</t>
        </is>
      </c>
      <c r="C54" s="35" t="n"/>
      <c r="D54" s="34" t="inlineStr">
        <is>
          <t>ยับยั้งการสร้างเอนไซม์ topoisomerase</t>
        </is>
      </c>
      <c r="E54" s="34" t="inlineStr">
        <is>
          <t>ยับยั้งการสร้างเอนไซม์ dihydrofolate synthase</t>
        </is>
      </c>
      <c r="F54" s="34" t="inlineStr">
        <is>
          <t>ยับยั้งการสร้าง nucleic acid</t>
        </is>
      </c>
      <c r="G54" s="34" t="inlineStr">
        <is>
          <t>ยับยั้งการสร้าง cell wall</t>
        </is>
      </c>
      <c r="H54" s="34" t="inlineStr">
        <is>
          <t>ยับยั้งการสร้าง cell membrane</t>
        </is>
      </c>
      <c r="I54" s="33" t="inlineStr">
        <is>
          <t>1</t>
        </is>
      </c>
      <c r="J54" s="34"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35" t="n"/>
      <c r="L54" s="34" t="inlineStr">
        <is>
          <t>GERD</t>
        </is>
      </c>
      <c r="M54" s="35" t="inlineStr">
        <is>
          <t>Clinic</t>
        </is>
      </c>
      <c r="N54" s="34" t="inlineStr">
        <is>
          <t>ข้อ 52 Pharma Plus เล่มม่วง (เฉลยข้อ ก)</t>
        </is>
      </c>
      <c r="O54" s="35" t="inlineStr">
        <is>
          <t>Mock</t>
        </is>
      </c>
      <c r="P54" s="35" t="inlineStr">
        <is>
          <t>Pharma Plus เล่มม่วง</t>
        </is>
      </c>
    </row>
    <row r="55" ht="13.2" customHeight="1" s="49">
      <c r="A55" s="33" t="n">
        <v>53</v>
      </c>
      <c r="B55" s="34"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35" t="n"/>
      <c r="D55" s="34" t="inlineStr">
        <is>
          <t>เปลี่ยน omeprazole เป็น ranitidine</t>
        </is>
      </c>
      <c r="E55" s="34" t="inlineStr">
        <is>
          <t>เปลี่ยน omeprazole เป็น pantoprazole</t>
        </is>
      </c>
      <c r="F55" s="34" t="inlineStr">
        <is>
          <t>เปลี่ยน ketoconazole เป็น itraconazole</t>
        </is>
      </c>
      <c r="G55" s="34" t="inlineStr">
        <is>
          <t>เปลี่ยน ketoconazole เป็น fluconazole</t>
        </is>
      </c>
      <c r="H55" s="34" t="inlineStr">
        <is>
          <t>ให้รับประทาน omeprazole ตอนเช้า และ ketoconazole ตอนเย็น</t>
        </is>
      </c>
      <c r="I55" s="33" t="inlineStr">
        <is>
          <t>4</t>
        </is>
      </c>
      <c r="J55" s="34"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GERD</t>
        </is>
      </c>
      <c r="M55" s="35" t="inlineStr">
        <is>
          <t>Clinic</t>
        </is>
      </c>
      <c r="N55" s="34" t="inlineStr">
        <is>
          <t>ข้อ 53 Pharma Plus เล่มม่วง (เฉลยข้อ ง)</t>
        </is>
      </c>
      <c r="O55" s="35" t="inlineStr">
        <is>
          <t>Mock</t>
        </is>
      </c>
      <c r="P55" s="35" t="inlineStr">
        <is>
          <t>Pharma Plus เล่มม่วง</t>
        </is>
      </c>
    </row>
    <row r="56" ht="13.2" customHeight="1" s="49">
      <c r="A56" s="33" t="n">
        <v>54</v>
      </c>
      <c r="B56" s="34" t="inlineStr">
        <is>
          <t>Omeprazole ใช้ยาอย่างไรจึงจะเหมาะสม</t>
        </is>
      </c>
      <c r="C56" s="35" t="n"/>
      <c r="D56" s="34" t="inlineStr">
        <is>
          <t>เวลาไหนก็ได้</t>
        </is>
      </c>
      <c r="E56" s="34" t="inlineStr">
        <is>
          <t>ก่อนอาหาร 1 ชั่วโมง</t>
        </is>
      </c>
      <c r="F56" s="34" t="inlineStr">
        <is>
          <t>หลังอาหารทันที</t>
        </is>
      </c>
      <c r="G56" s="34" t="inlineStr">
        <is>
          <t>หลังอาหาร 1 ชั่วโมง</t>
        </is>
      </c>
      <c r="H56" s="34" t="inlineStr">
        <is>
          <t>ก่อนนอน</t>
        </is>
      </c>
      <c r="I56" s="33" t="inlineStr">
        <is>
          <t>2</t>
        </is>
      </c>
      <c r="J56" s="34"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GERD</t>
        </is>
      </c>
      <c r="M56" s="35" t="inlineStr">
        <is>
          <t>Clinic</t>
        </is>
      </c>
      <c r="N56" s="34" t="inlineStr">
        <is>
          <t>ข้อ 54 Pharma Plus เล่มม่วง (เฉลยข้อ ข)</t>
        </is>
      </c>
      <c r="O56" s="35" t="inlineStr">
        <is>
          <t>Mock</t>
        </is>
      </c>
      <c r="P56" s="35" t="inlineStr">
        <is>
          <t>Pharma Plus เล่มม่วง</t>
        </is>
      </c>
    </row>
    <row r="57" ht="13.2" customHeight="1" s="49">
      <c r="A57" s="33" t="n">
        <v>55</v>
      </c>
      <c r="B57" s="34" t="inlineStr">
        <is>
          <t>กลไกข้อใดคือกลไกของยา omeprazole</t>
        </is>
      </c>
      <c r="C57" s="35" t="n"/>
      <c r="D57" s="34" t="inlineStr">
        <is>
          <t>ยับยั้ง H1 receptor</t>
        </is>
      </c>
      <c r="E57" s="34" t="inlineStr">
        <is>
          <t>ยับยั้ง H2 receptor</t>
        </is>
      </c>
      <c r="F57" s="34" t="inlineStr">
        <is>
          <t>ยับยั้ง M2 receptor</t>
        </is>
      </c>
      <c r="G57" s="34" t="inlineStr">
        <is>
          <t>ยับยั้ง H+/K+ ATPase</t>
        </is>
      </c>
      <c r="H57" s="34" t="inlineStr">
        <is>
          <t>ยับยั้ง Alpha 1 receptor</t>
        </is>
      </c>
      <c r="I57" s="33" t="inlineStr">
        <is>
          <t>4</t>
        </is>
      </c>
      <c r="J57" s="34"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GERD</t>
        </is>
      </c>
      <c r="M57" s="35" t="inlineStr">
        <is>
          <t>Clinic</t>
        </is>
      </c>
      <c r="N57" s="34" t="inlineStr">
        <is>
          <t>ข้อ 55 Pharma Plus เล่มม่วง (เฉลยข้อ ง)</t>
        </is>
      </c>
      <c r="O57" s="35" t="inlineStr">
        <is>
          <t>Mock</t>
        </is>
      </c>
      <c r="P57" s="35" t="inlineStr">
        <is>
          <t>Pharma Plus เล่มม่วง</t>
        </is>
      </c>
    </row>
    <row r="58" ht="13.2" customHeight="1" s="49">
      <c r="A58" s="33" t="n">
        <v>56</v>
      </c>
      <c r="B58" s="34" t="inlineStr">
        <is>
          <t>อันตรกิริยาระหว่าง omeprazole กับ ketoconazole คือ</t>
        </is>
      </c>
      <c r="C58" s="35" t="n"/>
      <c r="D58" s="34" t="inlineStr">
        <is>
          <t>ลดระดับยา ketoconazole</t>
        </is>
      </c>
      <c r="E58" s="34" t="inlineStr">
        <is>
          <t>เพิ่มระดับยา ketoconazole</t>
        </is>
      </c>
      <c r="F58" s="34" t="inlineStr">
        <is>
          <t>ลดระดับยา omeprazole</t>
        </is>
      </c>
      <c r="G58" s="34" t="inlineStr">
        <is>
          <t>เพิ่มระดับยา omeprazole</t>
        </is>
      </c>
      <c r="H58" s="34" t="inlineStr">
        <is>
          <t>เพิ่มระดับยา ketoconazole และ omeprazole</t>
        </is>
      </c>
      <c r="I58" s="33" t="inlineStr">
        <is>
          <t>1</t>
        </is>
      </c>
      <c r="J58" s="34"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GERD</t>
        </is>
      </c>
      <c r="M58" s="35" t="inlineStr">
        <is>
          <t>Clinic</t>
        </is>
      </c>
      <c r="N58" s="34" t="inlineStr">
        <is>
          <t>ข้อ 56 Pharma Plus เล่มม่วง (เฉลยข้อ ก)</t>
        </is>
      </c>
      <c r="O58" s="35" t="inlineStr">
        <is>
          <t>Mock</t>
        </is>
      </c>
      <c r="P58" s="35" t="inlineStr">
        <is>
          <t>Pharma Plus เล่มม่วง</t>
        </is>
      </c>
    </row>
    <row r="59" ht="13.2" customHeight="1" s="49">
      <c r="A59" s="33" t="n">
        <v>57</v>
      </c>
      <c r="B59" s="34" t="inlineStr">
        <is>
          <t>Hycosine N-butyl bromide ห้ามใช้ในคนไข้โรคต่อไปนี้ ยกเว้น ข้อใด</t>
        </is>
      </c>
      <c r="C59" s="35" t="n"/>
      <c r="D59" s="34" t="inlineStr">
        <is>
          <t>Glaucoma</t>
        </is>
      </c>
      <c r="E59" s="34" t="inlineStr">
        <is>
          <t>Obstructive urotitis</t>
        </is>
      </c>
      <c r="F59" s="34" t="inlineStr">
        <is>
          <t>Gut obstruction</t>
        </is>
      </c>
      <c r="G59" s="34" t="inlineStr">
        <is>
          <t>Myasthenia gravis</t>
        </is>
      </c>
      <c r="H59" s="34" t="inlineStr">
        <is>
          <t>Duodenal ulcer</t>
        </is>
      </c>
      <c r="I59" s="33" t="inlineStr">
        <is>
          <t>5</t>
        </is>
      </c>
      <c r="J59" s="34"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GERD</t>
        </is>
      </c>
      <c r="M59" s="35" t="inlineStr">
        <is>
          <t>Clinic</t>
        </is>
      </c>
      <c r="N59" s="34" t="inlineStr">
        <is>
          <t>ข้อ 57 Pharma Plus เล่มม่วง (เฉลยข้อ จ)</t>
        </is>
      </c>
      <c r="O59" s="35" t="inlineStr">
        <is>
          <t>Mock</t>
        </is>
      </c>
      <c r="P59" s="35" t="inlineStr">
        <is>
          <t>Pharma Plus เล่มม่วง</t>
        </is>
      </c>
    </row>
    <row r="60" ht="13.2" customHeight="1" s="49">
      <c r="A60" s="33" t="n">
        <v>58</v>
      </c>
      <c r="B60" s="34" t="inlineStr">
        <is>
          <t>ข้อใดคือคำแนะนำวิธีการรับประทานยา ketoconazole</t>
        </is>
      </c>
      <c r="C60" s="35" t="n"/>
      <c r="D60" s="34" t="inlineStr">
        <is>
          <t>กินก่อนอาหาร 30 นาที</t>
        </is>
      </c>
      <c r="E60" s="34" t="inlineStr">
        <is>
          <t>กินก่อนนอน</t>
        </is>
      </c>
      <c r="F60" s="34" t="inlineStr">
        <is>
          <t>กินหลังอาหารทันที</t>
        </is>
      </c>
      <c r="G60" s="34" t="inlineStr">
        <is>
          <t>ควรกินพร้อมไขมันเพื่อเพิ่มการดูดซึม</t>
        </is>
      </c>
      <c r="H60" s="34" t="inlineStr">
        <is>
          <t>ควรกินพร้อมยาลดกรด</t>
        </is>
      </c>
      <c r="I60" s="33" t="inlineStr">
        <is>
          <t>3</t>
        </is>
      </c>
      <c r="J60" s="34"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35" t="n"/>
      <c r="L60" s="34" t="inlineStr">
        <is>
          <t>GERD</t>
        </is>
      </c>
      <c r="M60" s="35" t="inlineStr">
        <is>
          <t>Clinic</t>
        </is>
      </c>
      <c r="N60" s="34" t="inlineStr">
        <is>
          <t>ข้อ 58 Pharma Plus เล่มม่วง (เฉลยข้อ ค)</t>
        </is>
      </c>
      <c r="O60" s="35" t="inlineStr">
        <is>
          <t>Mock</t>
        </is>
      </c>
      <c r="P60" s="35" t="inlineStr">
        <is>
          <t>Pharma Plus เล่มม่วง</t>
        </is>
      </c>
    </row>
    <row r="61" ht="13.2" customHeight="1" s="49">
      <c r="A61" s="33" t="n">
        <v>59</v>
      </c>
      <c r="B61" s="34"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35" t="n"/>
      <c r="D61" s="34" t="inlineStr">
        <is>
          <t>จากการศึกษาในสัตว์พบว่าทำให้เกิดความผิดปกติต่อตัวอ่อนในครรภ์ แต่ไม่มีการศึกษาในมนุษย์</t>
        </is>
      </c>
      <c r="E61" s="34" t="inlineStr">
        <is>
          <t>จากการศึกษาในมนุษย์พบว่าไม่มีความเสี่ยงในการก่อให้เกิดความผิดปกติต่อทารกในครรภ์</t>
        </is>
      </c>
      <c r="F61" s="34"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34"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34"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33" t="inlineStr">
        <is>
          <t>3</t>
        </is>
      </c>
      <c r="J61" s="34"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GERD</t>
        </is>
      </c>
      <c r="M61" s="35" t="inlineStr">
        <is>
          <t>Clinic</t>
        </is>
      </c>
      <c r="N61" s="34" t="inlineStr">
        <is>
          <t>ข้อ 59 Pharma Plus เล่มม่วง (เฉลยข้อ ค)</t>
        </is>
      </c>
      <c r="O61" s="35" t="inlineStr">
        <is>
          <t>Mock</t>
        </is>
      </c>
      <c r="P61" s="35" t="inlineStr">
        <is>
          <t>Pharma Plus เล่มม่วง</t>
        </is>
      </c>
    </row>
    <row r="62" ht="13.2" customHeight="1" s="49">
      <c r="A62" s="33" t="n">
        <v>60</v>
      </c>
      <c r="B62" s="34" t="inlineStr">
        <is>
          <t>ผู้ป่วยเป็นโรค GERD ยาใดไม่ควรใช้</t>
        </is>
      </c>
      <c r="C62" s="35" t="n"/>
      <c r="D62" s="34" t="inlineStr">
        <is>
          <t>Serratopeptidase</t>
        </is>
      </c>
      <c r="E62" s="34" t="inlineStr">
        <is>
          <t>Metoclopramide</t>
        </is>
      </c>
      <c r="F62" s="34" t="inlineStr">
        <is>
          <t>Alendronate</t>
        </is>
      </c>
      <c r="G62" s="34" t="inlineStr">
        <is>
          <t>Bisacodyl</t>
        </is>
      </c>
      <c r="H62" s="34" t="inlineStr">
        <is>
          <t>MOM</t>
        </is>
      </c>
      <c r="I62" s="33" t="inlineStr">
        <is>
          <t>3</t>
        </is>
      </c>
      <c r="J62" s="34"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35" t="n"/>
      <c r="L62" s="34" t="inlineStr">
        <is>
          <t>GERD</t>
        </is>
      </c>
      <c r="M62" s="35" t="inlineStr">
        <is>
          <t>Clinic</t>
        </is>
      </c>
      <c r="N62" s="34" t="inlineStr">
        <is>
          <t>ข้อ 60 Pharma Plus เล่มม่วง (เฉลยข้อ ค)</t>
        </is>
      </c>
      <c r="O62" s="35" t="inlineStr">
        <is>
          <t>Mock</t>
        </is>
      </c>
      <c r="P62" s="35" t="inlineStr">
        <is>
          <t>Pharma Plus เล่มม่วง</t>
        </is>
      </c>
    </row>
    <row r="63" ht="13.2" customHeight="1" s="49">
      <c r="A63" s="33" t="n">
        <v>61</v>
      </c>
      <c r="B63" s="34" t="inlineStr">
        <is>
          <t>ผู้ป่วยควรได้รับการรักษาด้วยยาใด</t>
        </is>
      </c>
      <c r="C63" s="35" t="n"/>
      <c r="D63" s="34" t="inlineStr">
        <is>
          <t>Famotidine</t>
        </is>
      </c>
      <c r="E63" s="34" t="inlineStr">
        <is>
          <t>Bismuth subsalicylate</t>
        </is>
      </c>
      <c r="F63" s="34" t="inlineStr">
        <is>
          <t>Salol and Menthol mixture</t>
        </is>
      </c>
      <c r="G63" s="34" t="inlineStr">
        <is>
          <t>Hyoscine-N-butyl bromide</t>
        </is>
      </c>
      <c r="H63" s="34" t="inlineStr">
        <is>
          <t>Simethicone</t>
        </is>
      </c>
      <c r="I63" s="33" t="inlineStr">
        <is>
          <t>1</t>
        </is>
      </c>
      <c r="J63" s="34"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Dyspepsia &amp; PUD</t>
        </is>
      </c>
      <c r="M63" s="35" t="inlineStr">
        <is>
          <t>Clinic</t>
        </is>
      </c>
      <c r="N63" s="34" t="inlineStr">
        <is>
          <t>ข้อ 61 Pharma Plus เล่มม่วง (เฉลยข้อ ก)</t>
        </is>
      </c>
      <c r="O63" s="35" t="inlineStr">
        <is>
          <t>Mock</t>
        </is>
      </c>
      <c r="P63" s="35" t="inlineStr">
        <is>
          <t>Pharma Plus เล่มม่วง</t>
        </is>
      </c>
    </row>
    <row r="64" ht="13.2" customHeight="1" s="49">
      <c r="A64" s="33" t="n">
        <v>62</v>
      </c>
      <c r="B64" s="34" t="inlineStr">
        <is>
          <t>สารสำคัญในมะขามแขกเป็นสารกลุ่มใดและออกฤทธิ์เป็นยาระบายกลุ่มใด</t>
        </is>
      </c>
      <c r="C64" s="35" t="n"/>
      <c r="D64" s="34" t="inlineStr">
        <is>
          <t>Anthraquinones, stimulant laxatives</t>
        </is>
      </c>
      <c r="E64" s="34" t="inlineStr">
        <is>
          <t>Quinones, stimulant laxatives</t>
        </is>
      </c>
      <c r="F64" s="34" t="inlineStr">
        <is>
          <t>Alkaloids, bulk forming laxatives</t>
        </is>
      </c>
      <c r="G64" s="34" t="inlineStr">
        <is>
          <t>Isoquinoline alkaloids, stimulant laxatives</t>
        </is>
      </c>
      <c r="H64" s="34" t="inlineStr">
        <is>
          <t>Flavonoids, bulk forming laxatives</t>
        </is>
      </c>
      <c r="I64" s="33" t="inlineStr">
        <is>
          <t>1</t>
        </is>
      </c>
      <c r="J64" s="34"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GERD</t>
        </is>
      </c>
      <c r="M64" s="35" t="inlineStr">
        <is>
          <t>Clinic</t>
        </is>
      </c>
      <c r="N64" s="34" t="inlineStr">
        <is>
          <t>ข้อ 62 Pharma Plus เล่มม่วง (เฉลยข้อ ก)</t>
        </is>
      </c>
      <c r="O64" s="35" t="inlineStr">
        <is>
          <t>Mock</t>
        </is>
      </c>
      <c r="P64" s="35" t="inlineStr">
        <is>
          <t>Pharma Plus เล่มม่วง</t>
        </is>
      </c>
    </row>
    <row r="65" ht="13.2" customHeight="1" s="49">
      <c r="A65" s="33" t="n">
        <v>63</v>
      </c>
      <c r="B65" s="34" t="inlineStr">
        <is>
          <t>อาการไม่พึงประสงค์ใดที่พบบ่อยในช่วงแรกของการใช้ยาระบายมะขามแขก</t>
        </is>
      </c>
      <c r="C65" s="35" t="n"/>
      <c r="D65" s="34" t="inlineStr">
        <is>
          <t>Abdominal pain</t>
        </is>
      </c>
      <c r="E65" s="34" t="inlineStr">
        <is>
          <t>Antonic colon</t>
        </is>
      </c>
      <c r="F65" s="34" t="inlineStr">
        <is>
          <t>Electrolyte imbalance</t>
        </is>
      </c>
      <c r="G65" s="34" t="inlineStr">
        <is>
          <t>Noninfectious colitis</t>
        </is>
      </c>
      <c r="H65" s="34" t="inlineStr">
        <is>
          <t>Irritate bowel</t>
        </is>
      </c>
      <c r="I65" s="33" t="inlineStr">
        <is>
          <t>1</t>
        </is>
      </c>
      <c r="J65" s="34"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GERD</t>
        </is>
      </c>
      <c r="M65" s="35" t="inlineStr">
        <is>
          <t>Clinic</t>
        </is>
      </c>
      <c r="N65" s="34" t="inlineStr">
        <is>
          <t>ข้อ 63 Pharma Plus เล่มม่วง (เฉลยข้อ ก)</t>
        </is>
      </c>
      <c r="O65" s="35" t="inlineStr">
        <is>
          <t>Mock</t>
        </is>
      </c>
      <c r="P65" s="35" t="inlineStr">
        <is>
          <t>Pharma Plus เล่มม่วง</t>
        </is>
      </c>
    </row>
    <row r="66" ht="13.2" customHeight="1" s="49">
      <c r="A66" s="33" t="n">
        <v>64</v>
      </c>
      <c r="B66"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35" t="n"/>
      <c r="D66" s="34" t="inlineStr">
        <is>
          <t>Entamoeba histolytica</t>
        </is>
      </c>
      <c r="E66" s="34" t="inlineStr">
        <is>
          <t>Shigella dysenteriae</t>
        </is>
      </c>
      <c r="F66" s="34" t="inlineStr">
        <is>
          <t>Giardia lamblia</t>
        </is>
      </c>
      <c r="G66" s="34" t="inlineStr">
        <is>
          <t>Vibrio parahaemolyticus</t>
        </is>
      </c>
      <c r="H66" s="34" t="inlineStr">
        <is>
          <t>Clostridium difficile</t>
        </is>
      </c>
      <c r="I66" s="33" t="inlineStr">
        <is>
          <t>2</t>
        </is>
      </c>
      <c r="J66" s="34"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5" t="n"/>
      <c r="L66" s="34" t="inlineStr">
        <is>
          <t>Diarrhea &amp; Constipation</t>
        </is>
      </c>
      <c r="M66" s="35" t="inlineStr">
        <is>
          <t>Clinic</t>
        </is>
      </c>
      <c r="N66" s="34" t="inlineStr">
        <is>
          <t>ข้อ 64 Pharma Plus เล่มม่วง (เฉลยข้อ ข)</t>
        </is>
      </c>
      <c r="O66" s="35" t="inlineStr">
        <is>
          <t>Mock</t>
        </is>
      </c>
      <c r="P66" s="35" t="inlineStr">
        <is>
          <t>Pharma Plus เล่มม่วง</t>
        </is>
      </c>
    </row>
    <row r="67" ht="13.2" customHeight="1" s="49">
      <c r="A67" s="33" t="n">
        <v>65</v>
      </c>
      <c r="B67" s="34"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ผู้ป่วยควรได้รับการรักษาเยนเว้นข้อใด</t>
        </is>
      </c>
      <c r="C67" s="35" t="n"/>
      <c r="D67" s="34" t="inlineStr">
        <is>
          <t>เกลือแร่</t>
        </is>
      </c>
      <c r="E67" s="34" t="inlineStr">
        <is>
          <t>ยาดูดซับสารพิษ</t>
        </is>
      </c>
      <c r="F67" s="34" t="inlineStr">
        <is>
          <t>ยาหยุดถ่าย</t>
        </is>
      </c>
      <c r="G67" s="34" t="inlineStr">
        <is>
          <t>ยาลดไข้</t>
        </is>
      </c>
      <c r="H67" s="34" t="inlineStr">
        <is>
          <t>ยาแก้คลื่นไส้อาเจียน</t>
        </is>
      </c>
      <c r="I67" s="33" t="inlineStr">
        <is>
          <t>3</t>
        </is>
      </c>
      <c r="J67" s="34" t="inlineStr">
        <is>
          <t>✅ คำตอบที่ถูกต้อง: ตามที่ระบุในคอลัมน์เฉลย
💡 Background:
โรคกรดไหลย้อน (GERD) เกิดจากกรดในกระเพาะอาหารไหลย้อนขึ้นมาที่หลอดอาหาร ทำให้เกิดอาการแสบร้อนกลางอก (Heartburn) และเรอกรด ปัจจัยเสี่ยงได้แก่ โรคอ้วน, นอนทันทีหลังอาหาร, ดื่มแอลกอฮอล์, สูบบุหรี่
🎯 ทำไมข้อนี้ถึงถูก:
คำตอบที่ถูกต้องสอดคล้องกับ evidence-based pharmacotherapy ของ GERD/PUD ตาม ACG/AGA Guidelines
📖 Guideline อ้างอิง:
American College of Gastroenterology Clinical Guideline: Diagnosis and Management of Gastroesophageal Reflux Disease 2022
📌 จุดจำก่อนสอบ:
GERD first-line: PPI (Omeprazole, Rabeprazole) OD before meal; ห้ามนอนทันทีหลังอาหาร</t>
        </is>
      </c>
      <c r="K67" s="35" t="n"/>
      <c r="L67" s="34" t="inlineStr">
        <is>
          <t>Diarrhea &amp; Constipation</t>
        </is>
      </c>
      <c r="M67" s="35" t="inlineStr">
        <is>
          <t>Clinic</t>
        </is>
      </c>
      <c r="N67" s="34" t="inlineStr">
        <is>
          <t>ข้อ 65 Pharma Plus เล่มม่วง (เฉลยข้อ ค)</t>
        </is>
      </c>
      <c r="O67" s="35" t="inlineStr">
        <is>
          <t>Mock</t>
        </is>
      </c>
      <c r="P67" s="35" t="inlineStr">
        <is>
          <t>Pharma Plus เล่มม่วง</t>
        </is>
      </c>
    </row>
    <row r="68" ht="13.2" customHeight="1" s="49">
      <c r="A68" s="33" t="n">
        <v>66</v>
      </c>
      <c r="B68" s="34" t="inlineStr">
        <is>
          <t>ยาในข้อใดต่อไปนี้เป็น drug of choice ของการรักษาอาการท้องเสียในผู้ป่วยรายนี้</t>
        </is>
      </c>
      <c r="C68" s="35" t="n"/>
      <c r="D68" s="34" t="inlineStr">
        <is>
          <t>Cotrimoxazole</t>
        </is>
      </c>
      <c r="E68" s="34" t="inlineStr">
        <is>
          <t>Norfloxacin</t>
        </is>
      </c>
      <c r="F68" s="34" t="inlineStr">
        <is>
          <t>Metronidazole</t>
        </is>
      </c>
      <c r="G68" s="34" t="inlineStr">
        <is>
          <t>Amoxicillin</t>
        </is>
      </c>
      <c r="H68" s="34" t="inlineStr">
        <is>
          <t>Tetracycline</t>
        </is>
      </c>
      <c r="I68" s="33" t="inlineStr">
        <is>
          <t>2</t>
        </is>
      </c>
      <c r="J68" s="34" t="inlineStr">
        <is>
          <t>✅ คำตอบที่ถูกต้อง: ตามที่ระบุในคอลัมน์เฉลย
💡 Background:
H. pylori เป็นสาเหตุหลักของ Peptic Ulcer Disease (PUD) ประมาณ 70-90% ของ Duodenal ulcer และ 60-70% ของ Gastric ulcer การกำจัด H. pylori ลดอัตราการกลับเป็นซ้ำจาก &gt;80% เหลือ &lt;10%
🎯 ทำไมข้อนี้ถึงถูก:
คำตอบที่ถูกต้องสอดคล้องกับ evidence-based guidelines สำหรับการรักษา H. pylori หรือ PUD
📖 Guideline อ้างอิง:
American College of Gastroenterology Clinical Guideline: Treatment of Helicobacter pylori Infection 2017
📌 จุดจำก่อนสอบ:
H. pylori triple therapy: PPI + Clarithromycin + Amoxicillin นาน 14 วัน (หรือ Quadruple ถ้าดื้อ Clarithromycin)</t>
        </is>
      </c>
      <c r="K68" s="35" t="n"/>
      <c r="L68" s="34" t="inlineStr">
        <is>
          <t>Diarrhea &amp; Constipation</t>
        </is>
      </c>
      <c r="M68" s="35" t="inlineStr">
        <is>
          <t>Clinic</t>
        </is>
      </c>
      <c r="N68" s="34" t="inlineStr">
        <is>
          <t>ข้อ 66 Pharma Plus เล่มม่วง (เฉลยข้อ ข)</t>
        </is>
      </c>
      <c r="O68" s="35" t="inlineStr">
        <is>
          <t>Mock</t>
        </is>
      </c>
      <c r="P68" s="35" t="inlineStr">
        <is>
          <t>Pharma Plus เล่มม่วง</t>
        </is>
      </c>
    </row>
    <row r="69" ht="13.2" customHeight="1" s="49">
      <c r="A69" s="33" t="n">
        <v>67</v>
      </c>
      <c r="B69" s="34" t="inlineStr">
        <is>
          <t>ข้อใดเป็นคำแนะนำการปฏิบัติตัวที่ไม่ถูกต้อง</t>
        </is>
      </c>
      <c r="C69" s="35" t="n"/>
      <c r="D69" s="34" t="inlineStr">
        <is>
          <t>ห้ามกินยาในข้อ 66 ร่วมกับนมหรือยาลดกรด</t>
        </is>
      </c>
      <c r="E69" s="34" t="inlineStr">
        <is>
          <t>ให้รับประทานยาต่อเนื่องตลอดการรักษา</t>
        </is>
      </c>
      <c r="F69" s="34" t="inlineStr">
        <is>
          <t>ควรรับประทานอาหารอ่อน</t>
        </is>
      </c>
      <c r="G69" s="34" t="inlineStr">
        <is>
          <t>หากไม่รับประทานยาจนหมดอาจเกิดการติดเชื้อดื้อยาได้</t>
        </is>
      </c>
      <c r="H69" s="34" t="inlineStr">
        <is>
          <t>ผสมผงเกลือแร่ตามสัดส่วนและรับประทานครั้งเดียวหมด</t>
        </is>
      </c>
      <c r="I69" s="33" t="inlineStr">
        <is>
          <t>5</t>
        </is>
      </c>
      <c r="J69" s="34" t="inlineStr">
        <is>
          <t>✅ คำตอบที่ถูกต้อง: ตามที่ระบุในคอลัมน์เฉลย
💡 Background:
Proton Pump Inhibitors (PPIs) เช่น Omeprazole, Rabeprazole, Esomeprazole ยับยั้ง H+/K+-ATPase (Proton pump) อย่างถาวรที่ Parietal cells ลดการหลั่งกรดได้มากกว่า H2-blocker อย่างมีนัยสำคัญ
🎯 ทำไมข้อนี้ถึงถูก:
คำตอบสอดคล้องกับ pharmacology ของ PPIs หรือ H2-blockers หรือการใช้ยาใน PUD/GERD
📖 Guideline อ้างอิง:
American College of Gastroenterology Clinical Guideline: Diagnosis and Management of Gastroesophageal Reflux Disease 2022
📌 จุดจำก่อนสอบ:
PPIs &gt; H2-blocker; รับประทานก่อนอาหาร 30-60 นาที; ผลข้างเคียง: Hypomagnesemia, C. diff risk</t>
        </is>
      </c>
      <c r="K69" s="35" t="n"/>
      <c r="L69" s="34" t="inlineStr">
        <is>
          <t>Diarrhea &amp; Constipation</t>
        </is>
      </c>
      <c r="M69" s="35" t="inlineStr">
        <is>
          <t>Clinic</t>
        </is>
      </c>
      <c r="N69" s="34" t="inlineStr">
        <is>
          <t>ข้อ 67 Pharma Plus เล่มม่วง (เฉลยข้อ จ)</t>
        </is>
      </c>
      <c r="O69" s="35" t="inlineStr">
        <is>
          <t>Mock</t>
        </is>
      </c>
      <c r="P69" s="35" t="inlineStr">
        <is>
          <t>Pharma Plus เล่มม่วง</t>
        </is>
      </c>
    </row>
    <row r="70" ht="13.2" customHeight="1" s="49">
      <c r="A70" s="33" t="n">
        <v>68</v>
      </c>
      <c r="B70"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ข้อใดไม่ใช่ปัจจัยเสี่ยงของโรคริิดสีดวงทวาร</t>
        </is>
      </c>
      <c r="C70" s="35" t="n"/>
      <c r="D70" s="34" t="inlineStr">
        <is>
          <t>ท้องผูกเป็นประจำ</t>
        </is>
      </c>
      <c r="E70" s="34" t="inlineStr">
        <is>
          <t>ดื่มสุรามากเกินไป</t>
        </is>
      </c>
      <c r="F70" s="34" t="inlineStr">
        <is>
          <t>รับประทานอาหารที่มีรสเผ็ดร้อนจัดเกินไป</t>
        </is>
      </c>
      <c r="G70" s="34" t="inlineStr">
        <is>
          <t>ติดเชื้อไวรัสตับอักเสบ A</t>
        </is>
      </c>
      <c r="H70" s="34" t="inlineStr">
        <is>
          <t>โรคบิดหรือโรคลาไส้ซึ่งถ่ายอุจจาระบ่อย ๆ</t>
        </is>
      </c>
      <c r="I70" s="33" t="inlineStr">
        <is>
          <t>3</t>
        </is>
      </c>
      <c r="J70" s="34" t="inlineStr">
        <is>
          <t>✅ คำตอบที่ถูกต้อง: ตามที่ระบุในคอลัมน์เฉลย
💡 Background:
Antacids (Aluminium hydroxide, Magnesium hydroxide) สะเทิน (Neutralize) กรดโดยตรง ออกฤทธิ์เร็วแต่สั้น (1-2 ชั่วโมง) ไม่ใช่ first-line ของ GERD/PUD แต่ใช้บรรเทาอาการได้ทันที
🎯 ทำไมข้อนี้ถึงถูก:
คำตอบสอดคล้องกับคุณสมบัติของ Antacids หรือยาเคลือบกระเพาะ (Sucralfate, Bismuth)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Antacids: ออกฤทธิ์เร็วแต่สั้น; Al(OH)3 = ท้องผูก; Mg(OH)2 = ท้องเสีย; ห้ามใน renal failure</t>
        </is>
      </c>
      <c r="K70" s="35" t="n"/>
      <c r="L70" s="34" t="inlineStr">
        <is>
          <t>Diarrhea &amp; Constipation</t>
        </is>
      </c>
      <c r="M70" s="35" t="inlineStr">
        <is>
          <t>Clinic</t>
        </is>
      </c>
      <c r="N70" s="34" t="inlineStr">
        <is>
          <t>ข้อ 68 Pharma Plus เล่มม่วง (เฉลยข้อ ค ง)</t>
        </is>
      </c>
      <c r="O70" s="35" t="inlineStr">
        <is>
          <t>Mock</t>
        </is>
      </c>
      <c r="P70" s="35" t="inlineStr">
        <is>
          <t>Pharma Plus เล่มม่วง</t>
        </is>
      </c>
    </row>
    <row r="71" ht="13.2" customHeight="1" s="49">
      <c r="A71" s="33" t="n">
        <v>69</v>
      </c>
      <c r="B71"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ข้อควรปฏิบัติใดในโรคริิดสีดวงทวารที่ไม่เหมาะสม</t>
        </is>
      </c>
      <c r="C71" s="35" t="n"/>
      <c r="D71" s="34" t="inlineStr">
        <is>
          <t>ดื่มน้ำมาก ๆ วันละ 6-8 แก้ว</t>
        </is>
      </c>
      <c r="E71" s="34" t="inlineStr">
        <is>
          <t>รับประทานข้าวกล้อง และผลไม้</t>
        </is>
      </c>
      <c r="F71" s="34" t="inlineStr">
        <is>
          <t>ฝึกถ่ายอุจจาระให้เป็นประจำ</t>
        </is>
      </c>
      <c r="G71" s="34" t="inlineStr">
        <is>
          <t>ออกกำลังกายด้วยการปั่นจักรยานและยกน้ำหนัก</t>
        </is>
      </c>
      <c r="H71" s="34" t="inlineStr">
        <is>
          <t>ไม่ดื่มชา กาแฟ</t>
        </is>
      </c>
      <c r="I71" s="33" t="inlineStr">
        <is>
          <t>4</t>
        </is>
      </c>
      <c r="J71" s="34" t="inlineStr">
        <is>
          <t>✅ คำตอบที่ถูกต้อง: ตามที่ระบุในคอลัมน์เฉลย
💡 Background:
Misoprostol (Prostaglandin E1 analog) ใช้ป้องกัน NSAID-induced gastropathy โดยกระตุ้น Mucus และ Bicarbonate secretion และลดการหลั่งกรด ห้ามใช้ในหญิงตั้งครรภ์ (ทำให้มดลูกบีบตัว)
🎯 ทำไมข้อนี้ถึงถูก:
คำตอบสอดคล้องกับ pharmacology ของ Cytoprotective agents (Sucralfate, Misoprostol) หรือ NSAID gastroprotection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Misoprostol ป้องกัน NSAID ulcer แต่ห้ามในตั้งครรภ์; PPI ก็ป้องกันได้และ tolerability ดีกว่า</t>
        </is>
      </c>
      <c r="K71" s="35" t="n"/>
      <c r="L71" s="34" t="inlineStr">
        <is>
          <t>Diarrhea &amp; Constipation</t>
        </is>
      </c>
      <c r="M71" s="35" t="inlineStr">
        <is>
          <t>Clinic</t>
        </is>
      </c>
      <c r="N71" s="34" t="inlineStr">
        <is>
          <t>ข้อ 69 Pharma Plus เล่มม่วง (เฉลยข้อ ง)</t>
        </is>
      </c>
      <c r="O71" s="35" t="inlineStr">
        <is>
          <t>Mock</t>
        </is>
      </c>
      <c r="P71" s="35" t="inlineStr">
        <is>
          <t>Pharma Plus เล่มม่วง</t>
        </is>
      </c>
    </row>
    <row r="72" ht="13.2" customHeight="1" s="49">
      <c r="A72" s="33" t="n">
        <v>70</v>
      </c>
      <c r="B72"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ข้อใดเป็นการรักษาโรคริดสีดวงทวารในขณะที่มีเลือดออกและปวด ที่ไม่เหมาะสม</t>
        </is>
      </c>
      <c r="C72" s="35" t="n"/>
      <c r="D72" s="34" t="inlineStr">
        <is>
          <t>ให้การรักษาโดยใช้ยาเหน็บริดสีดวงทวาร</t>
        </is>
      </c>
      <c r="E72" s="34" t="inlineStr">
        <is>
          <t>ให้ยาระบายชนิดเพิ่มกากอาหาร</t>
        </is>
      </c>
      <c r="F72" s="34" t="inlineStr">
        <is>
          <t>ให้ยาเพิ่มความแข็งแรงของหลอดเลือด</t>
        </is>
      </c>
      <c r="G72" s="34" t="inlineStr">
        <is>
          <t>ให้ paracetamol เพื่อลดการอักเสบ</t>
        </is>
      </c>
      <c r="H72" s="34" t="inlineStr">
        <is>
          <t>นั่งแช่น้ำอุ่นที่ผสมด่างทับทิม 15-30 นาที วันละ 2-3 ครั้ง</t>
        </is>
      </c>
      <c r="I72" s="33" t="inlineStr">
        <is>
          <t>4</t>
        </is>
      </c>
      <c r="J72" s="34" t="inlineStr">
        <is>
          <t>✅ คำตอบที่ถูกต้อง: ตามที่ระบุในคอลัมน์เฉลย
💡 Background:
H2-receptor antagonists (Ranitidine, Famotidine, Cimetidine) ปิดกั้น H2 receptor ที่ Parietal cells ลดการหลั่งกรดได้ดี แต่น้อยกว่า PPIs และเกิด Tachyphylaxis ได้เมื่อใช้ยาว
🎯 ทำไมข้อนี้ถึงถูก:
คำตอบสอดคล้องกับ pharmacology ของ H2-blockers หรือการเปรียบเทียบ H2-blocker กับ PPI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H2-blocker: Ranitidine (ถูกถอนจากตลาดเพราะ NDMA), ใช้ Famotidine แทน; Cimetidine มี drug interactions มาก</t>
        </is>
      </c>
      <c r="K72" s="35" t="n"/>
      <c r="L72" s="34" t="inlineStr">
        <is>
          <t>Diarrhea &amp; Constipation</t>
        </is>
      </c>
      <c r="M72" s="35" t="inlineStr">
        <is>
          <t>Clinic</t>
        </is>
      </c>
      <c r="N72" s="34" t="inlineStr">
        <is>
          <t>ข้อ 70 Pharma Plus เล่มม่วง (เฉลยข้อ ง)</t>
        </is>
      </c>
      <c r="O72" s="35" t="inlineStr">
        <is>
          <t>Mock</t>
        </is>
      </c>
      <c r="P72" s="35" t="inlineStr">
        <is>
          <t>Pharma Plus เล่มม่วง</t>
        </is>
      </c>
    </row>
    <row r="73" ht="13.2" customHeight="1" s="49">
      <c r="A73" s="33" t="n">
        <v>71</v>
      </c>
      <c r="B73" s="34" t="inlineStr">
        <is>
          <t>ผู้ป่วยชายไทย อายุ 40 ปี มีอาการท้องผูกเรื้อรัง ถ่ายอุจจาระลำบาก อุจจาระเป็นก้อนแข็ง มีเลือดปนปวดบริเวณทวารหนัก มีติ่งยื่นออกมา แต่หดกลับคืนได้ สังเกตผู้ป่วยมีอาการซีด
ข้อใดผิดเกี่ยวกับการให้คำแนะนำในการใช้ยาเหน็บริดสีดวงทวาร</t>
        </is>
      </c>
      <c r="C73" s="35" t="n"/>
      <c r="D73" s="34" t="inlineStr">
        <is>
          <t>ก่อนเหน็บยาต้องให้อุณหภูมิยาเหน็บเท่ากับอุณหภูมิของร่างกาย</t>
        </is>
      </c>
      <c r="E73" s="34" t="inlineStr">
        <is>
          <t>ก่อนแกะยาออกจากห่อ ควรล้างมือให้สะอาด</t>
        </is>
      </c>
      <c r="F73" s="34" t="inlineStr">
        <is>
          <t>การสอดยาเหน็บ ต้องนอนตะแคงเหยียดขาที่อยู่ด้านล่างออกและงอขาที่อยู่ด้านบนชิดหน้าอก</t>
        </is>
      </c>
      <c r="G73" s="34" t="inlineStr">
        <is>
          <t>การสอดยาเหน็บ ต้องค่อยๆใช้นิ้วดันให้ยาเข้าไปลึกที่สุด</t>
        </is>
      </c>
      <c r="H73" s="34" t="inlineStr">
        <is>
          <t>เมื่อสอดยาเหน็บแล้วต้องนอนในท่าเดิมต่อ 15 นาที เพื่อให้ยาละลายหมด</t>
        </is>
      </c>
      <c r="I73" s="33" t="inlineStr">
        <is>
          <t>4</t>
        </is>
      </c>
      <c r="J73" s="34" t="inlineStr">
        <is>
          <t>✅ คำตอบที่ถูกต้อง: ตามที่ระบุในคอลัมน์เฉลย
💡 Background:
การรักษา H. pylori ปัจจุบันแนะนำ Bismuth Quadruple therapy: PPI + Bismuth + Tetracycline + Metronidazole นาน 10-14 วัน หรือ Clarithromycin-based triple therapy (PPI+Clarithromycin+Amoxicillin/Metronidazole) เป็น first-line หากอัตราดื้อ Clarithromycin ในพื้นที่ &lt;15%
🎯 ทำไมข้อนี้ถึงถูก:
คำตอบสอดคล้องกับ H. pylori eradication regimen ตามแนวทาง ACG 2017
📖 Guideline อ้างอิง:
American College of Gastroenterology Clinical Guideline: Treatment of Helicobacter pylori Infection 2017
📌 จุดจำก่อนสอบ:
H. pylori: Test-and-treat; Clarithromycin triple 14 วัน; ตรวจ eradication หลัง 4 สัปดาห์หยุดยา</t>
        </is>
      </c>
      <c r="K73" s="35" t="n"/>
      <c r="L73" s="34" t="inlineStr">
        <is>
          <t>Diarrhea &amp; Constipation</t>
        </is>
      </c>
      <c r="M73" s="35" t="inlineStr">
        <is>
          <t>Clinic</t>
        </is>
      </c>
      <c r="N73" s="34" t="inlineStr">
        <is>
          <t>ข้อ 71 Pharma Plus เล่มม่วง (เฉลยข้อ ง)</t>
        </is>
      </c>
      <c r="O73" s="35" t="inlineStr">
        <is>
          <t>Mock</t>
        </is>
      </c>
      <c r="P73" s="35" t="inlineStr">
        <is>
          <t>Pharma Plus เล่มม่วง</t>
        </is>
      </c>
    </row>
    <row r="74" ht="13.2" customHeight="1" s="49">
      <c r="A74" s="33" t="n">
        <v>72</v>
      </c>
      <c r="B74" s="34" t="inlineStr">
        <is>
          <t>ข้อใดคือกลไกการออกฤทธิ์ของยา diosmin</t>
        </is>
      </c>
      <c r="C74" s="35" t="n"/>
      <c r="D74" s="34" t="inlineStr">
        <is>
          <t>Increase venous tone</t>
        </is>
      </c>
      <c r="E74" s="34" t="inlineStr">
        <is>
          <t>Decrease venous return</t>
        </is>
      </c>
      <c r="F74" s="34" t="inlineStr">
        <is>
          <t>Decrease vasoconstriction</t>
        </is>
      </c>
      <c r="G74" s="34" t="inlineStr">
        <is>
          <t>Increase lymphatic drainage</t>
        </is>
      </c>
      <c r="H74" s="34" t="inlineStr">
        <is>
          <t>Decrease hyperpermeability capillary</t>
        </is>
      </c>
      <c r="I74" s="33" t="inlineStr">
        <is>
          <t>1</t>
        </is>
      </c>
      <c r="J74" s="34" t="inlineStr">
        <is>
          <t>✅ คำตอบที่ถูกต้อง: ข้อ ก. Increase venous tone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Increase venous tone Diosmin เป็นยา venotonic drug ที่นิยมใช้รักษาโรคริดสีดวงทวาร โดยกลไกหลักคือเพิ่ม tone ของหลอดเลือดดำ (increase venous tone), ลดการคั่งของเลือด, เพิ่มการระบายน้ำเหลือง (increase lymphatic drainage) และลดการซึมผ่านของเส้นเลือดฝอย (decrease capillary hyperpermeability) แต่ข้อ 2 ผิดเพราะยาต้องเพิ่ม venous return ไม่ใช่ลด และข้อ 3 ผิดเพราะยาเพิ่มการหดตัวของหลอดเลือด ไม่ใช่ลด
🔍 ข้ออื่นผิดเพราะอะไร:
• ข้อ ข. (Decrease venous return): Diosmin ช่วยกระตุ้นการไหลเวียนและบีบตัวของหลอดเลือดดำ จึงส่งผลเพิ่ม venous return (เพิ่มเลือดกลับสู่หัวใจ) และลดการคั่งของเลือด ไม่ใช่ลด venous return
• ข้อ ค. (Decrease vasoconstriction): Diosmin เสริมฤทธิ์ของ noradrenaline ที่ผนังหลอดเลือด ทำให้หลอดเลือดดำหดตัว (increase vasoconstriction) ช่วยเพิ่มความตึงตัว ไม่ใช่ลด vasoconstriction
• ข้อ ง. (Increase lymphatic drainage): การเพิ่มการระบายน้ำเหลือง (increase lymphatic drainage) เป็นกลไกหนึ่งของยา แต่กลไกหลักที่จำเพาะต่อชื่อกลุ่ม venotonic drug และตอบตรงกับข้อคำถามคือเพิ่ม venous tone
• ข้อ จ. (Decrease hyperpermeability capillary): Diosmin ออกฤทธิ์ลด capillary hyperpermeability (ลดการซึมผ่านของเส้นเลือดฝอย) แต่กลไกพื้นฐานหลักในการรักษา venous insufficiency คือเพิ่ม vascular venous tone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35" t="n"/>
      <c r="L74" s="34" t="inlineStr">
        <is>
          <t>GERD</t>
        </is>
      </c>
      <c r="M74" s="35" t="inlineStr">
        <is>
          <t>Clinic</t>
        </is>
      </c>
      <c r="N74" s="34" t="inlineStr">
        <is>
          <t>ข้อ 72 Pharma Plus เล่มม่วง (เฉลยข้อ ก)</t>
        </is>
      </c>
      <c r="O74" s="35" t="inlineStr">
        <is>
          <t>Mock</t>
        </is>
      </c>
      <c r="P74" s="35" t="inlineStr">
        <is>
          <t>Pharma Plus เล่มม่วง</t>
        </is>
      </c>
    </row>
    <row r="75" ht="13.2" customHeight="1" s="49">
      <c r="A75" s="33" t="n">
        <v>73</v>
      </c>
      <c r="B75" s="34" t="inlineStr">
        <is>
          <t>ข้อใดไม่ใช่อาการข้างเคียงของยา ferrous fumarate</t>
        </is>
      </c>
      <c r="C75" s="35" t="n"/>
      <c r="D75" s="34" t="inlineStr">
        <is>
          <t>Diarrhea</t>
        </is>
      </c>
      <c r="E75" s="34" t="inlineStr">
        <is>
          <t>ตับอักเสบ</t>
        </is>
      </c>
      <c r="F75" s="34" t="inlineStr">
        <is>
          <t>ท้องผูก</t>
        </is>
      </c>
      <c r="G75" s="34" t="inlineStr">
        <is>
          <t>Gl disturbance</t>
        </is>
      </c>
      <c r="H75" s="34" t="inlineStr">
        <is>
          <t>Dark urine</t>
        </is>
      </c>
      <c r="I75" s="33" t="inlineStr">
        <is>
          <t>2</t>
        </is>
      </c>
      <c r="J75" s="34" t="inlineStr">
        <is>
          <t>✅ คำตอบที่ถูกต้อง: ข้อ ข. ตับอักเสบ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ตับอักเสบ Ferrous fumarate เป็นเกลือธาตุเหล็กรับประทานเพื่อรักษาภาวะโลหิตจาง อาการข้างเคียงที่พบบ่อยได้แก่ อาการทางระบบทางเดินอาหาร (GI disturbance) เช่น ท้องผูก (Constipation) หรือท้องเสีย (Diarrhea) และอุจจาระหรือปัสสาวะมีสีดำคล้ำ (Dark urine/stool) ส่วนตับอักเสบ (Hepatitis) ไม่ใช่ผลข้างเคียงปกติจากการใช้ยาในขนาดรักษา
🔍 ข้ออื่นผิดเพราะอะไร:
• ข้อ ก. (Diarrhea): อาการท้องเสีย (Diarrhea) แม้พบได้น้อยกว่าท้องผูก แต่สามารถเกิดขึ้นได้จากการระคายเคืองเยื่อบุทางเดินอาหารโดยตรงจากเกลือธาตุเหล็ก
• ข้อ ค. (ท้องผูก): อาการท้องผูก (Constipation) เป็นผลข้างเคียงทางเดินอาหารที่พบบ่อยที่สุดของธาตุเหล็ก เกิดจากธาตุเหล็กจับกับสารในลำไส้และลดการเคลื่อนไหวของทางเดินอาหาร
• ข้อ ง. (Gl disturbance): การรบกวนระบบทางเดินอาหาร (GI disturbance) เช่น คลื่นไส้ แน่นท้อง จุกเสียด และปวดแสบท้อง เป็นผลข้างเคียงหลักที่พบได้บ่อยมากในผู้ที่รับประทาน Ferrous fumarate
• ข้อ จ. (Dark urine): อุจจาระมีสีดำเข้ม (Dark stool) เกิดจากการขับถ่ายธาตุเหล็กส่วนเกินที่ไม่ได้ถูกดูดซึมออกมาในรูป ferric sulfide จัดเป็นอาการข้างเคียงปกติที่ต้องให้คำแนะนำแก่ผู้ป่วย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GERD</t>
        </is>
      </c>
      <c r="M75" s="35" t="inlineStr">
        <is>
          <t>Clinic</t>
        </is>
      </c>
      <c r="N75" s="34" t="inlineStr">
        <is>
          <t>ข้อ 73 Pharma Plus เล่มม่วง (เฉลยข้อ ข)</t>
        </is>
      </c>
      <c r="O75" s="35" t="inlineStr">
        <is>
          <t>Mock</t>
        </is>
      </c>
      <c r="P75" s="35" t="inlineStr">
        <is>
          <t>Pharma Plus เล่มม่วง</t>
        </is>
      </c>
    </row>
    <row r="76" ht="13.2" customHeight="1" s="49">
      <c r="A76" s="33" t="n">
        <v>74</v>
      </c>
      <c r="B76" s="34" t="inlineStr">
        <is>
          <t>ถ่าท่านเป็นเภสัชกรท่านจะแนะนำสมุนไพรใดให้ผู้ป่วย</t>
        </is>
      </c>
      <c r="C76" s="35" t="n"/>
      <c r="D76" s="34" t="inlineStr">
        <is>
          <t>มะขามแขก</t>
        </is>
      </c>
      <c r="E76" s="34" t="inlineStr">
        <is>
          <t>เพชรสังฆาต</t>
        </is>
      </c>
      <c r="F76" s="34" t="inlineStr">
        <is>
          <t>ว่านหางจระเข้</t>
        </is>
      </c>
      <c r="G76" s="34" t="inlineStr">
        <is>
          <t>น้ำมันละหุ่ง</t>
        </is>
      </c>
      <c r="H76" s="34" t="inlineStr">
        <is>
          <t>มะรุม</t>
        </is>
      </c>
      <c r="I76" s="33" t="inlineStr">
        <is>
          <t>2</t>
        </is>
      </c>
      <c r="J76" s="34"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35" t="n"/>
      <c r="L76" s="34" t="inlineStr">
        <is>
          <t>GERD</t>
        </is>
      </c>
      <c r="M76" s="35" t="inlineStr">
        <is>
          <t>Clinic</t>
        </is>
      </c>
      <c r="N76" s="34" t="inlineStr">
        <is>
          <t>ข้อ 74 Pharma Plus เล่มม่วง (เฉลยข้อ ข)</t>
        </is>
      </c>
      <c r="O76" s="35" t="inlineStr">
        <is>
          <t>Mock</t>
        </is>
      </c>
      <c r="P76" s="35" t="inlineStr">
        <is>
          <t>Pharma Plus เล่มม่วง</t>
        </is>
      </c>
    </row>
    <row r="77" ht="13.2" customHeight="1" s="49">
      <c r="A77" s="33" t="n">
        <v>75</v>
      </c>
      <c r="B77"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35" t="n"/>
      <c r="D77" s="34" t="inlineStr">
        <is>
          <t>Ondansetron และ Levofloxacin ทำปฏิกิริยากัน เกิดการแย่งจับกับโปรตีนในพลาสมาอย่างรุนแรง</t>
        </is>
      </c>
      <c r="E77" s="34" t="inlineStr">
        <is>
          <t>Activated Charcoal เข้าจับและดูดซับ Levofloxacin ในระบบทางเดินอาหาร ส่งผลให้ระดับยาในเลือดของ Levofloxacin ลดลงอย่างมีนัยสำคัญ</t>
        </is>
      </c>
      <c r="F77" s="34" t="inlineStr">
        <is>
          <t>ORS ทำให้ความเป็นกรดในกระเพาะอาหารลดลง ส่งผลให้ Levofloxacin ไม่สามารถละลายตัวและดูดซึมได้</t>
        </is>
      </c>
      <c r="G77" s="34" t="inlineStr">
        <is>
          <t>Activated Charcoal เร่งการขจัดยา Levofloxacin ออกทางปัสสาวะผ่านกระบวนการ active secretion</t>
        </is>
      </c>
      <c r="H77" s="34" t="inlineStr">
        <is>
          <t>Ondansetron ลดการบีบตัวของกระเพาะอาหาร ทำให้ Levofloxacin ค้างอยู่ในกระเพาะนานจนยาเสื่อมสภาพ</t>
        </is>
      </c>
      <c r="I77" s="33" t="inlineStr">
        <is>
          <t>2</t>
        </is>
      </c>
      <c r="J77"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35" t="n"/>
      <c r="L77" s="34" t="inlineStr">
        <is>
          <t>Diarrhea &amp; Constipation</t>
        </is>
      </c>
      <c r="M77" s="35" t="inlineStr">
        <is>
          <t>Clinic</t>
        </is>
      </c>
      <c r="N77" s="34" t="inlineStr">
        <is>
          <t>ข้อ 1.1 Mock GI RxCU84</t>
        </is>
      </c>
      <c r="O77" s="35" t="inlineStr">
        <is>
          <t>Mock</t>
        </is>
      </c>
      <c r="P77" s="35" t="inlineStr">
        <is>
          <t>Mock RxCU84</t>
        </is>
      </c>
    </row>
    <row r="78" ht="13.2" customHeight="1" s="49">
      <c r="A78" s="33" t="n">
        <v>76</v>
      </c>
      <c r="B78"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35" t="n"/>
      <c r="D78" s="34"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34"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34"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34"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34"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33" t="inlineStr">
        <is>
          <t>2</t>
        </is>
      </c>
      <c r="J78" s="34"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Diarrhea &amp; Constipation</t>
        </is>
      </c>
      <c r="M78" s="35" t="inlineStr">
        <is>
          <t>Clinic</t>
        </is>
      </c>
      <c r="N78" s="34" t="inlineStr">
        <is>
          <t>ข้อ 1.2 Mock GI RxCU84</t>
        </is>
      </c>
      <c r="O78" s="35" t="inlineStr">
        <is>
          <t>Mock</t>
        </is>
      </c>
      <c r="P78" s="35" t="inlineStr">
        <is>
          <t>Mock RxCU84</t>
        </is>
      </c>
    </row>
    <row r="79" ht="13.2" customHeight="1" s="49">
      <c r="A79" s="33" t="n">
        <v>77</v>
      </c>
      <c r="B79"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35" t="n"/>
      <c r="D79" s="34" t="inlineStr">
        <is>
          <t>Levofloxacin และ ORS</t>
        </is>
      </c>
      <c r="E79" s="34" t="inlineStr">
        <is>
          <t>Ondansetron และ Activated Charcoal</t>
        </is>
      </c>
      <c r="F79" s="34" t="inlineStr">
        <is>
          <t>Levofloxacin และ Ondansetron</t>
        </is>
      </c>
      <c r="G79" s="34" t="inlineStr">
        <is>
          <t>Activated Charcoal และ ORS</t>
        </is>
      </c>
      <c r="H79" s="34" t="inlineStr">
        <is>
          <t>Levofloxacin และ Activated Charcoal</t>
        </is>
      </c>
      <c r="I79" s="33" t="inlineStr">
        <is>
          <t>3</t>
        </is>
      </c>
      <c r="J79" s="34"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Diarrhea &amp; Constipation</t>
        </is>
      </c>
      <c r="M79" s="35" t="inlineStr">
        <is>
          <t>Clinic</t>
        </is>
      </c>
      <c r="N79" s="34" t="inlineStr">
        <is>
          <t>ข้อ 1.3 Mock GI RxCU84</t>
        </is>
      </c>
      <c r="O79" s="35" t="inlineStr">
        <is>
          <t>Mock</t>
        </is>
      </c>
      <c r="P79" s="35" t="inlineStr">
        <is>
          <t>Mock RxCU84</t>
        </is>
      </c>
    </row>
    <row r="80" ht="13.2" customHeight="1" s="49">
      <c r="A80" s="33" t="n">
        <v>78</v>
      </c>
      <c r="B80" s="34"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35" t="n"/>
      <c r="D80" s="34" t="inlineStr">
        <is>
          <t>เปลี่ยน Levofloxacin เป็น Norfloxacin 400 mg รับประทานวันละ 2 ครั้ง นาน 3 วัน</t>
        </is>
      </c>
      <c r="E80" s="34" t="inlineStr">
        <is>
          <t>เปลี่ยน Levofloxacin เป็น Azithromycin 1,000 mg รับประทานครั้งเดียว หรือ 500 mg วันละครั้ง นาน 3 วัน</t>
        </is>
      </c>
      <c r="F80" s="34" t="inlineStr">
        <is>
          <t>เปลี่ยน Levofloxacin เป็น Doxycycline 100 mg รับประทานวันละ 2 ครั้ง นาน 3 วัน</t>
        </is>
      </c>
      <c r="G80" s="34" t="inlineStr">
        <is>
          <t>คงการใช้ Levofloxacin ไว้ตามเดิม เนื่องจากยามีความปลอดภัยสูงในหญิงตั้งครรภ์ทุกไตรมาส</t>
        </is>
      </c>
      <c r="H80" s="34" t="inlineStr">
        <is>
          <t>เปลี่ยน Levofloxacin เป็น Ciprofloxacin 500 mg รับประทานวันละ 2 ครั้ง นาน 3 วัน</t>
        </is>
      </c>
      <c r="I80" s="33" t="inlineStr">
        <is>
          <t>2</t>
        </is>
      </c>
      <c r="J80"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Diarrhea &amp; Constipation</t>
        </is>
      </c>
      <c r="M80" s="35" t="inlineStr">
        <is>
          <t>Clinic</t>
        </is>
      </c>
      <c r="N80" s="34" t="inlineStr">
        <is>
          <t>ข้อ 1.4 Mock GI RxCU84</t>
        </is>
      </c>
      <c r="O80" s="35" t="inlineStr">
        <is>
          <t>Mock</t>
        </is>
      </c>
      <c r="P80" s="35" t="inlineStr">
        <is>
          <t>Mock RxCU84</t>
        </is>
      </c>
    </row>
    <row r="81" ht="13.2" customHeight="1" s="49">
      <c r="A81" s="33" t="n">
        <v>79</v>
      </c>
      <c r="B81"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35" t="n"/>
      <c r="D81" s="34" t="inlineStr">
        <is>
          <t>เหมาะสม เนื่องจากผู้ป่วยถ่ายบ่อยถึง 6 ครั้ง บ่งชี้ว่าร่างกายได้รับการติดเชื้อแบคทีเรียรุนแรง</t>
        </is>
      </c>
      <c r="E81"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34" t="inlineStr">
        <is>
          <t>เหมาะสม แต่ควรเปลี่ยนเป็นกลุ่ม Fluoroquinolones เช่น Norfloxacin เนื่องจากมีสเปกตรัมแคบกว่า</t>
        </is>
      </c>
      <c r="G81" s="34" t="inlineStr">
        <is>
          <t>เหมาะสม เนื่องจากยา Amoxicillin/Clavulanate ช่วยลดการหลั่งสารน้ำในเยื่อบุลำไส้ได้ดี</t>
        </is>
      </c>
      <c r="H81" s="34" t="inlineStr">
        <is>
          <t>ไม่เหมาะสม เนื่องจากยา Amoxicillin/Clavulanate สามารถผ่านรกไปทำอันตรายต่อทารกในครรภ์ได้อย่างรุนแรง (FDA Category X)</t>
        </is>
      </c>
      <c r="I81" s="33" t="inlineStr">
        <is>
          <t>2</t>
        </is>
      </c>
      <c r="J81"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Dyspepsia &amp; PUD</t>
        </is>
      </c>
      <c r="M81" s="35" t="inlineStr">
        <is>
          <t>Clinic</t>
        </is>
      </c>
      <c r="N81" s="34" t="inlineStr">
        <is>
          <t>ข้อ 2.1 Mock GI RxCU84</t>
        </is>
      </c>
      <c r="O81" s="35" t="inlineStr">
        <is>
          <t>Mock</t>
        </is>
      </c>
      <c r="P81" s="35" t="inlineStr">
        <is>
          <t>Mock RxCU84</t>
        </is>
      </c>
    </row>
    <row r="82" ht="13.2" customHeight="1" s="49">
      <c r="A82" s="33" t="n">
        <v>80</v>
      </c>
      <c r="B82"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35" t="n"/>
      <c r="D82" s="34" t="inlineStr">
        <is>
          <t>ตัวยา Clavulanate จะเร่งกระบวนการทำลายเยื่อบุกระเพาะอาหารโดยตรง เกิดแผลในกระเพาะอาหารฉับพลัน</t>
        </is>
      </c>
      <c r="E82" s="34" t="inlineStr">
        <is>
          <t>ยาจะทำให้เกิดการยับยั้งการหลั่งน้ำย่อยจากตับอ่อน ส่งผลให้มีไขมันปนในอุจจาระเพิ่มขึ้น</t>
        </is>
      </c>
      <c r="F82"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34" t="inlineStr">
        <is>
          <t>ยาปฏิชีวนะจะทำให้ทางเดินอาหารแห้งตัวและเกิดอาการท้องผูกสลับท้องเสียอย่างรุนแรง</t>
        </is>
      </c>
      <c r="H82" s="34" t="inlineStr">
        <is>
          <t>ตัวยา Amoxicillin จะออกฤทธิ์ขัดขวางการดูดซึมโซเดียมและน้ำกลับที่ไตโดยตรง</t>
        </is>
      </c>
      <c r="I82" s="33" t="inlineStr">
        <is>
          <t>3</t>
        </is>
      </c>
      <c r="J82"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Dyspepsia &amp; PUD</t>
        </is>
      </c>
      <c r="M82" s="35" t="inlineStr">
        <is>
          <t>Clinic</t>
        </is>
      </c>
      <c r="N82" s="34" t="inlineStr">
        <is>
          <t>ข้อ 2.2 Mock GI RxCU84</t>
        </is>
      </c>
      <c r="O82" s="35" t="inlineStr">
        <is>
          <t>Mock</t>
        </is>
      </c>
      <c r="P82" s="35" t="inlineStr">
        <is>
          <t>Mock RxCU84</t>
        </is>
      </c>
    </row>
    <row r="83" ht="13.2" customHeight="1" s="49">
      <c r="A83" s="33" t="n">
        <v>81</v>
      </c>
      <c r="B83"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35" t="n"/>
      <c r="D83" s="34" t="inlineStr">
        <is>
          <t>Loperamide 2 mg</t>
        </is>
      </c>
      <c r="E83" s="34" t="inlineStr">
        <is>
          <t>Ibuprofen 400 mg</t>
        </is>
      </c>
      <c r="F83" s="34" t="inlineStr">
        <is>
          <t>Hyoscine butylbromide 10 mg</t>
        </is>
      </c>
      <c r="G83" s="34" t="inlineStr">
        <is>
          <t>Omeprazole 20 mg</t>
        </is>
      </c>
      <c r="H83" s="34" t="inlineStr">
        <is>
          <t>Activated Charcoal 250 mg</t>
        </is>
      </c>
      <c r="I83" s="33" t="inlineStr">
        <is>
          <t>3</t>
        </is>
      </c>
      <c r="J83" s="34"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Dyspepsia &amp; PUD</t>
        </is>
      </c>
      <c r="M83" s="35" t="inlineStr">
        <is>
          <t>Clinic</t>
        </is>
      </c>
      <c r="N83" s="34" t="inlineStr">
        <is>
          <t>ข้อ 2.3 Mock GI RxCU84</t>
        </is>
      </c>
      <c r="O83" s="35" t="inlineStr">
        <is>
          <t>Mock</t>
        </is>
      </c>
      <c r="P83" s="35" t="inlineStr">
        <is>
          <t>Mock RxCU84</t>
        </is>
      </c>
    </row>
    <row r="84" ht="13.2" customHeight="1" s="49">
      <c r="A84" s="33" t="n">
        <v>82</v>
      </c>
      <c r="B84" s="34"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35" t="n"/>
      <c r="D84" s="34" t="inlineStr">
        <is>
          <t>ห้ามใช้ในผู้ป่วยที่มีอาการปวดท้องน้อยหรือมีอาการคลื่นไส้อาเจียนร่วมด้วย</t>
        </is>
      </c>
      <c r="E84"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34" t="inlineStr">
        <is>
          <t>ห้ามใช้ร่วมกับผงน้ำตาลเกลือแร่ (ORS) ทุกกรณีเนื่องจากจะลดประสิทธิภาพการทำงานของยา</t>
        </is>
      </c>
      <c r="G84" s="34" t="inlineStr">
        <is>
          <t>ห้ามใช้ในผู้ป่วยที่ดื่มน้ำได้น้อยเนื่องจากยาจะกระตุ้นการขับปัสสาวะอย่างรุนแรง</t>
        </is>
      </c>
      <c r="H84" s="34" t="inlineStr">
        <is>
          <t>ห้ามใช้ในคนไข้ที่มีอายุมากกว่า 18 ปี เนื่องจากยามีความปลอดภัยเฉพาะในวัยเด็กเล็กเท่านั้น</t>
        </is>
      </c>
      <c r="I84" s="33" t="inlineStr">
        <is>
          <t>2</t>
        </is>
      </c>
      <c r="J84"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Dyspepsia &amp; PUD</t>
        </is>
      </c>
      <c r="M84" s="35" t="inlineStr">
        <is>
          <t>Clinic</t>
        </is>
      </c>
      <c r="N84" s="34" t="inlineStr">
        <is>
          <t>ข้อ 2.4 Mock GI RxCU84</t>
        </is>
      </c>
      <c r="O84" s="35" t="inlineStr">
        <is>
          <t>Mock</t>
        </is>
      </c>
      <c r="P84" s="35" t="inlineStr">
        <is>
          <t>Mock RxCU84</t>
        </is>
      </c>
    </row>
    <row r="85" ht="13.2" customHeight="1" s="49">
      <c r="A85" s="33" t="n">
        <v>83</v>
      </c>
      <c r="B85"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35" t="n"/>
      <c r="D85" s="34" t="inlineStr">
        <is>
          <t>ความเครียดทำให้เกิดภาวะเลือดเป็นกรด ส่งผลกระตุ้นหลอดอาหารอักเสบโดยตรง</t>
        </is>
      </c>
      <c r="E85"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34" t="inlineStr">
        <is>
          <t>การดื่มกาแฟปริมาณมากทำให้อาหารค้างอยู่ในกระเพาะนานขึ้น (Delayed gastric emptying)</t>
        </is>
      </c>
      <c r="G85" s="34" t="inlineStr">
        <is>
          <t>การทำงานหนักจนดึกขัดขวางการทำงานของระบบประสาท Sympathetic ทำให้หูรูดปิดแน่นเกินไป</t>
        </is>
      </c>
      <c r="H85" s="34" t="inlineStr">
        <is>
          <t>ความเครียดทำให้ร่างกายผลิตเมือกในกระเพาะอาหารน้อยลง ส่งผลให้เยื่อบุหลอดอาหารฉีกขาดง่าย</t>
        </is>
      </c>
      <c r="I85" s="33" t="inlineStr">
        <is>
          <t>2</t>
        </is>
      </c>
      <c r="J85"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GERD</t>
        </is>
      </c>
      <c r="M85" s="35" t="inlineStr">
        <is>
          <t>Clinic</t>
        </is>
      </c>
      <c r="N85" s="34" t="inlineStr">
        <is>
          <t>ข้อ 3.1 Mock GI RxCU84</t>
        </is>
      </c>
      <c r="O85" s="35" t="inlineStr">
        <is>
          <t>Mock</t>
        </is>
      </c>
      <c r="P85" s="35" t="inlineStr">
        <is>
          <t>Mock RxCU84</t>
        </is>
      </c>
    </row>
    <row r="86" ht="13.2" customHeight="1" s="49">
      <c r="A86" s="33" t="n">
        <v>84</v>
      </c>
      <c r="B86"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35" t="n"/>
      <c r="D86" s="34" t="inlineStr">
        <is>
          <t>อาการแสบร้อนกลางอกเป็นมากขึ้นเมื่อนอนราบ</t>
        </is>
      </c>
      <c r="E86" s="34" t="inlineStr">
        <is>
          <t>อาการเรอเปรี้ยวหรือขมคอหลังรับประทานอาหารมื้อใหญ่</t>
        </is>
      </c>
      <c r="F86" s="34" t="inlineStr">
        <is>
          <t>มีอาการกลืนลำบาก (Dysphagia) กลืนเจ็บ (Odynophagia) น้ำหนักลดผิดปกติ หรืออุจจาระมีสีดำคล้ำ (Melena)</t>
        </is>
      </c>
      <c r="G86" s="34" t="inlineStr">
        <is>
          <t>อาการท้องอืด ท้องเฟ้อหลังรับประทานอาหารรสจัด</t>
        </is>
      </c>
      <c r="H86" s="34" t="inlineStr">
        <is>
          <t>อาการแสบร้อนกลางอกสลับกับอาการปวดเกร็งหน้าท้องด้านล่าง</t>
        </is>
      </c>
      <c r="I86" s="33" t="inlineStr">
        <is>
          <t>3</t>
        </is>
      </c>
      <c r="J86" s="34"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35" t="n"/>
      <c r="L86" s="34" t="inlineStr">
        <is>
          <t>GERD</t>
        </is>
      </c>
      <c r="M86" s="35" t="inlineStr">
        <is>
          <t>Clinic</t>
        </is>
      </c>
      <c r="N86" s="34" t="inlineStr">
        <is>
          <t>ข้อ 3.2 Mock GI RxCU84</t>
        </is>
      </c>
      <c r="O86" s="35" t="inlineStr">
        <is>
          <t>Mock</t>
        </is>
      </c>
      <c r="P86" s="35" t="inlineStr">
        <is>
          <t>Mock RxCU84</t>
        </is>
      </c>
    </row>
    <row r="87" ht="13.2" customHeight="1" s="49">
      <c r="A87" s="33" t="n">
        <v>85</v>
      </c>
      <c r="B87"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35" t="n"/>
      <c r="D87" s="34" t="inlineStr">
        <is>
          <t>Omeprazole 20 mg ครั้งละ 1 เม็ด วันละครั้ง หลังอาหารเช้าทันที นาน 1 สัปดาห์</t>
        </is>
      </c>
      <c r="E87" s="34" t="inlineStr">
        <is>
          <t>Omeprazole 20 mg ครั้งละ 1 เม็ด วันละครั้ง ก่อนอาหารเช้า 30-60 นาที ต่อเนื่องกัน 4-8 สัปดาห์</t>
        </is>
      </c>
      <c r="F87" s="34" t="inlineStr">
        <is>
          <t>Omeprazole 20 mg ครั้งละ 1 เม็ด วันละ 2 ครั้ง หลังอาหารเช้าและเย็น นาน 3 วัน</t>
        </is>
      </c>
      <c r="G87" s="34" t="inlineStr">
        <is>
          <t>Omeprazole 20 mg ครั้งละ 1 เม็ด รับประทานเฉพาะเวลามีอาการแสบร้อนกลางอก (PRN) โดยเคี้ยวยาให้ละเอียด</t>
        </is>
      </c>
      <c r="H87" s="34" t="inlineStr">
        <is>
          <t>Rabeprazole 20 mg ครั้งละ 1 เม็ด วันละครั้ง ก่อนนอน นาน 1 สัปดาห์</t>
        </is>
      </c>
      <c r="I87" s="33" t="inlineStr">
        <is>
          <t>2</t>
        </is>
      </c>
      <c r="J87" s="34"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GERD</t>
        </is>
      </c>
      <c r="M87" s="35" t="inlineStr">
        <is>
          <t>Clinic</t>
        </is>
      </c>
      <c r="N87" s="34" t="inlineStr">
        <is>
          <t>ข้อ 3.3 Mock GI RxCU84</t>
        </is>
      </c>
      <c r="O87" s="35" t="inlineStr">
        <is>
          <t>Mock</t>
        </is>
      </c>
      <c r="P87" s="35" t="inlineStr">
        <is>
          <t>Mock RxCU84</t>
        </is>
      </c>
    </row>
    <row r="88" ht="13.2" customHeight="1" s="49">
      <c r="A88" s="33" t="n">
        <v>86</v>
      </c>
      <c r="B88"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35" t="n"/>
      <c r="D88"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34" t="inlineStr">
        <is>
          <t>ควรดื่มนมช็อกโกแลตหรือเครื่องดื่มผสมแอลกอฮอล์หลังอาหารเย็น เพื่อช่วยเคลือบแผลในหลอดอาหาร</t>
        </is>
      </c>
      <c r="F88"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34" t="inlineStr">
        <is>
          <t>แนะนำให้ออกกำลังกายอย่างหนักทันทีหลังมื้ออาหารเย็น เพื่อช่วยให้กระเพาะอาหารบีบตัวไล่แก๊สได้เร็วขึ้น</t>
        </is>
      </c>
      <c r="H88" s="34" t="inlineStr">
        <is>
          <t>แนะนำให้ดื่มน้ำเย็นปริมาณมากๆ ในระหว่างมื้ออาหาร เพื่อช่วยเจือจางกรดในกระเพาะอาหารไม่ให้ย้อนขึ้นไป</t>
        </is>
      </c>
      <c r="I88" s="33" t="inlineStr">
        <is>
          <t>3</t>
        </is>
      </c>
      <c r="J88"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35" t="n"/>
      <c r="L88" s="34" t="inlineStr">
        <is>
          <t>GERD</t>
        </is>
      </c>
      <c r="M88" s="35" t="inlineStr">
        <is>
          <t>Clinic</t>
        </is>
      </c>
      <c r="N88" s="34" t="inlineStr">
        <is>
          <t>ข้อ 3.4 Mock GI RxCU84</t>
        </is>
      </c>
      <c r="O88" s="35" t="inlineStr">
        <is>
          <t>Mock</t>
        </is>
      </c>
      <c r="P88" s="35" t="inlineStr">
        <is>
          <t>Mock RxCU84</t>
        </is>
      </c>
    </row>
    <row r="89" ht="13.2" customHeight="1" s="49">
      <c r="A89" s="33" t="n">
        <v>87</v>
      </c>
      <c r="B89" s="34"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35" t="n"/>
      <c r="D89" s="34" t="inlineStr">
        <is>
          <t>Proton pump inhibitors (เช่น Omeprazole)</t>
        </is>
      </c>
      <c r="E89" s="34" t="inlineStr">
        <is>
          <t>Calcium channel blockers (เช่น Amlodipine)</t>
        </is>
      </c>
      <c r="F89" s="34" t="inlineStr">
        <is>
          <t>Prokinetics (เช่น Domperidone)</t>
        </is>
      </c>
      <c r="G89" s="34" t="inlineStr">
        <is>
          <t>H2-receptor antagonists (เช่น Famotidine)</t>
        </is>
      </c>
      <c r="H89" s="34" t="inlineStr">
        <is>
          <t>Mucosal protectants (เช่น Sucralfate)</t>
        </is>
      </c>
      <c r="I89" s="33" t="inlineStr">
        <is>
          <t>2</t>
        </is>
      </c>
      <c r="J89" s="34"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35" t="n"/>
      <c r="L89" s="34" t="inlineStr">
        <is>
          <t>GERD</t>
        </is>
      </c>
      <c r="M89" s="35" t="inlineStr">
        <is>
          <t>Clinic</t>
        </is>
      </c>
      <c r="N89" s="34" t="inlineStr">
        <is>
          <t>ข้อ 3.5 Mock GI RxCU84</t>
        </is>
      </c>
      <c r="O89" s="35" t="inlineStr">
        <is>
          <t>Mock</t>
        </is>
      </c>
      <c r="P89" s="35" t="inlineStr">
        <is>
          <t>Mock RxCU84</t>
        </is>
      </c>
    </row>
    <row r="90" ht="13.2" customHeight="1" s="49">
      <c r="A90" s="33" t="n">
        <v>88</v>
      </c>
      <c r="B90"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35" t="n"/>
      <c r="D90" s="34" t="inlineStr">
        <is>
          <t>ทำให้ Pitavastatin หมดฤทธิ์</t>
        </is>
      </c>
      <c r="E90" s="34" t="inlineStr">
        <is>
          <t>ลดการดูดซึม Dolutegravir</t>
        </is>
      </c>
      <c r="F90" s="34" t="inlineStr">
        <is>
          <t>ทำให้ TDF เป็นพิษ</t>
        </is>
      </c>
      <c r="G90" s="34" t="inlineStr">
        <is>
          <t>เพิ่มระดับ 3TC</t>
        </is>
      </c>
      <c r="H90" s="34" t="inlineStr">
        <is>
          <t>ลดการขับออกของ Dolutegravir ทางไต</t>
        </is>
      </c>
      <c r="I90" s="33" t="inlineStr">
        <is>
          <t>2</t>
        </is>
      </c>
      <c r="J90" s="34"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35" t="n"/>
      <c r="L90" s="34" t="inlineStr">
        <is>
          <t>GERD</t>
        </is>
      </c>
      <c r="M90" s="35" t="inlineStr">
        <is>
          <t>Clinic</t>
        </is>
      </c>
      <c r="N90" s="34" t="inlineStr">
        <is>
          <t>ข้อ 4.1 Mock GI RxCU84</t>
        </is>
      </c>
      <c r="O90" s="35" t="inlineStr">
        <is>
          <t>Mock</t>
        </is>
      </c>
      <c r="P90" s="35" t="inlineStr">
        <is>
          <t>Mock RxCU84</t>
        </is>
      </c>
    </row>
    <row r="91" ht="13.2" customHeight="1" s="49">
      <c r="A91" s="33" t="n">
        <v>89</v>
      </c>
      <c r="B91"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35" t="n"/>
      <c r="D91" s="34" t="inlineStr">
        <is>
          <t>ให้รับประทานยาลดกรดและ Dolutegravir ร่วมกันพร้อมอาหารมื้อหลักทันทีเพื่อลดความเป็นกรดในกระเพาะ</t>
        </is>
      </c>
      <c r="E91" s="34"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34" t="inlineStr">
        <is>
          <t>ให้รับประทานยา Dolutegravir ในขนาดยาเพิ่มขึ้นเป็น 2 เท่าเฉพาะในวันที่ต้องใช้ยาลดกรด</t>
        </is>
      </c>
      <c r="G91" s="34" t="inlineStr">
        <is>
          <t>แนะนำให้เคี้ยวเม็ดยาลดกรดร่วมกับยาต้านไวรัสก่อนนอน เพื่อส่งเสริมการดูดซึมยาต้านไวรัส</t>
        </is>
      </c>
      <c r="H91" s="34" t="inlineStr">
        <is>
          <t>ให้ผู้ป่วยหยุดรับประทานยาต้านไวรัส Dolutegravir ไปก่อนชั่วคราวในระหว่างที่มีอาการของโรคกรดไหลย้อน</t>
        </is>
      </c>
      <c r="I91" s="33" t="inlineStr">
        <is>
          <t>2</t>
        </is>
      </c>
      <c r="J91" s="34"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35" t="n"/>
      <c r="L91" s="34" t="inlineStr">
        <is>
          <t>GERD</t>
        </is>
      </c>
      <c r="M91" s="35" t="inlineStr">
        <is>
          <t>Clinic</t>
        </is>
      </c>
      <c r="N91" s="34" t="inlineStr">
        <is>
          <t>ข้อ 4.2 Mock GI RxCU84</t>
        </is>
      </c>
      <c r="O91" s="35" t="inlineStr">
        <is>
          <t>Mock</t>
        </is>
      </c>
      <c r="P91" s="35" t="inlineStr">
        <is>
          <t>Mock RxCU84</t>
        </is>
      </c>
    </row>
    <row r="92" ht="13.2" customHeight="1" s="49">
      <c r="A92" s="33" t="n">
        <v>90</v>
      </c>
      <c r="B92" s="34"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35" t="n"/>
      <c r="D92"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34" t="inlineStr">
        <is>
          <t>ห้ามใช้ Omeprazole ร่วมกับ Dolutegravir เด็ดขาด เนื่องจากยาลดการทำงานของเอนไซม์ที่ใช้กำจัด Dolutegravir</t>
        </is>
      </c>
      <c r="F92" s="34" t="inlineStr">
        <is>
          <t>Omeprazole จะลดการดูดซึมของ Tenofovir (TDF) จนหมดสิ้น ทำให้ระดับยาต้านไวรัสไม่เพียงพอต่อการกดเชื้อ</t>
        </is>
      </c>
      <c r="G92" s="34" t="inlineStr">
        <is>
          <t>ยาปฏิชีวนะหรือยาต้านไวรัส 3TC จะเกิดการเสื่อมสภาพทันทีหาก pH ในกระเพาะอาหารเพิ่มขึ้นมากกว่า 5.0</t>
        </is>
      </c>
      <c r="H92" s="34" t="inlineStr">
        <is>
          <t>Omeprazole จะเพิ่มความเสี่ยงต่อการเกิดภาวะ Lactic acidosis จากยาต้านไวรัสกลุ่ม NRTIs</t>
        </is>
      </c>
      <c r="I92" s="33" t="inlineStr">
        <is>
          <t>1</t>
        </is>
      </c>
      <c r="J92"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35" t="n"/>
      <c r="L92" s="34" t="inlineStr">
        <is>
          <t>GERD</t>
        </is>
      </c>
      <c r="M92" s="35" t="inlineStr">
        <is>
          <t>Clinic</t>
        </is>
      </c>
      <c r="N92" s="34" t="inlineStr">
        <is>
          <t>ข้อ 4.3 Mock GI RxCU84</t>
        </is>
      </c>
      <c r="O92" s="35" t="inlineStr">
        <is>
          <t>Mock</t>
        </is>
      </c>
      <c r="P92" s="35" t="inlineStr">
        <is>
          <t>Mock RxCU84</t>
        </is>
      </c>
    </row>
    <row r="93" ht="13.2" customHeight="1" s="49">
      <c r="A93" s="33" t="n">
        <v>91</v>
      </c>
      <c r="B93"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35" t="n"/>
      <c r="D93" s="34" t="inlineStr">
        <is>
          <t>ยาระคายเคืองกระเพาะโดยตรง (Direct irritation) และยับยั้งเอนไซม์ COX-2 ทำให้ร่างกายสร้างกรดมากขึ้น</t>
        </is>
      </c>
      <c r="E93"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34" t="inlineStr">
        <is>
          <t>ยาไปกระตุ้นการทำงานของ parietal cells ในการหลั่งกรดไฮโดรคลอริก ผ่านทางกระบวนการกระตุ้น Histamine-2 receptors</t>
        </is>
      </c>
      <c r="G93" s="34" t="inlineStr">
        <is>
          <t>ยาปฏิชีวนะหรือยาแก้ปวด Diclofenac ทำให้เกิดภาวะติดเชื้อแบคทีเรีย H. pylori ในกระเพาะอาหารได้ง่ายขึ้น</t>
        </is>
      </c>
      <c r="H93" s="34" t="inlineStr">
        <is>
          <t>ยาไปเพิ่มการบีบตัวของกระเพาะอาหารอย่างรุนแรง ส่งผลให้กรดเข้มข้นไหลย้อนกลับทำลายเนื้อเยื่อ</t>
        </is>
      </c>
      <c r="I93" s="33" t="inlineStr">
        <is>
          <t>2</t>
        </is>
      </c>
      <c r="J93"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35" t="n"/>
      <c r="L93" s="34" t="inlineStr">
        <is>
          <t>Dyspepsia &amp; PUD</t>
        </is>
      </c>
      <c r="M93" s="35" t="inlineStr">
        <is>
          <t>Clinic</t>
        </is>
      </c>
      <c r="N93" s="34" t="inlineStr">
        <is>
          <t>ข้อ 5.1 Mock GI RxCU84</t>
        </is>
      </c>
      <c r="O93" s="35" t="inlineStr">
        <is>
          <t>Mock</t>
        </is>
      </c>
      <c r="P93" s="35" t="inlineStr">
        <is>
          <t>Mock RxCU84</t>
        </is>
      </c>
    </row>
    <row r="94" ht="13.2" customHeight="1" s="49">
      <c r="A94" s="33" t="n">
        <v>92</v>
      </c>
      <c r="B94"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35" t="n"/>
      <c r="D94" s="34" t="inlineStr">
        <is>
          <t>แนะนำให้เปลี่ยนจาก Diclofenac เป็น Naproxen 250 mg รับประทานวันละ 2 ครั้ง ทันที</t>
        </is>
      </c>
      <c r="E94"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34" t="inlineStr">
        <is>
          <t>แนะนำให้เพิ่มขนาดการรับประทาน Tolperisone เป็น 150 mg วันละ 3 ครั้ง และคงการทาน Diclofenac ร่วมด้วย</t>
        </is>
      </c>
      <c r="G94" s="34" t="inlineStr">
        <is>
          <t>แนะนำให้รับประทาน Diclofenac ห่างจากเครื่องดื่มแอลกอฮอล์อย่างน้อย 8 ชั่วโมง โดยใช้ยาสูตรเดิมต่อไป</t>
        </is>
      </c>
      <c r="H94" s="34" t="inlineStr">
        <is>
          <t>แนะนำให้ใช้ยาแก้ปวดกลุ่มสเตียรอยด์ (Steroids) ชนิดรับประทานทดแทนเพื่อความปลอดภัยต่อกระเพาะอาหาร</t>
        </is>
      </c>
      <c r="I94" s="33" t="inlineStr">
        <is>
          <t>2</t>
        </is>
      </c>
      <c r="J94"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35" t="n"/>
      <c r="L94" s="34" t="inlineStr">
        <is>
          <t>Dyspepsia &amp; PUD</t>
        </is>
      </c>
      <c r="M94" s="35" t="inlineStr">
        <is>
          <t>Clinic</t>
        </is>
      </c>
      <c r="N94" s="34" t="inlineStr">
        <is>
          <t>ข้อ 5.2 Mock GI RxCU84</t>
        </is>
      </c>
      <c r="O94" s="35" t="inlineStr">
        <is>
          <t>Mock</t>
        </is>
      </c>
      <c r="P94" s="35" t="inlineStr">
        <is>
          <t>Mock RxCU84</t>
        </is>
      </c>
    </row>
    <row r="95" ht="13.2" customHeight="1" s="49">
      <c r="A95" s="33" t="n">
        <v>93</v>
      </c>
      <c r="B95"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35" t="n"/>
      <c r="D95" s="34" t="inlineStr">
        <is>
          <t>ออกฤทธิ์จับตัวรับ H2 อาการข้างเคียงคือทำให้เกิดผื่นแพ้แสง; ห้ามใช้ในคนไข้โรคหัวใจล้มเหลว</t>
        </is>
      </c>
      <c r="E95"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34" t="inlineStr">
        <is>
          <t>ออกฤทธิ์บลอค Proton pump; อาการข้างเคียงคืออาการปวดศีรษะ; ห้ามใช้ในผู้ป่วยโรคตับแข็ง</t>
        </is>
      </c>
      <c r="G95" s="34" t="inlineStr">
        <is>
          <t>เป็นสารเคลือบแผลกระเพาะอาหาร; อาการข้างเคียงคือทำให้อุจจาระสีดำเข้ม; ห้ามใช้ในคนไข้ที่เป็นโรคไตวาย</t>
        </is>
      </c>
      <c r="H95" s="34" t="inlineStr">
        <is>
          <t>เป็นยากระตุ้นการหลั่งเอนไซม์ amylase; อาการข้างเคียงคือน้ำตาลในเลือดต่ำ; ห้ามใช้ร่วมกับอินซูลิน</t>
        </is>
      </c>
      <c r="I95" s="33" t="inlineStr">
        <is>
          <t>2</t>
        </is>
      </c>
      <c r="J95"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35" t="n"/>
      <c r="L95" s="34" t="inlineStr">
        <is>
          <t>Dyspepsia &amp; PUD</t>
        </is>
      </c>
      <c r="M95" s="35" t="inlineStr">
        <is>
          <t>Clinic</t>
        </is>
      </c>
      <c r="N95" s="34" t="inlineStr">
        <is>
          <t>ข้อ 5.3 Mock GI RxCU84</t>
        </is>
      </c>
      <c r="O95" s="35" t="inlineStr">
        <is>
          <t>Mock</t>
        </is>
      </c>
      <c r="P95" s="35" t="inlineStr">
        <is>
          <t>Mock RxCU84</t>
        </is>
      </c>
    </row>
    <row r="96" ht="13.2" customHeight="1" s="49">
      <c r="A96" s="33" t="n">
        <v>94</v>
      </c>
      <c r="B96"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35" t="n"/>
      <c r="D96" s="34" t="inlineStr">
        <is>
          <t>อาการปวดแสบบริเวณหน้าอกลามไปถึงไหล่ซ้าย</t>
        </is>
      </c>
      <c r="E96"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34" t="inlineStr">
        <is>
          <t>อาการแสบร้อนที่ผิวหนังบริเวณที่ปวดกล้ามเนื้อ</t>
        </is>
      </c>
      <c r="G96" s="34" t="inlineStr">
        <is>
          <t>อาการอ่อนเพลียเล็กน้อยหลังจากทำงานเกษตรกลางแดดจัด</t>
        </is>
      </c>
      <c r="H96" s="34" t="inlineStr">
        <is>
          <t>อาการท้องอืด ท้องเฟ้อ มีลมในกระเพาะอาหารหลังตื่นนอนตอนเช้า</t>
        </is>
      </c>
      <c r="I96" s="33" t="inlineStr">
        <is>
          <t>2</t>
        </is>
      </c>
      <c r="J96"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35" t="n"/>
      <c r="L96" s="34" t="inlineStr">
        <is>
          <t>Dyspepsia &amp; PUD</t>
        </is>
      </c>
      <c r="M96" s="35" t="inlineStr">
        <is>
          <t>Clinic</t>
        </is>
      </c>
      <c r="N96" s="34" t="inlineStr">
        <is>
          <t>ข้อ 5.4 Mock GI RxCU84</t>
        </is>
      </c>
      <c r="O96" s="35" t="inlineStr">
        <is>
          <t>Mock</t>
        </is>
      </c>
      <c r="P96" s="35" t="inlineStr">
        <is>
          <t>Mock RxCU84</t>
        </is>
      </c>
    </row>
    <row r="97" ht="13.2" customHeight="1" s="49">
      <c r="A97" s="33" t="n">
        <v>95</v>
      </c>
      <c r="B97"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35" t="n"/>
      <c r="D97" s="34" t="inlineStr">
        <is>
          <t>5-HT3 antagonist</t>
        </is>
      </c>
      <c r="E97" s="34" t="inlineStr">
        <is>
          <t>Antihistamine / Anticholinergic</t>
        </is>
      </c>
      <c r="F97" s="34" t="inlineStr">
        <is>
          <t>Dopamine D2 antagonist</t>
        </is>
      </c>
      <c r="G97" s="34" t="inlineStr">
        <is>
          <t>Benzodiazepines (Anticipatory emesis)</t>
        </is>
      </c>
      <c r="H97" s="34" t="inlineStr">
        <is>
          <t>Neurokinin-1 (NK1) receptor antagonist</t>
        </is>
      </c>
      <c r="I97" s="33" t="inlineStr">
        <is>
          <t>3</t>
        </is>
      </c>
      <c r="J97" s="34"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35" t="n"/>
      <c r="L97" s="34" t="inlineStr">
        <is>
          <t>Dyspepsia &amp; PUD</t>
        </is>
      </c>
      <c r="M97" s="35" t="inlineStr">
        <is>
          <t>Clinic</t>
        </is>
      </c>
      <c r="N97" s="34" t="inlineStr">
        <is>
          <t>ข้อ 5.5 Mock GI RxCU84</t>
        </is>
      </c>
      <c r="O97" s="35" t="inlineStr">
        <is>
          <t>Mock</t>
        </is>
      </c>
      <c r="P97" s="35" t="inlineStr">
        <is>
          <t>Mock RxCU84</t>
        </is>
      </c>
    </row>
    <row r="98" ht="13.2" customHeight="1" s="49">
      <c r="A98" s="33" t="n">
        <v>96</v>
      </c>
      <c r="B98"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35" t="n"/>
      <c r="D98" s="34" t="inlineStr">
        <is>
          <t>Domperidone ออกฤทธิ์ที่ 5-HT3 receptor จึงไม่มีผลต่อ CNS</t>
        </is>
      </c>
      <c r="E98" s="34" t="inlineStr">
        <is>
          <t>Domperidone ผ่าน blood-brain barrier (BBB) ได้น้อยกว่า Metoclopramide จึงมีโอกาสเกิด extrapyramidal symptoms (EPS) และผลข้างเคียงทาง CNS น้อยกว่า</t>
        </is>
      </c>
      <c r="F98" s="34" t="inlineStr">
        <is>
          <t>Domperidone ไม่มีผลต่อระดับ prolactin เลย</t>
        </is>
      </c>
      <c r="G98" s="34" t="inlineStr">
        <is>
          <t>Metoclopramide ไม่ผ่าน BBB จึงปลอดภัยกว่าในการใช้ระยะยาว</t>
        </is>
      </c>
      <c r="H98" s="34" t="inlineStr">
        <is>
          <t>ทั้งสองตัวมี safety profile เหมือนกันทุกประการ</t>
        </is>
      </c>
      <c r="I98" s="33" t="inlineStr">
        <is>
          <t>2</t>
        </is>
      </c>
      <c r="J98"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35" t="n"/>
      <c r="L98" s="34" t="inlineStr">
        <is>
          <t>Dyspepsia &amp; PUD</t>
        </is>
      </c>
      <c r="M98" s="35" t="inlineStr">
        <is>
          <t>Clinic</t>
        </is>
      </c>
      <c r="N98" s="34" t="inlineStr">
        <is>
          <t>ข้อ 5.6 Mock GI RxCU84</t>
        </is>
      </c>
      <c r="O98" s="35" t="inlineStr">
        <is>
          <t>Mock</t>
        </is>
      </c>
      <c r="P98" s="35" t="inlineStr">
        <is>
          <t>Mock RxCU84</t>
        </is>
      </c>
    </row>
    <row r="99" ht="13.2" customHeight="1" s="49">
      <c r="A99" s="33" t="n">
        <v>97</v>
      </c>
      <c r="B99" s="34"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35" t="n"/>
      <c r="D99" s="34" t="inlineStr">
        <is>
          <t>ควรรับประทานพร้อมอาหารที่มีไขมันสูงเพื่อเพิ่มการดูดซึม</t>
        </is>
      </c>
      <c r="E99" s="34" t="inlineStr">
        <is>
          <t>ไม่ควรใช้ติดต่อกันนานเกิน 12 สัปดาห์ เนื่องจากเพิ่มความเสี่ยง tardive dyskinesia ซึ่งอาจเป็นแบบถาวร</t>
        </is>
      </c>
      <c r="F99" s="34" t="inlineStr">
        <is>
          <t>สามารถใช้ร่วมกับแอลกอฮอล์ได้อย่างปลอดภัยโดยไม่มีผลเสริมฤทธิ์กดประสาท</t>
        </is>
      </c>
      <c r="G99" s="34" t="inlineStr">
        <is>
          <t>ไม่มีผลต่อระบบประสาทส่วนกลางจึงใช้ในผู้ป่วย Parkinson’s disease ได้อย่างปลอดภัย</t>
        </is>
      </c>
      <c r="H99" s="34" t="inlineStr">
        <is>
          <t>ไม่จำเป็นต้องปรับขนาดยาในผู้ป่วยที่มีการทำงานของไตบกพร่อง</t>
        </is>
      </c>
      <c r="I99" s="33" t="inlineStr">
        <is>
          <t>2</t>
        </is>
      </c>
      <c r="J99" s="34"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35" t="n"/>
      <c r="L99" s="34" t="inlineStr">
        <is>
          <t>Dyspepsia &amp; PUD</t>
        </is>
      </c>
      <c r="M99" s="35" t="inlineStr">
        <is>
          <t>Clinic</t>
        </is>
      </c>
      <c r="N99" s="34" t="inlineStr">
        <is>
          <t>ข้อ 5.7 Mock GI RxCU84</t>
        </is>
      </c>
      <c r="O99" s="35" t="inlineStr">
        <is>
          <t>Mock</t>
        </is>
      </c>
      <c r="P99" s="35" t="inlineStr">
        <is>
          <t>Mock RxCU84</t>
        </is>
      </c>
    </row>
    <row r="100" ht="13.2" customHeight="1" s="49">
      <c r="A100" s="33" t="n">
        <v>98</v>
      </c>
      <c r="B100"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75 mg/m²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00" s="35" t="n"/>
      <c r="D100" s="34" t="inlineStr">
        <is>
          <t>Low emetogenic potential (โอกาสเกิดอาการร้อยละ 10–30)</t>
        </is>
      </c>
      <c r="E100" s="34" t="inlineStr">
        <is>
          <t>Moderate emetogenic potential (โอกาสเกิดอาการร้อยละ 30–90)</t>
        </is>
      </c>
      <c r="F100" s="34" t="inlineStr">
        <is>
          <t>High emetogenic potential</t>
        </is>
      </c>
      <c r="G100" s="34" t="inlineStr">
        <is>
          <t>Minimal emetogenic potential</t>
        </is>
      </c>
      <c r="H100" s="34" t="inlineStr">
        <is>
          <t>Sub-therapeutic emetogenic potential (ไม่มีผลต่อการกระตุ้นอาการอาเจียน)</t>
        </is>
      </c>
      <c r="I100" s="33" t="inlineStr">
        <is>
          <t>3</t>
        </is>
      </c>
      <c r="J100" s="34" t="inlineStr">
        <is>
          <t>✅ คำตอบที่ถูกต้อง: ตามที่ระบุในคอลัมน์เฉลย
💡 Background:
NSAID-induced gastropathy เกิดจากการยับยั้ง COX-1 ลดการสร้าง Prostaglandin ที่ปกป้องเยื่อบุกระเพาะ ทำให้เยื่อบุกระเพาะบางลง เกิด erosion และ ulcer ได้ ปัจจัยเสี่ยงสูง: อายุ &gt;65 ปี, ประวัติ ulcer, ใช้ร่วมกับ Aspirin/Warfarin/Corticosteroid
🎯 ทำไมข้อนี้ถึงถูก:
คำตอบสอดคล้องกับ evidence-based NSAID gastroprotection strategy
📖 Guideline อ้างอิง:
American College of Gastroenterology Clinical Guideline: Diagnosis and Management of Gastroesophageal Reflux Disease 2022
📌 จุดจำก่อนสอบ:
NSAID + high risk → PPI ป้องกัน; หรือเปลี่ยนเป็น Selective COX-2 inhibitor (Celecoxib)</t>
        </is>
      </c>
      <c r="K100" s="35" t="n"/>
      <c r="L100" s="34" t="inlineStr">
        <is>
          <t>Nausea and vomiting</t>
        </is>
      </c>
      <c r="M100" s="35" t="inlineStr">
        <is>
          <t>Clinic</t>
        </is>
      </c>
      <c r="N100" s="34" t="inlineStr">
        <is>
          <t>ข้อ 6.1 Mock GI RxCU84</t>
        </is>
      </c>
      <c r="O100" s="35" t="inlineStr">
        <is>
          <t>Mock</t>
        </is>
      </c>
      <c r="P100" s="35" t="inlineStr">
        <is>
          <t>Mock RxCU84</t>
        </is>
      </c>
    </row>
    <row r="101" ht="13.2" customHeight="1" s="49">
      <c r="A101" s="33" t="n">
        <v>99</v>
      </c>
      <c r="B101"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01" s="35" t="n"/>
      <c r="D101" s="34" t="inlineStr">
        <is>
          <t>เหมาะสม เนื่องจาก Ondansetron เป็นยากลุ่ม 5-HT3 antagonist ที่มีประสิทธิภาพสูงสุดครอบคลุมทั้งระยะเฉียบพลันและระยะช้า</t>
        </is>
      </c>
      <c r="E101"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01" s="34" t="inlineStr">
        <is>
          <t>เหมาะสม แต่ควรเปลี่ยนช่องทางการบริหารยาเป็นชนิดเม็ดรับประทาน (Oral tablet) เพื่อผลการรักษาที่ดีกว่า</t>
        </is>
      </c>
      <c r="G101" s="34" t="inlineStr">
        <is>
          <t>ไม่เหมาะสม เนื่องจากควรใช้เฉพาะยาปฏิชีวนะและยาลดกรด Omeprazole ในการป้องกันอาการอาเจียนเท่านั้น</t>
        </is>
      </c>
      <c r="H101" s="34" t="inlineStr">
        <is>
          <t>เหมาะสม แต่ต้องบริหารยาร่วมกับสารน้ำทางหลอดเลือดดำปริมาณมากเพียงอย่างเดียวโดยไม่ต้องให้ยาอื่นเพิ่ม</t>
        </is>
      </c>
      <c r="I101" s="33" t="inlineStr">
        <is>
          <t>2</t>
        </is>
      </c>
      <c r="J101" s="34" t="inlineStr">
        <is>
          <t>✅ คำตอบที่ถูกต้อง: ตามที่ระบุในคอลัมน์เฉลย
💡 Background:
Domperidone ดูดซึมได้ดีในสภาพแวดล้อมที่มีกรด (กระเพาะอาหาร pH ต่ำ) การใช้ร่วมกับ Antacids หรือ Antisecretory drugs (H2-blocker, PPI) ที่เพิ่ม gastric pH จะลดการดูดซึม Domperidone ลง ตาม Micromedex แนะนำให้หลีกเลี่ยงการใช้ร่วมกัน
🎯 ทำไมข้อนี้ถึงถูก:
Domperidone มีการดูดซึมลดลงเมื่อใช้ร่วมกับ antacids หรือ antisecretory drugs ควรให้ Domperidone ก่อนอาหาร 15-30 นาที และหลีกเลี่ยงการให้พร้อมกับยาลดกรด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Antacid/PPI → ลดการดูดซึม Domperidone; ให้ Domperidone ก่อนอาหาร 15-30 นาที</t>
        </is>
      </c>
      <c r="K101" s="35" t="n"/>
      <c r="L101" s="34" t="inlineStr">
        <is>
          <t>Nausea and vomiting</t>
        </is>
      </c>
      <c r="M101" s="35" t="inlineStr">
        <is>
          <t>Clinic</t>
        </is>
      </c>
      <c r="N101" s="34" t="inlineStr">
        <is>
          <t>ข้อ 6.2 Mock GI RxCU84</t>
        </is>
      </c>
      <c r="O101" s="35" t="inlineStr">
        <is>
          <t>Mock</t>
        </is>
      </c>
      <c r="P101" s="35" t="inlineStr">
        <is>
          <t>Mock RxCU84</t>
        </is>
      </c>
    </row>
    <row r="102" ht="13.2" customHeight="1" s="49">
      <c r="A102" s="33" t="n">
        <v>100</v>
      </c>
      <c r="B102"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02" s="35" t="n"/>
      <c r="D102" s="34" t="inlineStr">
        <is>
          <t>อาการเริ่มแสดงหลังรับยา 1 ชั่วโมง; ยาที่มีบทบาทหลักคือยาชาเฉพาะที่ Lidocaine</t>
        </is>
      </c>
      <c r="E102"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02" s="34" t="inlineStr">
        <is>
          <t>อาการเริ่มแสดงในสัปดาห์ที่สามหลังให้ยา; ยาที่มีบทบาทหลักคือยากระตุ้นการบีบตัวของทางเดินอาหาร Domperidone</t>
        </is>
      </c>
      <c r="G102" s="34" t="inlineStr">
        <is>
          <t>อาการเริ่มแสดงในช่วงก่อนได้รับยาเคมีบำบัดรอบถัดไป; ยาที่มีบทบาทหลักคือยากลุ่ม Benzodiazepines เช่น Lorazepam</t>
        </is>
      </c>
      <c r="H102" s="34" t="inlineStr">
        <is>
          <t>อาการเริ่มแสดงทันทีหลังถอดสายน้ำเกลือเคมีบำบัด; ยาที่มีบทบาทหลักคือยาลดกรดชนิดน้ำ Antacid</t>
        </is>
      </c>
      <c r="I102" s="33" t="inlineStr">
        <is>
          <t>2</t>
        </is>
      </c>
      <c r="J102" s="34" t="inlineStr">
        <is>
          <t>✅ คำตอบที่ถูกต้อง: ตามที่ระบุในคอลัมน์เฉลย
💡 Background:
Standard triple therapy สำหรับ H. pylori: PPI (standard dose BID) + Clarithromycin 500 mg BID + Amoxicillin 1000 mg BID นาน 14 วัน อัตรา eradication ~80-85% ในพื้นที่ที่ยังไม่ดื้อ Clarithromycin
🎯 ทำไมข้อนี้ถึงถูก:
คำตอบสอดคล้องกับ H. pylori eradication regimen — ขนาดยา ระยะเวลา หรือการใช้ยาร่วม
📖 Guideline อ้างอิง:
American College of Gastroenterology Clinical Guideline: Treatment of Helicobacter pylori Infection 2017
📌 จุดจำก่อนสอบ:
Triple therapy 14 วัน &gt; 7 วัน; เช็ค eradication ด้วย UBT หรือ stool antigen ≥4 สัปดาห์หลังหยุดยา</t>
        </is>
      </c>
      <c r="K102" s="35" t="n"/>
      <c r="L102" s="34" t="inlineStr">
        <is>
          <t>Nausea and vomiting</t>
        </is>
      </c>
      <c r="M102" s="35" t="inlineStr">
        <is>
          <t>Clinic</t>
        </is>
      </c>
      <c r="N102" s="34" t="inlineStr">
        <is>
          <t>ข้อ 6.5 Mock GI RxCU84</t>
        </is>
      </c>
      <c r="O102" s="35" t="inlineStr">
        <is>
          <t>Mock</t>
        </is>
      </c>
      <c r="P102" s="35" t="inlineStr">
        <is>
          <t>Mock RxCU84</t>
        </is>
      </c>
    </row>
    <row r="103" ht="13.2" customHeight="1" s="49">
      <c r="A103" s="33" t="n">
        <v>101</v>
      </c>
      <c r="B103"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35" t="n"/>
      <c r="D103" s="34"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34" t="inlineStr">
        <is>
          <t>ผู้สูงอายุไม่มีความเสี่ยงพิเศษใดๆ เพิ่มเติมจาก D2 antagonist</t>
        </is>
      </c>
      <c r="F103" s="34" t="inlineStr">
        <is>
          <t>ควรเพิ่มขนาด Metoclopramide เป็น 2 เท่าในผู้สูงอายุเพื่อผลการรักษาที่ดีขึ้น</t>
        </is>
      </c>
      <c r="G103" s="34" t="inlineStr">
        <is>
          <t>Metoclopramide ปลอดภัยกว่าในผู้สูงอายุเมื่อเทียบกับผู้ป่วยอายุน้อย</t>
        </is>
      </c>
      <c r="H103" s="34" t="inlineStr">
        <is>
          <t>ไม่จำเป็นต้องคำนึงถึงการทำงานของไตในการให้ Metoclopramide ในผู้สูงอายุ</t>
        </is>
      </c>
      <c r="I103" s="33" t="inlineStr">
        <is>
          <t>1</t>
        </is>
      </c>
      <c r="J103" s="34"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35" t="n"/>
      <c r="L103" s="34" t="inlineStr">
        <is>
          <t>Nausea and vomiting</t>
        </is>
      </c>
      <c r="M103" s="35" t="inlineStr">
        <is>
          <t>Clinic</t>
        </is>
      </c>
      <c r="N103" s="34" t="inlineStr">
        <is>
          <t>ข้อ 6.6 Mock GI RxCU84</t>
        </is>
      </c>
      <c r="O103" s="35" t="inlineStr">
        <is>
          <t>Mock</t>
        </is>
      </c>
      <c r="P103" s="35" t="inlineStr">
        <is>
          <t>Mock RxCU84</t>
        </is>
      </c>
    </row>
    <row r="104" ht="13.2" customHeight="1" s="49">
      <c r="A104" s="33" t="n">
        <v>102</v>
      </c>
      <c r="B104" s="34"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35" t="n"/>
      <c r="D104" s="34" t="inlineStr">
        <is>
          <t>เป็น acute emesis เพิ่มขนาด 5-HT3 antagonist</t>
        </is>
      </c>
      <c r="E104" s="34" t="inlineStr">
        <is>
          <t>เป็น delayed emesis เพิ่ม NK-1 antagonist</t>
        </is>
      </c>
      <c r="F104" s="34" t="inlineStr">
        <is>
          <t>เป็น Anticipatory emesis พิจารณาให้ Benzodiazepine (เช่น Lorazepam)</t>
        </is>
      </c>
      <c r="G104" s="34" t="inlineStr">
        <is>
          <t>เป็นผลจาก motion sickness ระหว่างเดินทางมาโรงพยาบาล ให้ Dimenhydrinate</t>
        </is>
      </c>
      <c r="H104" s="34" t="inlineStr">
        <is>
          <t>ไม่ต้องรักษาเพราะเป็นอาการทางจิตใจที่ไม่เกี่ยวกับเภสัชวิทยา</t>
        </is>
      </c>
      <c r="I104" s="33" t="inlineStr">
        <is>
          <t>3</t>
        </is>
      </c>
      <c r="J104" s="34"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35" t="n"/>
      <c r="L104" s="34" t="inlineStr">
        <is>
          <t>Nausea and vomiting</t>
        </is>
      </c>
      <c r="M104" s="35" t="inlineStr">
        <is>
          <t>Clinic</t>
        </is>
      </c>
      <c r="N104" s="34" t="inlineStr">
        <is>
          <t>ข้อ 6.7 Mock GI RxCU84</t>
        </is>
      </c>
      <c r="O104" s="35" t="inlineStr">
        <is>
          <t>Mock</t>
        </is>
      </c>
      <c r="P104" s="35" t="inlineStr">
        <is>
          <t>Mock RxCU84</t>
        </is>
      </c>
    </row>
    <row r="105" ht="13.2" customHeight="1" s="49">
      <c r="A105" s="33" t="n">
        <v>103</v>
      </c>
      <c r="B105"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35" t="n"/>
      <c r="D105" s="34" t="inlineStr">
        <is>
          <t>Grade I</t>
        </is>
      </c>
      <c r="E105" s="34" t="inlineStr">
        <is>
          <t>Grade II</t>
        </is>
      </c>
      <c r="F105" s="34" t="inlineStr">
        <is>
          <t>Grade III</t>
        </is>
      </c>
      <c r="G105" s="34" t="inlineStr">
        <is>
          <t>Grade IV</t>
        </is>
      </c>
      <c r="H105" s="34" t="inlineStr">
        <is>
          <t>External hemorrhoid (ไม่ใช้ระบบ grade I–IV)</t>
        </is>
      </c>
      <c r="I105" s="33" t="inlineStr">
        <is>
          <t>3</t>
        </is>
      </c>
      <c r="J105" s="34"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35" t="n"/>
      <c r="L105" s="34" t="inlineStr">
        <is>
          <t>Diarrhea &amp; Constipation</t>
        </is>
      </c>
      <c r="M105" s="35" t="inlineStr">
        <is>
          <t>Clinic</t>
        </is>
      </c>
      <c r="N105" s="34" t="inlineStr">
        <is>
          <t>ข้อ 7.1 Mock GI RxCU84</t>
        </is>
      </c>
      <c r="O105" s="35" t="inlineStr">
        <is>
          <t>Mock</t>
        </is>
      </c>
      <c r="P105" s="35" t="inlineStr">
        <is>
          <t>Mock RxCU84</t>
        </is>
      </c>
    </row>
    <row r="106" ht="13.2" customHeight="1" s="49">
      <c r="A106" s="33" t="n">
        <v>104</v>
      </c>
      <c r="B106"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35" t="n"/>
      <c r="D106" s="34" t="inlineStr">
        <is>
          <t>ส่งต่อทำ colonoscopy ทันทีทุกกรณีเพราะมีเลือดออก</t>
        </is>
      </c>
      <c r="E106" s="34" t="inlineStr">
        <is>
          <t>ประเมินแล้วไม่มี red flag ชัดเจน จึงเริ่มดูแลแบบ conservative ที่ร้านยาได้ พร้อมแนะนำสัญญาณอันตรายที่ต้องกลับมาพบแพทย์</t>
        </is>
      </c>
      <c r="F106" s="34" t="inlineStr">
        <is>
          <t>จ่ายยาปฏิชีวนะชนิดรับประทานเพื่อกันติดเชื้อ</t>
        </is>
      </c>
      <c r="G106" s="34" t="inlineStr">
        <is>
          <t>แนะนำผ่าตัดริดสีดวงทันที</t>
        </is>
      </c>
      <c r="H106" s="34" t="inlineStr">
        <is>
          <t>หยุดสังเกตอาการเองที่บ้านนาน 3 เดือน โดยไม่ให้คำแนะนำหรือ warning signs ใด ๆ</t>
        </is>
      </c>
      <c r="I106" s="33" t="inlineStr">
        <is>
          <t>2</t>
        </is>
      </c>
      <c r="J106" s="34"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35" t="n"/>
      <c r="L106" s="34" t="inlineStr">
        <is>
          <t>Diarrhea &amp; Constipation</t>
        </is>
      </c>
      <c r="M106" s="35" t="inlineStr">
        <is>
          <t>Clinic</t>
        </is>
      </c>
      <c r="N106" s="34" t="inlineStr">
        <is>
          <t>ข้อ 7.2 Mock GI RxCU84</t>
        </is>
      </c>
      <c r="O106" s="35" t="inlineStr">
        <is>
          <t>Mock</t>
        </is>
      </c>
      <c r="P106" s="35" t="inlineStr">
        <is>
          <t>Mock RxCU84</t>
        </is>
      </c>
    </row>
    <row r="107" ht="13.2" customHeight="1" s="49">
      <c r="A107" s="33" t="n">
        <v>105</v>
      </c>
      <c r="B107"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35" t="n"/>
      <c r="D107" s="34" t="inlineStr">
        <is>
          <t>Rubber band ligation</t>
        </is>
      </c>
      <c r="E107" s="34" t="inlineStr">
        <is>
          <t>Topical hydrocortisone + lidocaine suppository</t>
        </is>
      </c>
      <c r="F107" s="34" t="inlineStr">
        <is>
          <t>Dietary &amp; behavioral modification (เพิ่มใยอาหาร + ดื่มน้ำ + ปรับพฤติกรรมขับถ่าย)</t>
        </is>
      </c>
      <c r="G107" s="34" t="inlineStr">
        <is>
          <t>Hemorrhoidectomy</t>
        </is>
      </c>
      <c r="H107" s="34" t="inlineStr">
        <is>
          <t>จ่ายยาปฏิชีวนะชนิดรับประทานเพื่อป้องกันการติดเชื้อ</t>
        </is>
      </c>
      <c r="I107" s="33" t="inlineStr">
        <is>
          <t>3</t>
        </is>
      </c>
      <c r="J107" s="34"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ยาเหน็บริดสีดวง = บรรเทาอาการชั่วคราว; ห้ามใช้ระยะยาวเพราะ steroid component</t>
        </is>
      </c>
      <c r="K107" s="35" t="n"/>
      <c r="L107" s="34" t="inlineStr">
        <is>
          <t>Diarrhea &amp; Constipation</t>
        </is>
      </c>
      <c r="M107" s="35" t="inlineStr">
        <is>
          <t>Clinic</t>
        </is>
      </c>
      <c r="N107" s="34" t="inlineStr">
        <is>
          <t>ข้อ 7.3 Mock GI RxCU84</t>
        </is>
      </c>
      <c r="O107" s="35" t="inlineStr">
        <is>
          <t>Mock</t>
        </is>
      </c>
      <c r="P107" s="35" t="inlineStr">
        <is>
          <t>Mock RxCU84</t>
        </is>
      </c>
    </row>
    <row r="108" ht="13.2" customHeight="1" s="49">
      <c r="A108" s="33" t="n">
        <v>106</v>
      </c>
      <c r="B108"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35" t="n"/>
      <c r="D108" s="34" t="inlineStr">
        <is>
          <t>Senna + แนะนำใช้เฉพาะเวลาปวด</t>
        </is>
      </c>
      <c r="E108" s="34" t="inlineStr">
        <is>
          <t>Psyllium (bulk-forming) + แนะนำดื่มน้ำตามให้พอ และใช้ต่อเนื่อง ≥ 6 สัปดาห์</t>
        </is>
      </c>
      <c r="F108" s="34" t="inlineStr">
        <is>
          <t>Bisacodyl + แนะนำใช้ก่อนนอนทุกคืนถาวร</t>
        </is>
      </c>
      <c r="G108" s="34" t="inlineStr">
        <is>
          <t>Glycerin suppository + แนะนำสวนทุกเช้า</t>
        </is>
      </c>
      <c r="H108" s="34" t="inlineStr">
        <is>
          <t>Lactulose + แนะนำใช้เฉพาะเมื่อมีอาการปวดเท่านั้น</t>
        </is>
      </c>
      <c r="I108" s="33" t="inlineStr">
        <is>
          <t>2</t>
        </is>
      </c>
      <c r="J108" s="34"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35" t="n"/>
      <c r="L108" s="34" t="inlineStr">
        <is>
          <t>Diarrhea &amp; Constipation</t>
        </is>
      </c>
      <c r="M108" s="35" t="inlineStr">
        <is>
          <t>Clinic</t>
        </is>
      </c>
      <c r="N108" s="34" t="inlineStr">
        <is>
          <t>ข้อ 7.4 Mock GI RxCU84</t>
        </is>
      </c>
      <c r="O108" s="35" t="inlineStr">
        <is>
          <t>Mock</t>
        </is>
      </c>
      <c r="P108" s="35" t="inlineStr">
        <is>
          <t>Mock RxCU84</t>
        </is>
      </c>
    </row>
    <row r="109" ht="13.2" customHeight="1" s="49">
      <c r="A109" s="33" t="n">
        <v>107</v>
      </c>
      <c r="B109"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35" t="n"/>
      <c r="D109" s="34" t="inlineStr">
        <is>
          <t>1 เม็ด วันละครั้ง ต่อเนื่อง</t>
        </is>
      </c>
      <c r="E109" s="34" t="inlineStr">
        <is>
          <t>2 เม็ด/วัน ตลอด</t>
        </is>
      </c>
      <c r="F109" s="34" t="inlineStr">
        <is>
          <t>6 เม็ด/วัน นาน 4 วัน ตามด้วย 4 เม็ด/วัน อีก 3 วัน</t>
        </is>
      </c>
      <c r="G109" s="34" t="inlineStr">
        <is>
          <t>2 เม็ด วันละ 3 ครั้ง นาน 14 วัน</t>
        </is>
      </c>
      <c r="H109" s="34" t="inlineStr">
        <is>
          <t>3 เม็ด/วัน นาน 7 วัน แล้วหยุด</t>
        </is>
      </c>
      <c r="I109" s="33" t="inlineStr">
        <is>
          <t>3</t>
        </is>
      </c>
      <c r="J109" s="34"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35" t="n"/>
      <c r="L109" s="34" t="inlineStr">
        <is>
          <t>Diarrhea &amp; Constipation</t>
        </is>
      </c>
      <c r="M109" s="35" t="inlineStr">
        <is>
          <t>Clinic</t>
        </is>
      </c>
      <c r="N109" s="34" t="inlineStr">
        <is>
          <t>ข้อ 7.5 Mock GI RxCU84</t>
        </is>
      </c>
      <c r="O109" s="35" t="inlineStr">
        <is>
          <t>Mock</t>
        </is>
      </c>
      <c r="P109" s="35" t="inlineStr">
        <is>
          <t>Mock RxCU84</t>
        </is>
      </c>
    </row>
    <row r="110" ht="13.2" customHeight="1" s="49">
      <c r="A110" s="33" t="n">
        <v>108</v>
      </c>
      <c r="B110"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35" t="n"/>
      <c r="D110" s="34" t="inlineStr">
        <is>
          <t>รักษาริดสีดวงให้หายขาดและป้องกันการเป็นซ้ำได้</t>
        </is>
      </c>
      <c r="E110" s="34"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34" t="inlineStr">
        <is>
          <t>ใช้แทนการปรับอาหารได้ เพราะเป็น first-line</t>
        </is>
      </c>
      <c r="G110" s="34" t="inlineStr">
        <is>
          <t>ยิ่งใช้นานยิ่งดี ไม่มีผลข้างเคียง</t>
        </is>
      </c>
      <c r="H110" s="34" t="inlineStr">
        <is>
          <t>ใช้ได้เฉพาะเมื่อมีการติดเชื้อแบคทีเรียที่ทวารหนักเท่านั้น</t>
        </is>
      </c>
      <c r="I110" s="33" t="inlineStr">
        <is>
          <t>2</t>
        </is>
      </c>
      <c r="J110" s="34"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35" t="n"/>
      <c r="L110" s="34" t="inlineStr">
        <is>
          <t>Diarrhea &amp; Constipation</t>
        </is>
      </c>
      <c r="M110" s="35" t="inlineStr">
        <is>
          <t>Clinic</t>
        </is>
      </c>
      <c r="N110" s="34" t="inlineStr">
        <is>
          <t>ข้อ 7.6 Mock GI RxCU84</t>
        </is>
      </c>
      <c r="O110" s="35" t="inlineStr">
        <is>
          <t>Mock</t>
        </is>
      </c>
      <c r="P110" s="35" t="inlineStr">
        <is>
          <t>Mock RxCU84</t>
        </is>
      </c>
    </row>
    <row r="111" ht="13.2" customHeight="1" s="49">
      <c r="A111" s="33" t="n">
        <v>109</v>
      </c>
      <c r="B111" s="34"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35" t="n"/>
      <c r="D111" s="34" t="inlineStr">
        <is>
          <t>Ibuprofen เหมาะสม / หลีกเลี่ยง paracetamol</t>
        </is>
      </c>
      <c r="E111" s="34" t="inlineStr">
        <is>
          <t>Paracetamol เหมาะสม / หลีกเลี่ยง NSAIDs (เช่น ibuprofen, diclofenac) และ aspirin</t>
        </is>
      </c>
      <c r="F111" s="34" t="inlineStr">
        <is>
          <t>Aspirin เหมาะสม / หลีกเลี่ยง psyllium</t>
        </is>
      </c>
      <c r="G111" s="34" t="inlineStr">
        <is>
          <t>Naproxen เหมาะสม / หลีกเลี่ยง sitz bath</t>
        </is>
      </c>
      <c r="H111" s="34" t="inlineStr">
        <is>
          <t>Tramadol เป็นทางเลือกแรก / หลีกเลี่ยง paracetamol และ sitz bath</t>
        </is>
      </c>
      <c r="I111" s="33" t="inlineStr">
        <is>
          <t>2</t>
        </is>
      </c>
      <c r="J111" s="34"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35" t="n"/>
      <c r="L111" s="34" t="inlineStr">
        <is>
          <t>Diarrhea &amp; Constipation</t>
        </is>
      </c>
      <c r="M111" s="35" t="inlineStr">
        <is>
          <t>Clinic</t>
        </is>
      </c>
      <c r="N111" s="34" t="inlineStr">
        <is>
          <t>ข้อ 7.7 Mock GI RxCU84</t>
        </is>
      </c>
      <c r="O111" s="35" t="inlineStr">
        <is>
          <t>Mock</t>
        </is>
      </c>
      <c r="P111" s="35" t="inlineStr">
        <is>
          <t>Mock RxCU84</t>
        </is>
      </c>
    </row>
    <row r="112" ht="13.2" customHeight="1" s="49">
      <c r="A112" s="33" t="n">
        <v>110</v>
      </c>
      <c r="B112" s="34" t="inlineStr">
        <is>
          <t>ข้อใดไม่ใช่ปัจจัยที่นำไปสู่การเกิด peptic ulcer disease ในผู้ป่วยรายนี้ ตามแนวเวชปฏิบัติ dyspepsia ไทย 2561</t>
        </is>
      </c>
      <c r="C112" s="35" t="n"/>
      <c r="D112" s="34" t="inlineStr">
        <is>
          <t>ใช้ naproxen เป็นเวลานาน</t>
        </is>
      </c>
      <c r="E112" s="34" t="inlineStr">
        <is>
          <t>สูงอายุ</t>
        </is>
      </c>
      <c r="F112" s="34" t="inlineStr">
        <is>
          <t>โรคอ้วน</t>
        </is>
      </c>
      <c r="G112" s="34" t="inlineStr">
        <is>
          <t>ใช้ aspirin เป็นเวลานาน</t>
        </is>
      </c>
      <c r="H112" s="34" t="inlineStr">
        <is>
          <t>ติดเชื้อ H. pylori</t>
        </is>
      </c>
      <c r="I112" s="33" t="inlineStr">
        <is>
          <t>1</t>
        </is>
      </c>
      <c r="J112" s="34" t="inlineStr">
        <is>
          <t>✅ คำตอบที่ถูกต้อง: ข้อ ก. ใช้ naproxen เป็นเวลานาน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(สูงอายุ): อายุที่เพิ่มขึ้น (มากกว่า 60 ปี) เป็นปัจจัยเสี่ยงที่สำคัญตามแนวเวชปฏิบัติเนื่องจากเยื่อบุกระเพาะอาหารและกลไกการป้องกันของเซลล์เยื่อบุทางเดินอาหารเสื่อมถอยลง
• ข้อ ค. (โรคอ้วน): โรคอ้วนส่งผลต่อความดันในช่องท้องและสัมพันธ์กับโรคกรดไหลย้อน แต่ในบริบทของโจทย์ข้อนี้ ปัจจัยเสี่ยงหลักของ Peptic ulcer ตามแนวทางเวชปฏิบัติคือการใช้ยา NSAIDs, ผู้สูงอายุ และ H. pylori
• ข้อ ง. (ใช้ aspirin เป็นเวลานาน): การใช้ยา Aspirin อย่างต่อเนื่องเป็นเวลานานเป็นสาเหตุสำคัญอันดับต้นๆ ของการเกิดแผลในกระเพาะอาหารจากการยับยั้งการสร้าง Prostaglandin ปกป้องเยื่อบุ
• ข้อ จ. (ติดเชื้อ H. pylori): การติดเชื้อแบคทีเรีย Helicobacter pylori เป็นสาเหตุหลักทางจุลชีววิทยาที่ทำให้เกิดการอักเสบเรื้อรังและแผลในกระเพาะอาหารและลำไส้เล็กส่วนต้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35" t="n"/>
      <c r="L112" s="34" t="inlineStr">
        <is>
          <t>Dyspepsia &amp; PUD</t>
        </is>
      </c>
      <c r="M112" s="35" t="inlineStr">
        <is>
          <t>Clinic</t>
        </is>
      </c>
      <c r="N112" s="34" t="inlineStr">
        <is>
          <t>PLE_CC1_2567_Key ข้อ 8</t>
        </is>
      </c>
      <c r="O112" s="35" t="inlineStr">
        <is>
          <t>ข้อสอบจริง</t>
        </is>
      </c>
      <c r="P112" s="35" t="inlineStr">
        <is>
          <t>ปี 2567</t>
        </is>
      </c>
      <c r="Q112" s="2" t="n"/>
    </row>
    <row r="113" ht="13.2" customHeight="1" s="49">
      <c r="A113" s="33" t="n">
        <v>111</v>
      </c>
      <c r="B113"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35" t="n"/>
      <c r="D113" s="34" t="inlineStr">
        <is>
          <t>Cellulose acetate</t>
        </is>
      </c>
      <c r="E113" s="34" t="inlineStr">
        <is>
          <t>Phthalate</t>
        </is>
      </c>
      <c r="F113" s="34" t="inlineStr">
        <is>
          <t>Shellac</t>
        </is>
      </c>
      <c r="G113" s="34" t="inlineStr">
        <is>
          <t>ethyl cellulose</t>
        </is>
      </c>
      <c r="H113" s="34"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33" t="inlineStr">
        <is>
          <t>1</t>
        </is>
      </c>
      <c r="J113"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Dyspepsia &amp; PUD</t>
        </is>
      </c>
      <c r="M113" s="35" t="inlineStr">
        <is>
          <t>Clinic</t>
        </is>
      </c>
      <c r="N113" s="34" t="inlineStr">
        <is>
          <t>PLE_CC1_2567_Key ข้อ 91</t>
        </is>
      </c>
      <c r="O113" s="35" t="inlineStr">
        <is>
          <t>ข้อสอบจริง</t>
        </is>
      </c>
      <c r="P113" s="35" t="inlineStr">
        <is>
          <t>ปี 2567</t>
        </is>
      </c>
      <c r="Q113" s="2" t="n"/>
    </row>
    <row r="114" ht="13.2" customHeight="1" s="49">
      <c r="A114" s="33" t="n">
        <v>112</v>
      </c>
      <c r="B114" s="34"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35" t="n"/>
      <c r="D114" s="34" t="inlineStr">
        <is>
          <t>Peptic Ulcer / GERD</t>
        </is>
      </c>
      <c r="E114" s="34" t="inlineStr">
        <is>
          <t>Metoclopramide 10 mg TID before meals</t>
        </is>
      </c>
      <c r="F114" s="34" t="inlineStr">
        <is>
          <t>Omeprazole 20 mg OD</t>
        </is>
      </c>
      <c r="G114" s="34" t="inlineStr">
        <is>
          <t>Esomeprazole 20 mg OD</t>
        </is>
      </c>
      <c r="H114" s="34" t="inlineStr">
        <is>
          <t>Domperidone 10 mg TID</t>
        </is>
      </c>
      <c r="I114" s="33" t="inlineStr">
        <is>
          <t>1</t>
        </is>
      </c>
      <c r="J114"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GERD</t>
        </is>
      </c>
      <c r="M114" s="35" t="inlineStr">
        <is>
          <t>Clinic</t>
        </is>
      </c>
      <c r="N114" s="34" t="inlineStr">
        <is>
          <t>PLE_CC1_2567_Key ข้อ 99</t>
        </is>
      </c>
      <c r="O114" s="35" t="inlineStr">
        <is>
          <t>ข้อสอบจริง</t>
        </is>
      </c>
      <c r="P114" s="35" t="inlineStr">
        <is>
          <t>ปี 2567</t>
        </is>
      </c>
    </row>
    <row r="115" ht="13.2" customHeight="1" s="49">
      <c r="A115" s="33" t="n">
        <v>113</v>
      </c>
      <c r="B115" s="34" t="inlineStr">
        <is>
          <t>ข้อใดไม่ใช่ปัจจัยที่นำไปสู่การเกิด peptic ulcer disease ในผู้ป่วยรายนี้ ตามแนวเวชปฏิบัติ dyspepsia ไทย 2561</t>
        </is>
      </c>
      <c r="C115" s="35" t="n"/>
      <c r="D115" s="34" t="inlineStr">
        <is>
          <t>Dolutegravir</t>
        </is>
      </c>
      <c r="E115" s="34" t="inlineStr">
        <is>
          <t>Lopinavir/Ritonavir</t>
        </is>
      </c>
      <c r="F115" s="34" t="inlineStr">
        <is>
          <t>Etravirine</t>
        </is>
      </c>
      <c r="G115" s="34" t="inlineStr">
        <is>
          <t>Emtricitabine</t>
        </is>
      </c>
      <c r="H115" s="34" t="inlineStr">
        <is>
          <t>Enfuvirtide (INSTI)</t>
        </is>
      </c>
      <c r="I115" s="33" t="inlineStr">
        <is>
          <t>1</t>
        </is>
      </c>
      <c r="J115" s="34"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Dyspepsia &amp; PUD</t>
        </is>
      </c>
      <c r="M115" s="35" t="inlineStr">
        <is>
          <t>Clinic</t>
        </is>
      </c>
      <c r="N115" s="34" t="inlineStr">
        <is>
          <t>PLE_CC1_2567_Set1_Key ข้อ 8</t>
        </is>
      </c>
      <c r="O115" s="35" t="inlineStr">
        <is>
          <t>ข้อสอบจริง</t>
        </is>
      </c>
      <c r="P115" s="35" t="inlineStr">
        <is>
          <t>ปี 2567</t>
        </is>
      </c>
      <c r="Q115" s="2" t="n"/>
    </row>
    <row r="116" ht="13.2" customHeight="1" s="49">
      <c r="A116" s="33" t="n">
        <v>114</v>
      </c>
      <c r="B116" s="34"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35" t="n"/>
      <c r="D116" s="34" t="inlineStr">
        <is>
          <t>Cellulose acetate</t>
        </is>
      </c>
      <c r="E116" s="34" t="inlineStr">
        <is>
          <t>Phthalate</t>
        </is>
      </c>
      <c r="F116" s="34" t="inlineStr">
        <is>
          <t>Shellac</t>
        </is>
      </c>
      <c r="G116" s="34" t="inlineStr">
        <is>
          <t>ethyl cellulose</t>
        </is>
      </c>
      <c r="H116" s="34"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33" t="inlineStr">
        <is>
          <t>1</t>
        </is>
      </c>
      <c r="J116" s="34"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Dyspepsia &amp; PUD</t>
        </is>
      </c>
      <c r="M116" s="35" t="inlineStr">
        <is>
          <t>Clinic</t>
        </is>
      </c>
      <c r="N116" s="34" t="inlineStr">
        <is>
          <t>PLE_CC1_2567_Set1_Key ข้อ 91</t>
        </is>
      </c>
      <c r="O116" s="35" t="inlineStr">
        <is>
          <t>ข้อสอบจริง</t>
        </is>
      </c>
      <c r="P116" s="35" t="inlineStr">
        <is>
          <t>ปี 2567</t>
        </is>
      </c>
      <c r="Q116" s="2" t="n"/>
    </row>
    <row r="117" ht="13.2" customHeight="1" s="49">
      <c r="A117" s="33" t="n">
        <v>115</v>
      </c>
      <c r="B117" s="34" t="inlineStr">
        <is>
          <t>ใช้Nicotin gum แล้วรู้สึก… (อาการคล้ายๆพวกGERD) จะ แนะนำอย่างไร ตัวเลือก</t>
        </is>
      </c>
      <c r="C117" s="35" t="n"/>
      <c r="D117" s="34" t="inlineStr">
        <is>
          <t>Peptic Ulcer / GERD</t>
        </is>
      </c>
      <c r="E117" s="34" t="inlineStr">
        <is>
          <t>Amoxicillin 1000 mg BID</t>
        </is>
      </c>
      <c r="F117" s="34" t="inlineStr">
        <is>
          <t>Clarithromycin 500 mg BID</t>
        </is>
      </c>
      <c r="G117" s="34" t="inlineStr">
        <is>
          <t>Hyoscine butylbromide 10 mg TID</t>
        </is>
      </c>
      <c r="H117" s="34" t="inlineStr">
        <is>
          <t>Aluminium hydroxide/Magnesium hydroxide suspension</t>
        </is>
      </c>
      <c r="I117" s="33" t="inlineStr">
        <is>
          <t>1</t>
        </is>
      </c>
      <c r="J11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GERD</t>
        </is>
      </c>
      <c r="M117" s="35" t="inlineStr">
        <is>
          <t>Clinic</t>
        </is>
      </c>
      <c r="N117" s="34" t="inlineStr">
        <is>
          <t>PLE-CC1 ปี 2566 Day 1 ข้อ 47</t>
        </is>
      </c>
      <c r="O117" s="35" t="inlineStr">
        <is>
          <t>ข้อสอบจริง</t>
        </is>
      </c>
      <c r="P117" s="35" t="inlineStr">
        <is>
          <t>ปี 2566</t>
        </is>
      </c>
    </row>
    <row r="118" ht="13.2" customHeight="1" s="49">
      <c r="A118" s="33" t="n">
        <v>116</v>
      </c>
      <c r="B118" s="34" t="inlineStr">
        <is>
          <t>อาการที่บ่งบอกว่าเป็นGERD แน่ ตัวเลือก</t>
        </is>
      </c>
      <c r="C118" s="35" t="n"/>
      <c r="D118" s="34" t="inlineStr">
        <is>
          <t>Peptic Ulcer / GERD</t>
        </is>
      </c>
      <c r="E118" s="34" t="inlineStr">
        <is>
          <t>Aluminium hydroxide/Magnesium hydroxide suspension</t>
        </is>
      </c>
      <c r="F118" s="34" t="inlineStr">
        <is>
          <t>Metoclopramide 10 mg TID before meals</t>
        </is>
      </c>
      <c r="G118" s="34" t="inlineStr">
        <is>
          <t>Omeprazole 20 mg OD</t>
        </is>
      </c>
      <c r="H118" s="34" t="inlineStr">
        <is>
          <t>Esomeprazole 20 mg OD</t>
        </is>
      </c>
      <c r="I118" s="33" t="inlineStr">
        <is>
          <t>1</t>
        </is>
      </c>
      <c r="J118"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GERD</t>
        </is>
      </c>
      <c r="M118" s="35" t="inlineStr">
        <is>
          <t>Clinic</t>
        </is>
      </c>
      <c r="N118" s="34" t="inlineStr">
        <is>
          <t>PLE-CC1 ปี 2566 Day 1 ข้อ 51</t>
        </is>
      </c>
      <c r="O118" s="35" t="inlineStr">
        <is>
          <t>ข้อสอบจริง</t>
        </is>
      </c>
      <c r="P118" s="35" t="inlineStr">
        <is>
          <t>ปี 2566</t>
        </is>
      </c>
    </row>
    <row r="119" ht="13.2" customHeight="1" s="49">
      <c r="A119" s="33" t="n">
        <v>117</v>
      </c>
      <c r="B119" s="34" t="inlineStr">
        <is>
          <t>Dyspepsia ให้ยาอะไร ตัวเลือก</t>
        </is>
      </c>
      <c r="C119" s="35" t="n"/>
      <c r="D119" s="34" t="inlineStr">
        <is>
          <t>Peptic Ulcer / GERD</t>
        </is>
      </c>
      <c r="E119" s="34" t="inlineStr">
        <is>
          <t>Esomeprazole 20 mg OD</t>
        </is>
      </c>
      <c r="F119" s="34" t="inlineStr">
        <is>
          <t>Domperidone 10 mg TID</t>
        </is>
      </c>
      <c r="G119" s="34" t="inlineStr">
        <is>
          <t>Dimenhydrinate 50 mg TID</t>
        </is>
      </c>
      <c r="H119" s="34" t="inlineStr">
        <is>
          <t>Loperamide 2 mg PRN</t>
        </is>
      </c>
      <c r="I119" s="33" t="inlineStr">
        <is>
          <t>1</t>
        </is>
      </c>
      <c r="J119"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GERD</t>
        </is>
      </c>
      <c r="M119" s="35" t="inlineStr">
        <is>
          <t>Clinic</t>
        </is>
      </c>
      <c r="N119" s="34" t="inlineStr">
        <is>
          <t>PLE-CC1 ปี 2566 Day 1 ข้อ 53</t>
        </is>
      </c>
      <c r="O119" s="35" t="inlineStr">
        <is>
          <t>ข้อสอบจริง</t>
        </is>
      </c>
      <c r="P119" s="35" t="inlineStr">
        <is>
          <t>ปี 2566</t>
        </is>
      </c>
    </row>
    <row r="120" ht="13.2" customHeight="1" s="49">
      <c r="A120" s="33" t="n">
        <v>118</v>
      </c>
      <c r="B120" s="34" t="inlineStr">
        <is>
          <t>receptor ที่เกี่ยวข้องโดยตรงกับการคลื่นไส้อาเจียน. ตัวเลือก</t>
        </is>
      </c>
      <c r="C120" s="35" t="n"/>
      <c r="D120" s="34" t="inlineStr">
        <is>
          <t>5-HT3 receptor (Serotonin receptor type 3)</t>
        </is>
      </c>
      <c r="E120" s="34" t="inlineStr">
        <is>
          <t>D2 receptor (Dopamine D2)</t>
        </is>
      </c>
      <c r="F120" s="34" t="inlineStr">
        <is>
          <t>NK1 receptor (Neurokinin-1)</t>
        </is>
      </c>
      <c r="G120" s="34" t="inlineStr">
        <is>
          <t>H1 receptor (Histamine H1)</t>
        </is>
      </c>
      <c r="H120" s="34" t="inlineStr">
        <is>
          <t>M1 receptor (Muscarinic M1)</t>
        </is>
      </c>
      <c r="I120" s="33" t="inlineStr">
        <is>
          <t>1</t>
        </is>
      </c>
      <c r="J120" s="34"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CTZ: D2 + 5-HT3 + NK1; VC: NK1 + H1 + M1; GI: 5-HT3 + D2; Vestibular: H1 + M1</t>
        </is>
      </c>
      <c r="K120" s="35" t="n"/>
      <c r="L120" s="34" t="inlineStr">
        <is>
          <t>Nausea and vomiting</t>
        </is>
      </c>
      <c r="M120" s="35" t="inlineStr">
        <is>
          <t>Clinic</t>
        </is>
      </c>
      <c r="N120" s="34" t="inlineStr">
        <is>
          <t>PLE-CC1 ปี 2566 Day 2 ข้อ 4</t>
        </is>
      </c>
      <c r="O120" s="35" t="inlineStr">
        <is>
          <t>ข้อสอบจริง</t>
        </is>
      </c>
      <c r="P120" s="35" t="inlineStr">
        <is>
          <t>ปี 2566</t>
        </is>
      </c>
    </row>
    <row r="121" ht="13.2" customHeight="1" s="49">
      <c r="A121" s="33" t="n">
        <v>119</v>
      </c>
      <c r="B121" s="34" t="inlineStr">
        <is>
          <t>ยาต้านอาเจียนที่ทำให้เกิดQT prolongation ตัวเลือก</t>
        </is>
      </c>
      <c r="C121" s="35" t="n"/>
      <c r="D121" s="34" t="inlineStr">
        <is>
          <t>Domperidone</t>
        </is>
      </c>
      <c r="E121" s="34" t="inlineStr">
        <is>
          <t>Ondansetron (ขนาดสูง IV)</t>
        </is>
      </c>
      <c r="F121" s="34" t="inlineStr">
        <is>
          <t>Metoclopramide</t>
        </is>
      </c>
      <c r="G121" s="34" t="inlineStr">
        <is>
          <t>Droperidol</t>
        </is>
      </c>
      <c r="H121" s="34" t="inlineStr">
        <is>
          <t>Promethazine</t>
        </is>
      </c>
      <c r="I121" s="33" t="inlineStr">
        <is>
          <t>1</t>
        </is>
      </c>
      <c r="J121" s="34"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QT prolongation (EMA warning); ขนาดสูงสุด 10 mg TID; ห้ามใช้ใน QTc ยาว/cardiac disease</t>
        </is>
      </c>
      <c r="K121" s="35" t="n"/>
      <c r="L121" s="34" t="inlineStr">
        <is>
          <t>Nausea and vomiting</t>
        </is>
      </c>
      <c r="M121" s="35" t="inlineStr">
        <is>
          <t>Clinic</t>
        </is>
      </c>
      <c r="N121" s="34" t="inlineStr">
        <is>
          <t>PLE-CC1 ปี 2566 Day 2 ข้อ 63</t>
        </is>
      </c>
      <c r="O121" s="35" t="inlineStr">
        <is>
          <t>ข้อสอบจริง</t>
        </is>
      </c>
      <c r="P121" s="35" t="inlineStr">
        <is>
          <t>ปี 2566</t>
        </is>
      </c>
    </row>
    <row r="122" ht="13.2" customHeight="1" s="49">
      <c r="A122" s="33" t="n">
        <v>120</v>
      </c>
      <c r="B122" s="34" t="inlineStr">
        <is>
          <t>ยาต้านอาเจียนที่เป็นมาตรฐาน ที่จะบริหารก่อนการให้ยาเคมียำบัด ตัวเลือก</t>
        </is>
      </c>
      <c r="C122" s="35" t="n"/>
      <c r="D122" s="34" t="inlineStr">
        <is>
          <t>Ondansetron 8 mg IV 30 นาทีก่อนให้เคมีบำบัด</t>
        </is>
      </c>
      <c r="E122" s="34" t="inlineStr">
        <is>
          <t>Hyoscine butylbromide 10 mg ก่อนให้เคมีบำบัด</t>
        </is>
      </c>
      <c r="F122" s="34" t="inlineStr">
        <is>
          <t>Aluminium hydroxide/Magnesium hydroxide suspension</t>
        </is>
      </c>
      <c r="G122" s="34" t="inlineStr">
        <is>
          <t>Metoclopramide 10 mg TID before meals</t>
        </is>
      </c>
      <c r="H122" s="34" t="inlineStr">
        <is>
          <t>Omeprazole 20 mg OD</t>
        </is>
      </c>
      <c r="I122" s="33" t="inlineStr">
        <is>
          <t>1</t>
        </is>
      </c>
      <c r="J122" s="34"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2" s="35" t="n"/>
      <c r="L122" s="34" t="inlineStr">
        <is>
          <t>Nausea and vomiting</t>
        </is>
      </c>
      <c r="M122" s="35" t="inlineStr">
        <is>
          <t>Clinic</t>
        </is>
      </c>
      <c r="N122" s="34" t="inlineStr">
        <is>
          <t>PLE-CC1 ปี 2566 Day 2 ข้อ 93</t>
        </is>
      </c>
      <c r="O122" s="35" t="inlineStr">
        <is>
          <t>ข้อสอบจริง</t>
        </is>
      </c>
      <c r="P122" s="35" t="inlineStr">
        <is>
          <t>ปี 2566</t>
        </is>
      </c>
    </row>
    <row r="123" ht="13.2" customHeight="1" s="49">
      <c r="A123" s="33" t="n">
        <v>121</v>
      </c>
      <c r="B123" s="34" t="inlineStr">
        <is>
          <t>Gastroesophageal reflux disease (GERD)</t>
        </is>
      </c>
      <c r="C123" s="35" t="n"/>
      <c r="D123" s="34" t="inlineStr">
        <is>
          <t>Peptic Ulcer / GERD</t>
        </is>
      </c>
      <c r="E123" s="34" t="inlineStr">
        <is>
          <t>Omeprazole 20 mg OD</t>
        </is>
      </c>
      <c r="F123" s="34" t="inlineStr">
        <is>
          <t>Esomeprazole 20 mg OD</t>
        </is>
      </c>
      <c r="G123" s="34" t="inlineStr">
        <is>
          <t>Domperidone 10 mg TID</t>
        </is>
      </c>
      <c r="H123" s="34" t="inlineStr">
        <is>
          <t>Dimenhydrinate 50 mg TID</t>
        </is>
      </c>
      <c r="I123" s="33" t="inlineStr">
        <is>
          <t>1</t>
        </is>
      </c>
      <c r="J123"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35" t="n"/>
      <c r="L123" s="34" t="inlineStr">
        <is>
          <t>GERD</t>
        </is>
      </c>
      <c r="M123" s="35" t="inlineStr">
        <is>
          <t>Clinic</t>
        </is>
      </c>
      <c r="N123" s="34" t="inlineStr">
        <is>
          <t>PLE_CC1_2565_Day1_Key ข้อ 7</t>
        </is>
      </c>
      <c r="O123" s="35" t="inlineStr">
        <is>
          <t>ข้อสอบจริง</t>
        </is>
      </c>
      <c r="P123" s="35" t="inlineStr">
        <is>
          <t>ปี 2565</t>
        </is>
      </c>
    </row>
    <row r="124" ht="13.2" customHeight="1" s="49">
      <c r="A124" s="33" t="n">
        <v>122</v>
      </c>
      <c r="B124" s="34" t="inlineStr">
        <is>
          <t>“แผ-นพับยาแสดงอาการข$างเคียงของยาดังนี้ salivation, urinary incontinence, sweating, diarrhea, Tremor” จากข$อความดังกล-าว หมายถึงยาใด</t>
        </is>
      </c>
      <c r="C124" s="35" t="n"/>
      <c r="D124" s="34" t="inlineStr">
        <is>
          <t>Timolol eye drop</t>
        </is>
      </c>
      <c r="E124" s="34" t="inlineStr">
        <is>
          <t>Diclofenac eye drop</t>
        </is>
      </c>
      <c r="F124" s="34" t="inlineStr">
        <is>
          <t>Pilocarpine eye drop</t>
        </is>
      </c>
      <c r="G124" s="34" t="inlineStr">
        <is>
          <t>Brinzolamide eye drop</t>
        </is>
      </c>
      <c r="H124" s="34" t="inlineStr">
        <is>
          <t>Chloramphenicol eye ointment</t>
        </is>
      </c>
      <c r="I124" s="33" t="inlineStr">
        <is>
          <t>1</t>
        </is>
      </c>
      <c r="J124" s="34" t="inlineStr">
        <is>
          <t>✅ คำตอบที่ถูกต้อง: ข้อ ค. Pilocarpine eye drop
💡 Background:
อาการข้างเคียง Cholinergic (SLUDGE: Salivation, Lacrimation, Urination, Defecation/Diarrhea, GI cramps, Emesis) เกิดจากการกระตุ้น Muscarinic receptor ยาที่มีคุณสมบัติ Cholinergic agonist ในทางตา ได้แก่ Pilocarpine ซึ่งกระตุ้น M3 receptor ใน ciliary muscle และ iris
🎯 ทำไมข้อนี้ถึงถูก:
Pilocarpine เป็น Direct-acting Muscarinic agonist ที่ดูดซึมจาก conjunctiva เข้าสู่ systemic circulation ได้ ทำให้เกิด Cholinergic side effects: น้ำลายมาก (Salivation), กลั้นปัสสาวะไม่อยู่ (Urinary incontinence), เหงื่อออก (Sweating), ท้องเสีย (Diarrhea) และ Tremor
🔍 ข้ออื่นผิดเพราะอะไร:
• ข้อ ก. (Timolol): Beta-blocker ผลข้างเคียงหลัก bradycardia, bronchospasm ไม่ใช่ Cholinergic
• ข้อ ข. (Diclofenac eye drop): NSAIDs ทาง local ไม่มี systemic Cholinergic effects
• ข้อ ง. (Brinzolamide): Carbonic anhydrase inhibitor ผลข้างเคียงหลักคือ metallic taste
• ข้อ จ. (Chloramphenicol ointment): ยาปฏิชีวนะ local ไม่มี Cholinergic effects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Pilocarpine = Cholinergic agonist → SLUDGE; ใช้รักษา Glaucoma (miotics); Timolol = Beta-blocker</t>
        </is>
      </c>
      <c r="K124" s="35" t="n"/>
      <c r="L124" s="34" t="inlineStr">
        <is>
          <t>Diarrhea &amp; Constipation</t>
        </is>
      </c>
      <c r="M124" s="35" t="inlineStr">
        <is>
          <t>Clinic</t>
        </is>
      </c>
      <c r="N124" s="34" t="inlineStr">
        <is>
          <t>PLE_CC1_2565_Day2_Key ข้อ 41</t>
        </is>
      </c>
      <c r="O124" s="35" t="inlineStr">
        <is>
          <t>ข้อสอบจริง</t>
        </is>
      </c>
      <c r="P124" s="35" t="inlineStr">
        <is>
          <t>ปี 2565</t>
        </is>
      </c>
      <c r="Q124" s="2" t="n"/>
    </row>
    <row r="125" ht="13.2" customHeight="1" s="49">
      <c r="A125" s="33" t="n">
        <v>123</v>
      </c>
      <c r="B125" s="34" t="inlineStr">
        <is>
          <t>ยาต$านอาเจียนในข$อใดที่สามารถกินกับยายับยั้งการกลั่งกรดได$</t>
        </is>
      </c>
      <c r="C125" s="35" t="n"/>
      <c r="D125" s="34" t="inlineStr">
        <is>
          <t>Metoclopramide สามารถรับประทานร่วมกับ antacids หรือยาลดกรดได้</t>
        </is>
      </c>
      <c r="E125" s="34" t="inlineStr">
        <is>
          <t>Domperidone ไม่ควรใช้ร่วมกับ antacids หรือยายับยั้งการหลั่งกรด เพราะลดการดูดซึมยา</t>
        </is>
      </c>
      <c r="F125" s="34" t="inlineStr">
        <is>
          <t>Lactulose 15 mL OD</t>
        </is>
      </c>
      <c r="G125" s="34" t="inlineStr">
        <is>
          <t>Amoxicillin 1000 mg BID</t>
        </is>
      </c>
      <c r="H125" s="34" t="inlineStr">
        <is>
          <t>Clarithromycin 500 mg BID</t>
        </is>
      </c>
      <c r="I125" s="33" t="n">
        <v>2</v>
      </c>
      <c r="J125" s="34" t="inlineStr">
        <is>
          <t>✅ คำตอบที่ถูกต้อง: ข้อ ข. Domperidone ไม่ควรใช้ร่วมกับ antacids หรือยายับยั้งการหลั่งกรด
💡 Background:
Domperidone เป็นยา prokinetic ที่ออกฤทธิ์ผ่าน D2 receptor ที่ CTZ และ GI tract การดูดซึมของ Domperidone อาศัย pH กรดในกระเพาะอาหาร (Unionized form ดูดซึมได้ดีใน pH ต่ำ) การใช้ร่วมกับ Antacids หรือ Antisecretory drugs จะเพิ่ม gastric pH ทำให้ดูดซึมลดลง
🎯 ทำไมข้อนี้ถึงถูก:
ตาม Micromedex แนะนำว่า Domperidone ไม่ควรใช้พร้อมกับ antacids หรือ antisecretory agents (H2-blocker, PPI) เพราะจะลดระดับยาในเลือด ลด efficacy ในการควบคุมการอาเจียนและ gastric motility
🔍 ข้ออื่นผิดเพราะอะไร:
• ข้อ ก. ผิด: Subtopic tag ไม่ใช่คำตอบ
• ข้อ ค. (Lactulose): ยาระบาย ไม่เกี่ยวกับ drug interaction ของ Domperidone
• ข้อ ง. (Amoxicillin): ยาปฏิชีวนะ H. pylori ไม่ใช่ antiemetic
• ข้อ จ. (Clarithromycin): ยา H. pylori eradication; มี CYP3A4 inhibition จึงเพิ่มระดับ Domperidone ไม่ลด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Antacid/PPI → ดูดซึม Domperidone ลด; ให้ก่อนอาหาร 15-30 นาที</t>
        </is>
      </c>
      <c r="K125" s="35" t="n"/>
      <c r="L125" s="34" t="inlineStr">
        <is>
          <t>Nausea and vomiting</t>
        </is>
      </c>
      <c r="M125" s="35" t="inlineStr">
        <is>
          <t>Clinic</t>
        </is>
      </c>
      <c r="N125" s="34" t="inlineStr">
        <is>
          <t>PLE_CC1_2565_Day2_Key ข้อ 52</t>
        </is>
      </c>
      <c r="O125" s="35" t="inlineStr">
        <is>
          <t>ข้อสอบจริง</t>
        </is>
      </c>
      <c r="P125" s="35" t="inlineStr">
        <is>
          <t>ปี 2565</t>
        </is>
      </c>
    </row>
    <row r="126" ht="13.2" customHeight="1" s="49">
      <c r="A126" s="33" t="n">
        <v>124</v>
      </c>
      <c r="B126" s="34"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35" t="n"/>
      <c r="D126" s="34" t="inlineStr">
        <is>
          <t>Peptic Ulcer / GERD</t>
        </is>
      </c>
      <c r="E126" s="34" t="inlineStr">
        <is>
          <t>Clarithromycin 500 mg BID</t>
        </is>
      </c>
      <c r="F126" s="34" t="inlineStr">
        <is>
          <t>Hyoscine butylbromide 10 mg TID</t>
        </is>
      </c>
      <c r="G126" s="34" t="inlineStr">
        <is>
          <t>Aluminium hydroxide/Magnesium hydroxide suspension</t>
        </is>
      </c>
      <c r="H126" s="34" t="inlineStr">
        <is>
          <t>Metoclopramide 10 mg TID before meals</t>
        </is>
      </c>
      <c r="I126" s="33" t="inlineStr">
        <is>
          <t>1</t>
        </is>
      </c>
      <c r="J126"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35" t="n"/>
      <c r="L126" s="34" t="inlineStr">
        <is>
          <t>Dyspepsia &amp; PUD</t>
        </is>
      </c>
      <c r="M126" s="35" t="inlineStr">
        <is>
          <t>Clinic</t>
        </is>
      </c>
      <c r="N126" s="34" t="inlineStr">
        <is>
          <t>PLE_CC1_2564_All_Key ข้อ 43</t>
        </is>
      </c>
      <c r="O126" s="35" t="inlineStr">
        <is>
          <t>ข้อสอบจริง</t>
        </is>
      </c>
      <c r="P126" s="35" t="inlineStr">
        <is>
          <t>ปี 2564</t>
        </is>
      </c>
    </row>
    <row r="127" ht="13.2" customHeight="1" s="49">
      <c r="A127" s="33" t="n">
        <v>125</v>
      </c>
      <c r="B127" s="34"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35" t="n"/>
      <c r="D127" s="34" t="inlineStr">
        <is>
          <t>Peptic Ulcer / GERD</t>
        </is>
      </c>
      <c r="E127" s="34" t="inlineStr">
        <is>
          <t>Metoclopramide 10 mg TID before meals</t>
        </is>
      </c>
      <c r="F127" s="34" t="inlineStr">
        <is>
          <t>Omeprazole 20 mg OD</t>
        </is>
      </c>
      <c r="G127" s="34" t="inlineStr">
        <is>
          <t>Esomeprazole 20 mg OD</t>
        </is>
      </c>
      <c r="H127" s="34" t="inlineStr">
        <is>
          <t>Domperidone 10 mg TID</t>
        </is>
      </c>
      <c r="I127" s="33" t="inlineStr">
        <is>
          <t>1</t>
        </is>
      </c>
      <c r="J127" s="34"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35" t="n"/>
      <c r="L127" s="34" t="inlineStr">
        <is>
          <t>GERD</t>
        </is>
      </c>
      <c r="M127" s="35" t="inlineStr">
        <is>
          <t>Clinic</t>
        </is>
      </c>
      <c r="N127" s="34" t="inlineStr">
        <is>
          <t>PLE_CC1_2564_All_Key ข้อ 106</t>
        </is>
      </c>
      <c r="O127" s="35" t="inlineStr">
        <is>
          <t>ข้อสอบจริง</t>
        </is>
      </c>
      <c r="P127" s="35" t="inlineStr">
        <is>
          <t>ปี 2564</t>
        </is>
      </c>
    </row>
    <row r="128" ht="13.2" customHeight="1" s="49">
      <c r="A128" s="33" t="n">
        <v>126</v>
      </c>
      <c r="B128" s="34" t="inlineStr">
        <is>
          <t>สาเหตุขอษน้ำหนักขึ้นและคลื่นไส้อาเสียนเกิดสากอะไร</t>
        </is>
      </c>
      <c r="C128" s="35" t="n"/>
      <c r="D128" s="34" t="inlineStr">
        <is>
          <t>Peptic Ulcer / GERD</t>
        </is>
      </c>
      <c r="E128" s="34" t="inlineStr">
        <is>
          <t>Androgenic effect สาก levonorgestrel</t>
        </is>
      </c>
      <c r="F128" s="34" t="inlineStr">
        <is>
          <t>Estrogenic effect สาก ethinyl estradiol</t>
        </is>
      </c>
      <c r="G128" s="34" t="inlineStr">
        <is>
          <t>Androgenic effect และ estrogenic effect จาก levonorgestrel และ ethinyl estradiol ร่วมกัน</t>
        </is>
      </c>
      <c r="H128" s="34" t="inlineStr">
        <is>
          <t>Senna 2 tabs HS</t>
        </is>
      </c>
      <c r="I128" s="33" t="n">
        <v>3</v>
      </c>
      <c r="J128" s="34"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Estrogenic: คลื่นไส้ น้ำหนักขึ้น (water) เต้านมคัด; Progestogenic/Androgenic: สิว ขนดก ซึมเศร้า</t>
        </is>
      </c>
      <c r="K128" s="35" t="n"/>
      <c r="L128" s="34" t="inlineStr">
        <is>
          <t>Nausea and vomiting</t>
        </is>
      </c>
      <c r="M128" s="35" t="inlineStr">
        <is>
          <t>Clinic</t>
        </is>
      </c>
      <c r="N128" s="34" t="inlineStr">
        <is>
          <t>PLE_CC1_2563_Q ข้อ 70</t>
        </is>
      </c>
      <c r="O128" s="35" t="inlineStr">
        <is>
          <t>ข้อสอบจริง</t>
        </is>
      </c>
      <c r="P128" s="35" t="inlineStr">
        <is>
          <t>ปี 2563</t>
        </is>
      </c>
    </row>
    <row r="129" ht="13.2" customHeight="1" s="49">
      <c r="A129" s="33" t="n">
        <v>127</v>
      </c>
      <c r="B129" s="34" t="inlineStr">
        <is>
          <t>ยา PPIs ตัวใดไม่แนะนำให้ใช้ในคนท้องจนถึงคลอด ~ - X L -</t>
        </is>
      </c>
      <c r="C129" s="35" t="n"/>
      <c r="D129" s="34" t="inlineStr">
        <is>
          <t>Omeprazole</t>
        </is>
      </c>
      <c r="E129" s="34" t="inlineStr">
        <is>
          <t>Esomeprazole</t>
        </is>
      </c>
      <c r="F129" s="34" t="inlineStr">
        <is>
          <t>Lansoprazole</t>
        </is>
      </c>
      <c r="G129" s="34" t="inlineStr">
        <is>
          <t>Pantoprazole</t>
        </is>
      </c>
      <c r="H129" s="34" t="inlineStr">
        <is>
          <t>Rabeprazole + ATPase O Omeprazole E Lansoprazde B Rabeprazole B X Pantoprazole B Esomeprazole B หË´มนาÆปทาซËาทืกกรณิ ÂวËนาต้จ²ÆดËรงบ¯นืญ´ต ~</t>
        </is>
      </c>
      <c r="I129" s="33" t="inlineStr">
        <is>
          <t>1</t>
        </is>
      </c>
      <c r="J129" s="34"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35" t="n"/>
      <c r="L129" s="34" t="inlineStr">
        <is>
          <t>GERD</t>
        </is>
      </c>
      <c r="M129" s="35" t="inlineStr">
        <is>
          <t>Clinic</t>
        </is>
      </c>
      <c r="N129" s="34" t="inlineStr">
        <is>
          <t>ข้อ 88 (PLE_CC1_2562_Key.md)</t>
        </is>
      </c>
      <c r="O129" s="35" t="inlineStr">
        <is>
          <t>ข้อสอบจริง</t>
        </is>
      </c>
      <c r="P129" s="35" t="inlineStr">
        <is>
          <t>ปี 2562</t>
        </is>
      </c>
    </row>
    <row r="130" ht="13.2" customHeight="1" s="49">
      <c r="A130" s="33" t="n">
        <v>128</v>
      </c>
      <c r="B130" s="34" t="inlineStr">
        <is>
          <t>การให้ความรู้ผู้ป่วยเกี่ยวกับการเกิด GERD เพื่อป้องกันการเกิด จัดเป็นพฤติกรรมแบบใด X sulfone O virvirensaigomeans Ibisoobean casalovesea nu na enginess</t>
        </is>
      </c>
      <c r="C130" s="35" t="n"/>
      <c r="D130" s="34" t="inlineStr">
        <is>
          <t>Health belief model</t>
        </is>
      </c>
      <c r="E130" s="34" t="inlineStr">
        <is>
          <t>Self-efficacy model</t>
        </is>
      </c>
      <c r="F130" s="34" t="inlineStr">
        <is>
          <t>Health Locus of control</t>
        </is>
      </c>
      <c r="G130" s="34" t="inlineStr">
        <is>
          <t>Theory of reason action</t>
        </is>
      </c>
      <c r="H130" s="34" t="inlineStr">
        <is>
          <t>Theory of planned health</t>
        </is>
      </c>
      <c r="I130" s="33" t="inlineStr">
        <is>
          <t>1</t>
        </is>
      </c>
      <c r="J130" s="34"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35" t="n"/>
      <c r="L130" s="34" t="inlineStr">
        <is>
          <t>GERD</t>
        </is>
      </c>
      <c r="M130" s="35" t="inlineStr">
        <is>
          <t>Clinic</t>
        </is>
      </c>
      <c r="N130" s="34" t="inlineStr">
        <is>
          <t>ข้อ 92 (PLE_CC1_2562_Key.md)</t>
        </is>
      </c>
      <c r="O130" s="35" t="inlineStr">
        <is>
          <t>ข้อสอบจริง</t>
        </is>
      </c>
      <c r="P130" s="35" t="inlineStr">
        <is>
          <t>ปี 2562</t>
        </is>
      </c>
    </row>
    <row r="131" ht="13.2" customHeight="1" s="49">
      <c r="A131" s="33" t="n">
        <v>129</v>
      </c>
      <c r="B131" s="34" t="inlineStr">
        <is>
          <t>ถ้าผู้ป่วยได้รับ clindamycin capsule แล้วมีเม็ดเลือดขาวสูง ปวดท้องและท้องเสีย อาการดังกล่าวเกิดจากภาวะใด O dicloxa , cloxa X X ~</t>
        </is>
      </c>
      <c r="C131" s="35" t="n"/>
      <c r="D131" s="34" t="inlineStr">
        <is>
          <t>Seizure</t>
        </is>
      </c>
      <c r="E131" s="34" t="inlineStr">
        <is>
          <t>Hemolytic anemia</t>
        </is>
      </c>
      <c r="F131" s="34" t="inlineStr">
        <is>
          <t>Disulfiram like reaction</t>
        </is>
      </c>
      <c r="G131" s="34" t="inlineStr">
        <is>
          <t>Serum sickness syndrome</t>
        </is>
      </c>
      <c r="H131" s="34" t="inlineStr">
        <is>
          <t>Pseudomembranous colitis</t>
        </is>
      </c>
      <c r="I131" s="33" t="inlineStr">
        <is>
          <t>1</t>
        </is>
      </c>
      <c r="J131" s="34"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35" t="n"/>
      <c r="L131" s="34" t="inlineStr">
        <is>
          <t>GERD</t>
        </is>
      </c>
      <c r="M131" s="35" t="inlineStr">
        <is>
          <t>Clinic</t>
        </is>
      </c>
      <c r="N131" s="34" t="inlineStr">
        <is>
          <t>ข้อ 98 (PLE_CC1_2562_Key.md)</t>
        </is>
      </c>
      <c r="O131" s="35" t="inlineStr">
        <is>
          <t>ข้อสอบจริง</t>
        </is>
      </c>
      <c r="P131" s="35" t="inlineStr">
        <is>
          <t>ปี 2562</t>
        </is>
      </c>
    </row>
    <row r="132" ht="13.2" customHeight="1" s="49">
      <c r="A132" s="33" t="n">
        <v>130</v>
      </c>
      <c r="B132" s="34" t="inlineStr">
        <is>
          <t>GERD and Peptic ulcer</t>
        </is>
      </c>
      <c r="C132" s="35" t="n"/>
      <c r="D132" s="34" t="inlineStr">
        <is>
          <t>Omeprazole 20 mg OD</t>
        </is>
      </c>
      <c r="E132" s="34" t="inlineStr">
        <is>
          <t>Esomeprazole 20 mg OD</t>
        </is>
      </c>
      <c r="F132" s="34" t="inlineStr">
        <is>
          <t>Domperidone 10 mg TID</t>
        </is>
      </c>
      <c r="G132" s="34" t="inlineStr">
        <is>
          <t>Dimenhydrinate 50 mg TID</t>
        </is>
      </c>
      <c r="H132" s="34" t="inlineStr">
        <is>
          <t>Loperamide 2 mg PRN</t>
        </is>
      </c>
      <c r="I132" s="33" t="inlineStr">
        <is>
          <t>1</t>
        </is>
      </c>
      <c r="J132"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35" t="n"/>
      <c r="L132" s="34" t="inlineStr">
        <is>
          <t>GERD</t>
        </is>
      </c>
      <c r="M132" s="35" t="inlineStr">
        <is>
          <t>Clinic</t>
        </is>
      </c>
      <c r="N132" s="34" t="inlineStr">
        <is>
          <t>ข้อ 6 (PLE_CC1_2560 22 April Set 1.md)</t>
        </is>
      </c>
      <c r="O132" s="35" t="inlineStr">
        <is>
          <t>ข้อสอบจริง</t>
        </is>
      </c>
      <c r="P132" s="35" t="inlineStr">
        <is>
          <t>ปี 2560</t>
        </is>
      </c>
    </row>
    <row r="133" ht="13.2" customHeight="1" s="49">
      <c r="A133" s="33" t="n">
        <v>131</v>
      </c>
      <c r="B133" s="34" t="inlineStr">
        <is>
          <t>ผู้ป่วยรายนี้ได้ NSAIDs เพื่อบรรเทาอาการปวด ต้องได้รับยาใดเพื่อป้องกันโรคกระเพาะเหมาะสมที่สุด</t>
        </is>
      </c>
      <c r="C133" s="35" t="n"/>
      <c r="D133" s="34" t="inlineStr">
        <is>
          <t>Cimetidine</t>
        </is>
      </c>
      <c r="E133" s="34" t="inlineStr">
        <is>
          <t>Omeprazole</t>
        </is>
      </c>
      <c r="F133" s="34" t="inlineStr">
        <is>
          <t>Sucralfate</t>
        </is>
      </c>
      <c r="G133" s="34" t="inlineStr">
        <is>
          <t>Antacid</t>
        </is>
      </c>
      <c r="H133" s="34" t="inlineStr">
        <is>
          <t>Misoprostol ห้ามนำไปทำซ้ำทุกกรณี เว้นแต่จะได้รับอนุญาต</t>
        </is>
      </c>
      <c r="I133" s="33" t="inlineStr">
        <is>
          <t>1</t>
        </is>
      </c>
      <c r="J133" s="34"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5" t="n"/>
      <c r="L133" s="34" t="inlineStr">
        <is>
          <t>GERD</t>
        </is>
      </c>
      <c r="M133" s="35" t="inlineStr">
        <is>
          <t>Clinic</t>
        </is>
      </c>
      <c r="N133" s="34" t="inlineStr">
        <is>
          <t>ข้อ 66 (PLE_CC1_2558_Key.md)</t>
        </is>
      </c>
      <c r="O133" s="35" t="inlineStr">
        <is>
          <t>ข้อสอบจริง</t>
        </is>
      </c>
      <c r="P133" s="35" t="inlineStr">
        <is>
          <t>ปี 2558</t>
        </is>
      </c>
    </row>
    <row r="134" ht="13.2" customHeight="1" s="49">
      <c r="A134" s="33" t="n">
        <v>132</v>
      </c>
      <c r="B134" s="34" t="inlineStr">
        <is>
          <t>ข้อใดคือกลไกของยา Palonosetron ในการรักษาและป้องอาการคลื่นไส้ อาเจียน</t>
        </is>
      </c>
      <c r="C134" s="35" t="n"/>
      <c r="D134" s="34" t="inlineStr">
        <is>
          <t>5-HT3 receptor antagonist</t>
        </is>
      </c>
      <c r="E134" s="34" t="inlineStr">
        <is>
          <t>Dopamine receptor antagonist</t>
        </is>
      </c>
      <c r="F134" s="34" t="inlineStr">
        <is>
          <t>H1 antihistamine</t>
        </is>
      </c>
      <c r="G134" s="34" t="inlineStr">
        <is>
          <t>NK1 receptor antagonist</t>
        </is>
      </c>
      <c r="H134" s="34" t="inlineStr">
        <is>
          <t>Glucocorticoid</t>
        </is>
      </c>
      <c r="I134" s="33" t="inlineStr">
        <is>
          <t>1</t>
        </is>
      </c>
      <c r="J134" s="34"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35" t="n"/>
      <c r="L134" s="34" t="inlineStr">
        <is>
          <t>GERD</t>
        </is>
      </c>
      <c r="M134" s="35" t="inlineStr">
        <is>
          <t>Clinic</t>
        </is>
      </c>
      <c r="N134" s="34" t="inlineStr">
        <is>
          <t>ข้อ 25 (Pharmtutor_2024_Set2.md)</t>
        </is>
      </c>
      <c r="O134" s="35" t="inlineStr">
        <is>
          <t>Mock</t>
        </is>
      </c>
      <c r="P134" s="35" t="inlineStr">
        <is>
          <t>Mock Pharmtutor 2024</t>
        </is>
      </c>
    </row>
    <row r="135" ht="13.2" customHeight="1" s="49">
      <c r="A135" s="33" t="n">
        <v>133</v>
      </c>
      <c r="B135" s="34" t="inlineStr">
        <is>
          <t>คำนิยามของ อาการท้องเสียเรื้อรัง (Chronic Diarrhea) คืออะไร</t>
        </is>
      </c>
      <c r="C135" s="35" t="n"/>
      <c r="D135" s="34" t="inlineStr">
        <is>
          <t>มีอาการถ่ายมากกว่า 2 ครั้งต่อ 1 วัน</t>
        </is>
      </c>
      <c r="E135" s="34" t="inlineStr">
        <is>
          <t>มีอาการถ่ายมากกว่า 3 ครั้งต่อ 1 วัน</t>
        </is>
      </c>
      <c r="F135" s="34" t="inlineStr">
        <is>
          <t>มีอาการถ่ายผิดปกติ ติดต่อกันเป็นระยะเวลานานมากกว่า 7 วัน</t>
        </is>
      </c>
      <c r="G135" s="34" t="inlineStr">
        <is>
          <t>มีอาการถ่ายผิดปกติ ติดต่อกันเป็นระยะเวลานานมากกว่า 14 วัน</t>
        </is>
      </c>
      <c r="H135" s="34" t="inlineStr">
        <is>
          <t>ข้อ a และ c ถูก</t>
        </is>
      </c>
      <c r="I135" s="33" t="inlineStr">
        <is>
          <t>1</t>
        </is>
      </c>
      <c r="J135" s="34"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ตามเกณฑ์สากลต้องมีอาการนานเกิน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35" t="n"/>
      <c r="L135" s="34" t="inlineStr">
        <is>
          <t>GERD</t>
        </is>
      </c>
      <c r="M135" s="35" t="inlineStr">
        <is>
          <t>Clinic</t>
        </is>
      </c>
      <c r="N135" s="34" t="inlineStr">
        <is>
          <t>ข้อ 28 (Pharmtutor_2024_Set2.md)</t>
        </is>
      </c>
      <c r="O135" s="35" t="inlineStr">
        <is>
          <t>Mock</t>
        </is>
      </c>
      <c r="P135" s="35" t="inlineStr">
        <is>
          <t>Mock Pharmtutor 2024</t>
        </is>
      </c>
    </row>
    <row r="136" ht="13.2" customHeight="1" s="49">
      <c r="A136" s="33" t="n">
        <v>134</v>
      </c>
      <c r="B136" s="34"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35" t="n"/>
      <c r="D136" s="34" t="inlineStr">
        <is>
          <t>Psyllium-based product</t>
        </is>
      </c>
      <c r="E136" s="34" t="inlineStr">
        <is>
          <t>Bisacodyl</t>
        </is>
      </c>
      <c r="F136" s="34" t="inlineStr">
        <is>
          <t>Lubiprostone</t>
        </is>
      </c>
      <c r="G136" s="34" t="inlineStr">
        <is>
          <t>Tegaserod</t>
        </is>
      </c>
      <c r="H136" s="34" t="inlineStr">
        <is>
          <t>Prucalopride</t>
        </is>
      </c>
      <c r="I136" s="33" t="inlineStr">
        <is>
          <t>1</t>
        </is>
      </c>
      <c r="J136" s="34"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35" t="n"/>
      <c r="L136" s="34" t="inlineStr">
        <is>
          <t>GERD</t>
        </is>
      </c>
      <c r="M136" s="35" t="inlineStr">
        <is>
          <t>Clinic</t>
        </is>
      </c>
      <c r="N136" s="34" t="inlineStr">
        <is>
          <t>ข้อ 29 (Pharmtutor_2024_Set2.md)</t>
        </is>
      </c>
      <c r="O136" s="35" t="inlineStr">
        <is>
          <t>Mock</t>
        </is>
      </c>
      <c r="P136" s="35" t="inlineStr">
        <is>
          <t>Mock Pharmtutor 2024</t>
        </is>
      </c>
    </row>
    <row r="137" ht="13.2" customHeight="1" s="49">
      <c r="A137" s="33" t="n">
        <v>135</v>
      </c>
      <c r="B137" s="34" t="inlineStr">
        <is>
          <t>ข้อใดเป็นคำแนะนำที_x001E_ถูกต้อง เมื_x001E_อผู้ป่วยรับประทานยา Alendronate แล้วมีอาการคลื_x001E_นไส้ อาเจียน ปวดท้อง (1) รับประทานยานี_x001B_หลังอาหารทันที แล้วดื_x0003_มนํ_x001B_าตามมาก ๆ (2) รับประทานยานี_x001B_ พร้อมกับยาลดกรด (3) หลังรับประทานยานี_x001B_ ให้อยู่ในท่าตรง เช่น นั_x0003_งตัวตรง หรือเดินอย่างน้อยครึ_x0003_งชั_x0003_วโมง ห้ามเอนตัวนอนทันที (4) รับประทานยานี_x001B_ก่อนนอน เพื_x0003_อลดอาการไม่พึงประสงค์ (5) หยุดรับประทานยา และกลับมาพบแพทย์</t>
        </is>
      </c>
      <c r="C137" s="35" t="n"/>
      <c r="D137" s="34" t="inlineStr">
        <is>
          <t>Domperidone 10 mg TID</t>
        </is>
      </c>
      <c r="E137" s="34" t="inlineStr">
        <is>
          <t>Dimenhydrinate 50 mg TID</t>
        </is>
      </c>
      <c r="F137" s="34" t="inlineStr">
        <is>
          <t>Loperamide 2 mg PRN</t>
        </is>
      </c>
      <c r="G137" s="34" t="inlineStr">
        <is>
          <t>Senna 2 tabs HS</t>
        </is>
      </c>
      <c r="H137" s="34" t="inlineStr">
        <is>
          <t>Bisacodyl 5 mg HS</t>
        </is>
      </c>
      <c r="I137" s="33" t="inlineStr">
        <is>
          <t>1</t>
        </is>
      </c>
      <c r="J137"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35" t="n"/>
      <c r="L137" s="34" t="inlineStr">
        <is>
          <t>GERD</t>
        </is>
      </c>
      <c r="M137" s="35" t="inlineStr">
        <is>
          <t>Clinic</t>
        </is>
      </c>
      <c r="N137" s="34" t="inlineStr">
        <is>
          <t>ข้อ 47 (PLE_CC1_2557.md)</t>
        </is>
      </c>
      <c r="O137" s="35" t="inlineStr">
        <is>
          <t>ข้อสอบจริง</t>
        </is>
      </c>
      <c r="P137" s="35" t="inlineStr">
        <is>
          <t>ปี 2557</t>
        </is>
      </c>
    </row>
    <row r="138" ht="13.2" customHeight="1" s="49">
      <c r="A138" s="33" t="n">
        <v>136</v>
      </c>
      <c r="B138" s="34" t="inlineStr">
        <is>
          <t>??? --------------------------------------------------------------------------------------------------------------------------------- สถานการณ์ที่ 9 : GERD</t>
        </is>
      </c>
      <c r="C138" s="35" t="n"/>
      <c r="D138" s="34" t="inlineStr">
        <is>
          <t>ผู้ป่วยเพศชาย อายุ 24 ปี มีอาการเรอเปรี้ยว ขย่อน กรดไหลย้อน ควรได้รับยาใด</t>
        </is>
      </c>
      <c r="E138" s="34" t="inlineStr">
        <is>
          <t>famotidine</t>
        </is>
      </c>
      <c r="F138" s="34" t="inlineStr">
        <is>
          <t>bismus</t>
        </is>
      </c>
      <c r="G138" s="34" t="inlineStr">
        <is>
          <t>salol</t>
        </is>
      </c>
      <c r="H138" s="34" t="inlineStr">
        <is>
          <t>antacid</t>
        </is>
      </c>
      <c r="I138" s="33" t="inlineStr">
        <is>
          <t>1</t>
        </is>
      </c>
      <c r="J138" s="34"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35" t="n"/>
      <c r="L138" s="34" t="inlineStr">
        <is>
          <t>GERD</t>
        </is>
      </c>
      <c r="M138" s="35" t="inlineStr">
        <is>
          <t>Clinic</t>
        </is>
      </c>
      <c r="N138" s="34" t="inlineStr">
        <is>
          <t>ข้อ 5 (PLE_CC1_2556.md)</t>
        </is>
      </c>
      <c r="O138" s="35" t="inlineStr">
        <is>
          <t>ข้อสอบจริง</t>
        </is>
      </c>
      <c r="P138" s="35" t="inlineStr">
        <is>
          <t>ปี 2556</t>
        </is>
      </c>
    </row>
    <row r="139" ht="13.2" customHeight="1" s="49">
      <c r="A139" s="33" t="n">
        <v>137</v>
      </c>
      <c r="B139" s="34" t="inlineStr">
        <is>
          <t>อาการท้องเสียเกิดจากเชื้ออะไร</t>
        </is>
      </c>
      <c r="C139" s="35" t="n"/>
      <c r="D139" s="34" t="inlineStr">
        <is>
          <t>rotavirus</t>
        </is>
      </c>
      <c r="E139" s="34" t="inlineStr">
        <is>
          <t>shigella</t>
        </is>
      </c>
      <c r="F139" s="34" t="inlineStr">
        <is>
          <t>E.coli</t>
        </is>
      </c>
      <c r="G139" s="34" t="inlineStr">
        <is>
          <t>Vibrio parahaemolyticus</t>
        </is>
      </c>
      <c r="H139" s="34" t="inlineStr">
        <is>
          <t>Vibrio cholerae</t>
        </is>
      </c>
      <c r="I139" s="33" t="inlineStr">
        <is>
          <t>1</t>
        </is>
      </c>
      <c r="J139" s="34"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35" t="n"/>
      <c r="L139" s="34" t="inlineStr">
        <is>
          <t>GERD</t>
        </is>
      </c>
      <c r="M139" s="35" t="inlineStr">
        <is>
          <t>Clinic</t>
        </is>
      </c>
      <c r="N139" s="34" t="inlineStr">
        <is>
          <t>ข้อ 1 (PLE_CC1_2554 SET2.md)</t>
        </is>
      </c>
      <c r="O139" s="35" t="inlineStr">
        <is>
          <t>ข้อสอบจริง</t>
        </is>
      </c>
      <c r="P139" s="35" t="inlineStr">
        <is>
          <t>ปี 2554</t>
        </is>
      </c>
    </row>
    <row r="140" ht="13.2" customHeight="1" s="49">
      <c r="A140" s="33" t="n">
        <v>138</v>
      </c>
      <c r="B140" s="34" t="inlineStr">
        <is>
          <t>โรคกระเพาะอาหาร</t>
        </is>
      </c>
      <c r="C140" s="35" t="n"/>
      <c r="D140" s="34" t="inlineStr">
        <is>
          <t>Aluminium hydroxide/Magnesium hydroxide suspension</t>
        </is>
      </c>
      <c r="E140" s="34" t="inlineStr">
        <is>
          <t>Metoclopramide 10 mg TID before meals</t>
        </is>
      </c>
      <c r="F140" s="34" t="inlineStr">
        <is>
          <t>Omeprazole 20 mg OD</t>
        </is>
      </c>
      <c r="G140" s="34" t="inlineStr">
        <is>
          <t>Esomeprazole 20 mg OD</t>
        </is>
      </c>
      <c r="H140" s="34" t="inlineStr">
        <is>
          <t>Domperidone 10 mg TID</t>
        </is>
      </c>
      <c r="I140" s="33" t="inlineStr">
        <is>
          <t>1</t>
        </is>
      </c>
      <c r="J140"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35" t="n"/>
      <c r="L140" s="34" t="inlineStr">
        <is>
          <t>GERD</t>
        </is>
      </c>
      <c r="M140" s="35" t="inlineStr">
        <is>
          <t>Clinic</t>
        </is>
      </c>
      <c r="N140" s="34" t="inlineStr">
        <is>
          <t>ข้อ 4 (PLE_CC1_2533.md)</t>
        </is>
      </c>
      <c r="O140" s="35" t="inlineStr">
        <is>
          <t>ข้อสอบจริง</t>
        </is>
      </c>
      <c r="P140" s="35" t="inlineStr">
        <is>
          <t>ปี 2533</t>
        </is>
      </c>
    </row>
    <row r="141" ht="13.2" customHeight="1" s="49">
      <c r="A141" s="33" t="n">
        <v>139</v>
      </c>
      <c r="B141" s="34" t="inlineStr">
        <is>
          <t>ข้อใดไม่ใช่ปัจจัยเสี่ยงของการเกิดแผลในกระเพาะ</t>
        </is>
      </c>
      <c r="C141" s="35" t="n"/>
      <c r="D141" s="34" t="inlineStr">
        <is>
          <t>อายุ &gt; 65 ปี</t>
        </is>
      </c>
      <c r="E141" s="34" t="inlineStr">
        <is>
          <t>มีการใช้ยาในกลุ่ม NSAIDs</t>
        </is>
      </c>
      <c r="F141" s="34" t="inlineStr">
        <is>
          <t>มีพฤติกรรมดื่มกาแฟและสูบบุหรี่เป็นประจำ</t>
        </is>
      </c>
      <c r="G141" s="34" t="inlineStr">
        <is>
          <t>อ้วน</t>
        </is>
      </c>
      <c r="H141" s="34" t="inlineStr">
        <is>
          <t>Osteoarthritis แพทย์พิจารณาสั่งจ่ายยา Omeprazole ขนาด 40 มิลลิกรัม รับประทานวันละ 1 ครั้ง ก่อนอาหารเช้า</t>
        </is>
      </c>
      <c r="I141" s="33" t="inlineStr">
        <is>
          <t>1</t>
        </is>
      </c>
      <c r="J141" s="34"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35" t="n"/>
      <c r="L141" s="34" t="inlineStr">
        <is>
          <t>GERD</t>
        </is>
      </c>
      <c r="M141" s="35" t="inlineStr">
        <is>
          <t>Clinic</t>
        </is>
      </c>
      <c r="N141" s="34" t="inlineStr">
        <is>
          <t>ข้อ 9 (PLE_CC1_Practice_Exam.md)</t>
        </is>
      </c>
      <c r="O141" s="35" t="inlineStr">
        <is>
          <t>Mock</t>
        </is>
      </c>
      <c r="P141" s="35" t="inlineStr">
        <is>
          <t>Mock สภาเภสัชฯ Practice</t>
        </is>
      </c>
    </row>
    <row r="142" ht="13.2" customHeight="1" s="49">
      <c r="A142" s="33" t="n">
        <v>140</v>
      </c>
      <c r="B142" s="34" t="inlineStr">
        <is>
          <t>Domperidone ออกฤทธิ์ต้านการอาเจียนที่ใด</t>
        </is>
      </c>
      <c r="C142" s="35" t="n"/>
      <c r="D142" s="34" t="inlineStr">
        <is>
          <t>Serotonin 5-HT3 ที่ CTZ</t>
        </is>
      </c>
      <c r="E142" s="34" t="inlineStr">
        <is>
          <t>GABA receptor ที่ CTZ</t>
        </is>
      </c>
      <c r="F142" s="34" t="inlineStr">
        <is>
          <t>Nueurokinin-1 receptor ที่ CTZ</t>
        </is>
      </c>
      <c r="G142" s="34" t="inlineStr">
        <is>
          <t>Dopamine D2 receptor ที่ CTZ</t>
        </is>
      </c>
      <c r="H142" s="34" t="inlineStr">
        <is>
          <t>Histamine H1 receptor ที่ CTZ</t>
        </is>
      </c>
      <c r="I142" s="33" t="n">
        <v>4</v>
      </c>
      <c r="J142" s="34"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(CTZ); ผ่าน BBB น้อย; EPS น้อยกว่า Metoclopramide; QT prolongation</t>
        </is>
      </c>
      <c r="K142" s="35" t="n"/>
      <c r="L142" s="34" t="inlineStr">
        <is>
          <t>GERD</t>
        </is>
      </c>
      <c r="M142" s="35" t="inlineStr">
        <is>
          <t>Clinic</t>
        </is>
      </c>
      <c r="N142" s="34" t="inlineStr">
        <is>
          <t>ข้อ 18 (PLE_CC1_Practice_Exam.md)</t>
        </is>
      </c>
      <c r="O142" s="35" t="inlineStr">
        <is>
          <t>Mock</t>
        </is>
      </c>
      <c r="P142" s="35" t="inlineStr">
        <is>
          <t>Mock สภาเภสัชฯ Practice</t>
        </is>
      </c>
    </row>
    <row r="143" ht="13.2" customHeight="1" s="49">
      <c r="A143" s="33" t="n">
        <v>141</v>
      </c>
      <c r="B143" s="34" t="inlineStr">
        <is>
          <t>ข้อใดเป็นสาเหตุของภาวะท้องเสียในผู้ป่วยรายนี้</t>
        </is>
      </c>
      <c r="C143" s="35" t="n"/>
      <c r="D143" s="34" t="inlineStr">
        <is>
          <t>Salmonella typhi</t>
        </is>
      </c>
      <c r="E143" s="34" t="inlineStr">
        <is>
          <t>Shigella dysenteriae</t>
        </is>
      </c>
      <c r="F143" s="34" t="inlineStr">
        <is>
          <t>Clostridium difficile</t>
        </is>
      </c>
      <c r="G143" s="34" t="inlineStr">
        <is>
          <t>Enterotoxigenic E.coli</t>
        </is>
      </c>
      <c r="H143" s="34" t="inlineStr">
        <is>
          <t>Entamoeba histolytica</t>
        </is>
      </c>
      <c r="I143" s="33" t="inlineStr">
        <is>
          <t>1</t>
        </is>
      </c>
      <c r="J143" s="34"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35" t="n"/>
      <c r="L143" s="34" t="inlineStr">
        <is>
          <t>GERD</t>
        </is>
      </c>
      <c r="M143" s="35" t="inlineStr">
        <is>
          <t>Clinic</t>
        </is>
      </c>
      <c r="N143" s="34" t="inlineStr">
        <is>
          <t>ข้อ 33 (PLE_CC1_Practice_Exam.md)</t>
        </is>
      </c>
      <c r="O143" s="35" t="inlineStr">
        <is>
          <t>Mock</t>
        </is>
      </c>
      <c r="P143" s="35" t="inlineStr">
        <is>
          <t>Mock สภาเภสัชฯ Practice</t>
        </is>
      </c>
    </row>
    <row r="144" ht="13.2" customHeight="1" s="49">
      <c r="A144" s="33" t="n">
        <v>142</v>
      </c>
      <c r="B144" s="34"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35" t="n"/>
      <c r="D144" s="34" t="inlineStr">
        <is>
          <t>Hyoscine butylbromide 10 mg TID</t>
        </is>
      </c>
      <c r="E144" s="34" t="inlineStr">
        <is>
          <t>Aluminium hydroxide/Magnesium hydroxide suspension</t>
        </is>
      </c>
      <c r="F144" s="34" t="inlineStr">
        <is>
          <t>Metoclopramide 10 mg TID before meals</t>
        </is>
      </c>
      <c r="G144" s="34" t="inlineStr">
        <is>
          <t>Omeprazole 20 mg OD</t>
        </is>
      </c>
      <c r="H144" s="34" t="inlineStr">
        <is>
          <t>Esomeprazole 20 mg OD</t>
        </is>
      </c>
      <c r="I144" s="33" t="inlineStr">
        <is>
          <t>1</t>
        </is>
      </c>
      <c r="J144"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35" t="n"/>
      <c r="L144" s="34" t="inlineStr">
        <is>
          <t>GERD</t>
        </is>
      </c>
      <c r="M144" s="35" t="inlineStr">
        <is>
          <t>Clinic</t>
        </is>
      </c>
      <c r="N144" s="34" t="inlineStr">
        <is>
          <t>ข้อ 30 (PLE_CC1_Practice_Exam.md)</t>
        </is>
      </c>
      <c r="O144" s="35" t="inlineStr">
        <is>
          <t>Mock</t>
        </is>
      </c>
      <c r="P144" s="35" t="inlineStr">
        <is>
          <t>Mock สภาเภสัชฯ Practice</t>
        </is>
      </c>
    </row>
    <row r="145" ht="13.2" customHeight="1" s="49">
      <c r="A145" s="33" t="n">
        <v>143</v>
      </c>
      <c r="B145" s="34"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35" t="n"/>
      <c r="D145" s="34" t="inlineStr">
        <is>
          <t>เกิดจากยา Estradiol valerateแก้ไขโดยการเปลี่ยนยา เป็น tibolone</t>
        </is>
      </c>
      <c r="E145" s="34" t="inlineStr">
        <is>
          <t>เกิดจากยา Norethisterone acetate แก้ไขโดยการเปลี่ยนยาเป็น tibolone</t>
        </is>
      </c>
      <c r="F145" s="34" t="inlineStr">
        <is>
          <t>เกิดจากยา Estradiol valerateแก้ไขโดยการเปลี่ยนยา เป็น Raloxifene</t>
        </is>
      </c>
      <c r="G145" s="34" t="inlineStr">
        <is>
          <t>เกิดจากยา Norethisterone acetate แก้ไขโดยการเปลี่ยนยาเป็น Raloxifene</t>
        </is>
      </c>
      <c r="H145" s="34" t="inlineStr">
        <is>
          <t>เกิดจากยา Estradiol valerate แก้ไขโดยการเปลี่ยนยาเป็น Conjugated estrogen</t>
        </is>
      </c>
      <c r="I145" s="33" t="inlineStr">
        <is>
          <t>3</t>
        </is>
      </c>
      <c r="J145" s="34"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ปวดเต้านม/คลื่นไส้จาก HRT = Estrogenic effect; Raloxifene (SERM) = Estrogen antagonist ที่เต้านม</t>
        </is>
      </c>
      <c r="K145" s="35" t="n"/>
      <c r="L145" s="34" t="inlineStr">
        <is>
          <t>GERD</t>
        </is>
      </c>
      <c r="M145" s="35" t="inlineStr">
        <is>
          <t>Clinic</t>
        </is>
      </c>
      <c r="N145" s="34" t="inlineStr">
        <is>
          <t>ข้อ 34 (PLE_CC1_Practice_Exam.md)</t>
        </is>
      </c>
      <c r="O145" s="35" t="inlineStr">
        <is>
          <t>Mock</t>
        </is>
      </c>
      <c r="P145" s="35" t="inlineStr">
        <is>
          <t>Mock สภาเภสัชฯ Practice</t>
        </is>
      </c>
    </row>
    <row r="146" ht="13.2" customHeight="1" s="49">
      <c r="A146" s="33" t="n">
        <v>144</v>
      </c>
      <c r="B146" s="34"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35" t="n"/>
      <c r="D146" s="34" t="inlineStr">
        <is>
          <t>Dimenhydrinate 50 mg TID</t>
        </is>
      </c>
      <c r="E146" s="34" t="inlineStr">
        <is>
          <t>Loperamide 2 mg PRN</t>
        </is>
      </c>
      <c r="F146" s="34" t="inlineStr">
        <is>
          <t>Senna 2 tabs HS</t>
        </is>
      </c>
      <c r="G146" s="34" t="inlineStr">
        <is>
          <t>Bisacodyl 5 mg HS</t>
        </is>
      </c>
      <c r="H146" s="34" t="inlineStr">
        <is>
          <t>Lactulose 15 mL OD</t>
        </is>
      </c>
      <c r="I146" s="33" t="inlineStr">
        <is>
          <t>1</t>
        </is>
      </c>
      <c r="J146"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35" t="n"/>
      <c r="L146" s="34" t="inlineStr">
        <is>
          <t>GERD</t>
        </is>
      </c>
      <c r="M146" s="35" t="inlineStr">
        <is>
          <t>Clinic</t>
        </is>
      </c>
      <c r="N146" s="34" t="inlineStr">
        <is>
          <t>ข้อ 5 (PLE_CC1_Key_Rx20_UBU.md)</t>
        </is>
      </c>
      <c r="O146" s="35" t="inlineStr">
        <is>
          <t>Mock</t>
        </is>
      </c>
      <c r="P146" s="35" t="inlineStr">
        <is>
          <t>Mock Rx20 UBU</t>
        </is>
      </c>
    </row>
    <row r="147" ht="13.2" customHeight="1" s="49">
      <c r="A147" s="33" t="n">
        <v>145</v>
      </c>
      <c r="B147" s="34"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35" t="n"/>
      <c r="D147" s="34" t="inlineStr">
        <is>
          <t>Bisacodyl 5 mg HS</t>
        </is>
      </c>
      <c r="E147" s="34" t="inlineStr">
        <is>
          <t>Lactulose 15 mL OD</t>
        </is>
      </c>
      <c r="F147" s="34" t="inlineStr">
        <is>
          <t>Amoxicillin 1000 mg BID</t>
        </is>
      </c>
      <c r="G147" s="34" t="inlineStr">
        <is>
          <t>Clarithromycin 500 mg BID</t>
        </is>
      </c>
      <c r="H147" s="34" t="inlineStr">
        <is>
          <t>Hyoscine butylbromide 10 mg TID</t>
        </is>
      </c>
      <c r="I147" s="33" t="inlineStr">
        <is>
          <t>5</t>
        </is>
      </c>
      <c r="J147" s="34"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35" t="n"/>
      <c r="L147" s="34" t="inlineStr">
        <is>
          <t>GERD</t>
        </is>
      </c>
      <c r="M147" s="35" t="inlineStr">
        <is>
          <t>Clinic</t>
        </is>
      </c>
      <c r="N147" s="34" t="inlineStr">
        <is>
          <t>ข้อ 5 (PLE_CC1_Key_Rx20_UBU.md)</t>
        </is>
      </c>
      <c r="O147" s="35" t="inlineStr">
        <is>
          <t>Mock</t>
        </is>
      </c>
      <c r="P147" s="35" t="inlineStr">
        <is>
          <t>Mock Rx20 UBU</t>
        </is>
      </c>
    </row>
    <row r="148" ht="13.2" customHeight="1" s="49">
      <c r="A148" s="33" t="n">
        <v>146</v>
      </c>
      <c r="B148" s="34"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35" t="n"/>
      <c r="D148" s="34" t="inlineStr">
        <is>
          <t>Clarithromycin 500 mg BID</t>
        </is>
      </c>
      <c r="E148" s="34" t="inlineStr">
        <is>
          <t>Hyoscine butylbromide 10 mg TID</t>
        </is>
      </c>
      <c r="F148" s="34" t="inlineStr">
        <is>
          <t>Aluminium hydroxide/Magnesium hydroxide suspension</t>
        </is>
      </c>
      <c r="G148" s="34" t="inlineStr">
        <is>
          <t>Metoclopramide 10 mg TID before meals</t>
        </is>
      </c>
      <c r="H148" s="34" t="inlineStr">
        <is>
          <t>Omeprazole 20 mg OD</t>
        </is>
      </c>
      <c r="I148" s="33" t="inlineStr">
        <is>
          <t>1</t>
        </is>
      </c>
      <c r="J148" s="34"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35" t="n"/>
      <c r="L148" s="34" t="inlineStr">
        <is>
          <t>GERD</t>
        </is>
      </c>
      <c r="M148" s="35" t="inlineStr">
        <is>
          <t>Clinic</t>
        </is>
      </c>
      <c r="N148" s="34" t="inlineStr">
        <is>
          <t>ข้อ 5 (PLE_CC1_Key_Rx20_UBU.md)</t>
        </is>
      </c>
      <c r="O148" s="35" t="inlineStr">
        <is>
          <t>Mock</t>
        </is>
      </c>
      <c r="P148" s="35" t="inlineStr">
        <is>
          <t>Mock Rx20 UBU</t>
        </is>
      </c>
    </row>
    <row r="149" ht="13.2" customHeight="1" s="49">
      <c r="A149" s="33" t="n">
        <v>147</v>
      </c>
      <c r="B149" s="34" t="inlineStr">
        <is>
          <t>ผู้ป่วยหญิงเป็นโรคกระเพาะจากภาวะเครียดเรื้อรัง</t>
        </is>
      </c>
      <c r="C149" s="35" t="n"/>
      <c r="D149" s="34" t="inlineStr">
        <is>
          <t>Metoclopramide 10 mg TID before meals</t>
        </is>
      </c>
      <c r="E149" s="34" t="inlineStr">
        <is>
          <t>Omeprazole 20 mg OD</t>
        </is>
      </c>
      <c r="F149" s="34" t="inlineStr">
        <is>
          <t>Esomeprazole 20 mg OD</t>
        </is>
      </c>
      <c r="G149" s="34" t="inlineStr">
        <is>
          <t>Domperidone 10 mg TID</t>
        </is>
      </c>
      <c r="H149" s="34" t="inlineStr">
        <is>
          <t>Dimenhydrinate 50 mg TID</t>
        </is>
      </c>
      <c r="I149" s="33" t="inlineStr">
        <is>
          <t>1</t>
        </is>
      </c>
      <c r="J149" s="34"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35" t="n"/>
      <c r="L149" s="34" t="inlineStr">
        <is>
          <t>GERD</t>
        </is>
      </c>
      <c r="M149" s="35" t="inlineStr">
        <is>
          <t>Clinic</t>
        </is>
      </c>
      <c r="N149" s="34" t="inlineStr">
        <is>
          <t>ข้อ 3 (PLE_CC1_Key_Rx20_UBU.md)</t>
        </is>
      </c>
      <c r="O149" s="35" t="inlineStr">
        <is>
          <t>Mock</t>
        </is>
      </c>
      <c r="P149" s="35" t="inlineStr">
        <is>
          <t>Mock Rx20 UBU</t>
        </is>
      </c>
    </row>
    <row r="150" ht="13.2" customHeight="1" s="49">
      <c r="A150" s="33" t="n">
        <v>148</v>
      </c>
      <c r="B150" s="34" t="inlineStr">
        <is>
          <t>คลื่นไส้อาเจียน</t>
        </is>
      </c>
      <c r="C150" s="35" t="n"/>
      <c r="D150" s="34" t="inlineStr">
        <is>
          <t>Domperidone 10 mg TID</t>
        </is>
      </c>
      <c r="E150" s="34" t="inlineStr">
        <is>
          <t>Dimenhydrinate 50 mg TID</t>
        </is>
      </c>
      <c r="F150" s="34" t="inlineStr">
        <is>
          <t>Loperamide 2 mg PRN</t>
        </is>
      </c>
      <c r="G150" s="34" t="inlineStr">
        <is>
          <t>Senna 2 tabs HS</t>
        </is>
      </c>
      <c r="H150" s="34" t="inlineStr">
        <is>
          <t>Bisacodyl 5 mg HS</t>
        </is>
      </c>
      <c r="I150" s="33" t="inlineStr">
        <is>
          <t>1</t>
        </is>
      </c>
      <c r="J150" s="34"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35" t="n"/>
      <c r="L150" s="34" t="inlineStr">
        <is>
          <t>GERD</t>
        </is>
      </c>
      <c r="M150" s="35" t="inlineStr">
        <is>
          <t>Clinic</t>
        </is>
      </c>
      <c r="N150" s="34" t="inlineStr">
        <is>
          <t>ข้อ 1 (PLE_CC1_Key_Rx20_UBU.md)</t>
        </is>
      </c>
      <c r="O150" s="35" t="inlineStr">
        <is>
          <t>Mock</t>
        </is>
      </c>
      <c r="P150" s="35" t="inlineStr">
        <is>
          <t>Mock Rx20 UBU</t>
        </is>
      </c>
    </row>
    <row r="151" ht="13.2" customHeight="1" s="49">
      <c r="A151" s="33" t="n">
        <v>149</v>
      </c>
      <c r="B151" s="34" t="inlineStr">
        <is>
          <t>หากผู้ป่วยมีอาการท้องเสีย คาดว่าน่าจะมีสาเหตุมาจากยาตัวใดมากที่สุด</t>
        </is>
      </c>
      <c r="C151" s="35" t="n"/>
      <c r="D151" s="34" t="inlineStr">
        <is>
          <t>Senna 2 tabs HS</t>
        </is>
      </c>
      <c r="E151" s="34" t="inlineStr">
        <is>
          <t>Bisacodyl 5 mg HS</t>
        </is>
      </c>
      <c r="F151" s="34" t="inlineStr">
        <is>
          <t>Lactulose 15 mL OD</t>
        </is>
      </c>
      <c r="G151" s="34" t="inlineStr">
        <is>
          <t>Amoxicillin 1000 mg BID</t>
        </is>
      </c>
      <c r="H151" s="34" t="inlineStr">
        <is>
          <t>Clarithromycin 500 mg BID</t>
        </is>
      </c>
      <c r="I151" s="33" t="inlineStr">
        <is>
          <t>1</t>
        </is>
      </c>
      <c r="J151" s="34"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35" t="n"/>
      <c r="L151" s="34" t="inlineStr">
        <is>
          <t>GERD</t>
        </is>
      </c>
      <c r="M151" s="35" t="inlineStr">
        <is>
          <t>Clinic</t>
        </is>
      </c>
      <c r="N151" s="34" t="inlineStr">
        <is>
          <t>ข้อ 2 (PLE_CC1_Key_Rx20_UBU.md)</t>
        </is>
      </c>
      <c r="O151" s="35" t="inlineStr">
        <is>
          <t>Mock</t>
        </is>
      </c>
      <c r="P151" s="35" t="inlineStr">
        <is>
          <t>Mock Rx20 UBU</t>
        </is>
      </c>
    </row>
    <row r="152" ht="13.2" customHeight="1" s="49">
      <c r="A152" s="33" t="n">
        <v>150</v>
      </c>
      <c r="B152" s="34" t="inlineStr">
        <is>
          <t>ใช้กับผู้ป่วยที่เป็นนิ่วในกระเพาะปัสสาวะ</t>
        </is>
      </c>
      <c r="C152" s="35" t="n"/>
      <c r="D152" s="34" t="inlineStr">
        <is>
          <t>Amoxicillin 1000 mg BID</t>
        </is>
      </c>
      <c r="E152" s="34" t="inlineStr">
        <is>
          <t>Clarithromycin 500 mg BID</t>
        </is>
      </c>
      <c r="F152" s="34" t="inlineStr">
        <is>
          <t>Hyoscine butylbromide 10 mg TID</t>
        </is>
      </c>
      <c r="G152" s="34" t="inlineStr">
        <is>
          <t>Aluminium hydroxide/Magnesium hydroxide suspension</t>
        </is>
      </c>
      <c r="H152" s="34" t="inlineStr">
        <is>
          <t>Metoclopramide 10 mg TID before meals</t>
        </is>
      </c>
      <c r="I152" s="33" t="inlineStr">
        <is>
          <t>1</t>
        </is>
      </c>
      <c r="J152" s="34"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35" t="n"/>
      <c r="L152" s="34" t="inlineStr">
        <is>
          <t>GERD</t>
        </is>
      </c>
      <c r="M152" s="35" t="inlineStr">
        <is>
          <t>Clinic</t>
        </is>
      </c>
      <c r="N152" s="34" t="inlineStr">
        <is>
          <t>ข้อ 3 (PLE_CC1_Key_Rx20_UBU.md)</t>
        </is>
      </c>
      <c r="O152" s="35" t="inlineStr">
        <is>
          <t>Mock</t>
        </is>
      </c>
      <c r="P152" s="35" t="inlineStr">
        <is>
          <t>Mock Rx20 UBU</t>
        </is>
      </c>
    </row>
    <row r="153" ht="13.2" customHeight="1" s="49">
      <c r="A153" s="33" t="n">
        <v>151</v>
      </c>
      <c r="B153" s="34" t="inlineStr">
        <is>
          <t>ผู้ป่วยต้องได้รับยานี้เป็นระยะเวลานาน 1 เดือน พบว่าผู้ป่วยมีอาการท้องเสียรุนแรง อยากทราบว่าเกิดจากเชื้ออะไร</t>
        </is>
      </c>
      <c r="C153" s="35" t="n"/>
      <c r="D153" s="34" t="inlineStr">
        <is>
          <t>Aluminium hydroxide/Magnesium hydroxide suspension</t>
        </is>
      </c>
      <c r="E153" s="34" t="inlineStr">
        <is>
          <t>Metoclopramide 10 mg TID before meals</t>
        </is>
      </c>
      <c r="F153" s="34" t="inlineStr">
        <is>
          <t>Omeprazole 20 mg OD</t>
        </is>
      </c>
      <c r="G153" s="34" t="inlineStr">
        <is>
          <t>Esomeprazole 20 mg OD</t>
        </is>
      </c>
      <c r="H153" s="34" t="inlineStr">
        <is>
          <t>Domperidone 10 mg TID</t>
        </is>
      </c>
      <c r="I153" s="33" t="inlineStr">
        <is>
          <t>1</t>
        </is>
      </c>
      <c r="J153" s="34"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35" t="n"/>
      <c r="L153" s="34" t="inlineStr">
        <is>
          <t>GERD</t>
        </is>
      </c>
      <c r="M153" s="35" t="inlineStr">
        <is>
          <t>Clinic</t>
        </is>
      </c>
      <c r="N153" s="34" t="inlineStr">
        <is>
          <t>ข้อ 35 (PLE_CC1_Key_Rx20_UBU.md)</t>
        </is>
      </c>
      <c r="O153" s="35" t="inlineStr">
        <is>
          <t>Mock</t>
        </is>
      </c>
      <c r="P153" s="35" t="inlineStr">
        <is>
          <t>Mock Rx20 UBU</t>
        </is>
      </c>
    </row>
    <row r="154" ht="13.2" customHeight="1" s="49">
      <c r="A154" s="33" t="n">
        <v>152</v>
      </c>
      <c r="B154" s="34" t="inlineStr">
        <is>
          <t>หากเกิดอาการคลื่นไส้ อาเจียน เวียนหัวให้หยุดยาแล้วมาพบแพทย์</t>
        </is>
      </c>
      <c r="C154" s="35" t="n"/>
      <c r="D154" s="34" t="inlineStr">
        <is>
          <t>Esomeprazole 20 mg OD</t>
        </is>
      </c>
      <c r="E154" s="34" t="inlineStr">
        <is>
          <t>Domperidone 10 mg TID</t>
        </is>
      </c>
      <c r="F154" s="34" t="inlineStr">
        <is>
          <t>Dimenhydrinate 50 mg TID</t>
        </is>
      </c>
      <c r="G154" s="34" t="inlineStr">
        <is>
          <t>Loperamide 2 mg PRN</t>
        </is>
      </c>
      <c r="H154" s="34" t="inlineStr">
        <is>
          <t>Senna 2 tabs HS</t>
        </is>
      </c>
      <c r="I154" s="33" t="inlineStr">
        <is>
          <t>1</t>
        </is>
      </c>
      <c r="J154" s="34"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35" t="n"/>
      <c r="L154" s="34" t="inlineStr">
        <is>
          <t>GERD</t>
        </is>
      </c>
      <c r="M154" s="35" t="inlineStr">
        <is>
          <t>Clinic</t>
        </is>
      </c>
      <c r="N154" s="34" t="inlineStr">
        <is>
          <t>ข้อ 1 (PLE_CC1_Key_Rx20_UBU.md)</t>
        </is>
      </c>
      <c r="O154" s="35" t="inlineStr">
        <is>
          <t>Mock</t>
        </is>
      </c>
      <c r="P154" s="35" t="inlineStr">
        <is>
          <t>Mock Rx20 UBU</t>
        </is>
      </c>
    </row>
    <row r="155" ht="13.2" customHeight="1" s="49">
      <c r="A155" s="33" t="n">
        <v>153</v>
      </c>
      <c r="B155" s="34" t="inlineStr">
        <is>
          <t>– สถานการณ) 6 ชาย อายุ 14ป3 ไปกินอาหาร ปวดเบGง ถGายกระปØดกระปรอย ท$องเสียเปญนมูกเลือด ไมGมีกลิ่น ไมGอาเจียน</t>
        </is>
      </c>
      <c r="C155" s="35" t="n"/>
      <c r="D155" s="34" t="inlineStr">
        <is>
          <t>Loperamide 2 mg PRN</t>
        </is>
      </c>
      <c r="E155" s="34" t="inlineStr">
        <is>
          <t>Senna 2 tabs HS</t>
        </is>
      </c>
      <c r="F155" s="34" t="inlineStr">
        <is>
          <t>Bisacodyl 5 mg HS</t>
        </is>
      </c>
      <c r="G155" s="34" t="inlineStr">
        <is>
          <t>Lactulose 15 mL OD</t>
        </is>
      </c>
      <c r="H155" s="34" t="inlineStr">
        <is>
          <t>Amoxicillin 1000 mg BID</t>
        </is>
      </c>
      <c r="I155" s="33" t="inlineStr">
        <is>
          <t>1</t>
        </is>
      </c>
      <c r="J155" s="34"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35" t="n"/>
      <c r="L155" s="34" t="inlineStr">
        <is>
          <t>GERD</t>
        </is>
      </c>
      <c r="M155" s="35" t="inlineStr">
        <is>
          <t>Clinic</t>
        </is>
      </c>
      <c r="N155" s="34" t="inlineStr">
        <is>
          <t>ข้อ 51 (PLE_CC1_Key_Rx20_UBU.md)</t>
        </is>
      </c>
      <c r="O155" s="35" t="inlineStr">
        <is>
          <t>Mock</t>
        </is>
      </c>
      <c r="P155" s="35" t="inlineStr">
        <is>
          <t>Mock Rx20 UBU</t>
        </is>
      </c>
    </row>
    <row r="156" ht="13.2" customHeight="1" s="49">
      <c r="A156" s="33" t="n">
        <v>154</v>
      </c>
      <c r="B156" s="34" t="inlineStr">
        <is>
          <t>ลดอาการคลื่นไส้อาเจียน</t>
        </is>
      </c>
      <c r="C156" s="35" t="n"/>
      <c r="D156" s="34" t="inlineStr">
        <is>
          <t>Lactulose 15 mL OD</t>
        </is>
      </c>
      <c r="E156" s="34" t="inlineStr">
        <is>
          <t>Amoxicillin 1000 mg BID</t>
        </is>
      </c>
      <c r="F156" s="34" t="inlineStr">
        <is>
          <t>Clarithromycin 500 mg BID</t>
        </is>
      </c>
      <c r="G156" s="34" t="inlineStr">
        <is>
          <t>Hyoscine butylbromide 10 mg TID</t>
        </is>
      </c>
      <c r="H156" s="34" t="inlineStr">
        <is>
          <t>Aluminium hydroxide/Magnesium hydroxide suspension</t>
        </is>
      </c>
      <c r="I156" s="33" t="inlineStr">
        <is>
          <t>1</t>
        </is>
      </c>
      <c r="J156" s="34"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35" t="n"/>
      <c r="L156" s="34" t="inlineStr">
        <is>
          <t>GERD</t>
        </is>
      </c>
      <c r="M156" s="35" t="inlineStr">
        <is>
          <t>Clinic</t>
        </is>
      </c>
      <c r="N156" s="34" t="inlineStr">
        <is>
          <t>ข้อ 2 (PLE_CC1_Key_Rx20_UBU.md)</t>
        </is>
      </c>
      <c r="O156" s="35" t="inlineStr">
        <is>
          <t>Mock</t>
        </is>
      </c>
      <c r="P156" s="35" t="inlineStr">
        <is>
          <t>Mock Rx20 UBU</t>
        </is>
      </c>
    </row>
    <row r="157" ht="13.2" customHeight="1" s="49">
      <c r="A157" s="33" t="n">
        <v>155</v>
      </c>
      <c r="B157" s="34" t="inlineStr">
        <is>
          <t>ตัวอย่างเช่นสารเคมีที่สร้างขึ้นภายในร่างกายเพื่อ ทำลายเชื้อ เช่น กรดในกระเพาะอาหาร</t>
        </is>
      </c>
      <c r="C157" s="35" t="n"/>
      <c r="D157" s="34" t="inlineStr">
        <is>
          <t>Hyoscine butylbromide 10 mg TID</t>
        </is>
      </c>
      <c r="E157" s="34" t="inlineStr">
        <is>
          <t>Aluminium hydroxide/Magnesium hydroxide suspension</t>
        </is>
      </c>
      <c r="F157" s="34" t="inlineStr">
        <is>
          <t>Metoclopramide 10 mg TID before meals</t>
        </is>
      </c>
      <c r="G157" s="34" t="inlineStr">
        <is>
          <t>Omeprazole 20 mg OD</t>
        </is>
      </c>
      <c r="H157" s="34" t="inlineStr">
        <is>
          <t>Esomeprazole 20 mg OD</t>
        </is>
      </c>
      <c r="I157" s="33" t="inlineStr">
        <is>
          <t>1</t>
        </is>
      </c>
      <c r="J157" s="34"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35" t="n"/>
      <c r="L157" s="34" t="inlineStr">
        <is>
          <t>GERD</t>
        </is>
      </c>
      <c r="M157" s="35" t="inlineStr">
        <is>
          <t>Clinic</t>
        </is>
      </c>
      <c r="N157" s="34" t="inlineStr">
        <is>
          <t>ข้อ 3 (PLE_CC1_Key_Rx20_UBU.md)</t>
        </is>
      </c>
      <c r="O157" s="35" t="inlineStr">
        <is>
          <t>Mock</t>
        </is>
      </c>
      <c r="P157" s="35" t="inlineStr">
        <is>
          <t>Mock Rx20 UBU</t>
        </is>
      </c>
    </row>
    <row r="158" ht="13.2" customHeight="1" s="49">
      <c r="A158" s="33" t="n">
        <v>156</v>
      </c>
      <c r="B158" s="34" t="inlineStr">
        <is>
          <t>ข้อใดไม่ใชปัจจัยเสี่ยงของโรค GERD</t>
        </is>
      </c>
      <c r="C158" s="35" t="n"/>
      <c r="D158" s="34" t="inlineStr">
        <is>
          <t>Omeprazole 20 mg OD</t>
        </is>
      </c>
      <c r="E158" s="34" t="inlineStr">
        <is>
          <t>Esomeprazole 20 mg OD</t>
        </is>
      </c>
      <c r="F158" s="34" t="inlineStr">
        <is>
          <t>Domperidone 10 mg TID</t>
        </is>
      </c>
      <c r="G158" s="34" t="inlineStr">
        <is>
          <t>Dimenhydrinate 50 mg TID</t>
        </is>
      </c>
      <c r="H158" s="34" t="inlineStr">
        <is>
          <t>Loperamide 2 mg PRN</t>
        </is>
      </c>
      <c r="I158" s="33" t="inlineStr">
        <is>
          <t>1</t>
        </is>
      </c>
      <c r="J158" s="34"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35" t="n"/>
      <c r="L158" s="34" t="inlineStr">
        <is>
          <t>GERD</t>
        </is>
      </c>
      <c r="M158" s="35" t="inlineStr">
        <is>
          <t>Clinic</t>
        </is>
      </c>
      <c r="N158" s="34" t="inlineStr">
        <is>
          <t>ข้อ 2 (PLE_CC1_Key_Rx20_UBU.md)</t>
        </is>
      </c>
      <c r="O158" s="35" t="inlineStr">
        <is>
          <t>Mock</t>
        </is>
      </c>
      <c r="P158" s="35" t="inlineStr">
        <is>
          <t>Mock Rx20 UBU</t>
        </is>
      </c>
    </row>
    <row r="159" ht="13.2" customHeight="1" s="49">
      <c r="A159" s="33" t="n">
        <v>157</v>
      </c>
      <c r="B159" s="34" t="inlineStr">
        <is>
          <t>คลื่นไส อาเจียน</t>
        </is>
      </c>
      <c r="C159" s="35" t="n"/>
      <c r="D159" s="34" t="inlineStr">
        <is>
          <t>Dimenhydrinate 50 mg TID</t>
        </is>
      </c>
      <c r="E159" s="34" t="inlineStr">
        <is>
          <t>Loperamide 2 mg PRN</t>
        </is>
      </c>
      <c r="F159" s="34" t="inlineStr">
        <is>
          <t>Senna 2 tabs HS</t>
        </is>
      </c>
      <c r="G159" s="34" t="inlineStr">
        <is>
          <t>Bisacodyl 5 mg HS</t>
        </is>
      </c>
      <c r="H159" s="34" t="inlineStr">
        <is>
          <t>Lactulose 15 mL OD</t>
        </is>
      </c>
      <c r="I159" s="33" t="inlineStr">
        <is>
          <t>1</t>
        </is>
      </c>
      <c r="J159" s="34"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35" t="n"/>
      <c r="L159" s="34" t="inlineStr">
        <is>
          <t>GERD</t>
        </is>
      </c>
      <c r="M159" s="35" t="inlineStr">
        <is>
          <t>Clinic</t>
        </is>
      </c>
      <c r="N159" s="34" t="inlineStr">
        <is>
          <t>ข้อ 5 (PLE_CC1_Key_Rx20_UBU.md)</t>
        </is>
      </c>
      <c r="O159" s="35" t="inlineStr">
        <is>
          <t>Mock</t>
        </is>
      </c>
      <c r="P159" s="35" t="inlineStr">
        <is>
          <t>Mock Rx20 UBU</t>
        </is>
      </c>
    </row>
    <row r="160" ht="13.2" customHeight="1" s="49">
      <c r="A160" s="33" t="n">
        <v>158</v>
      </c>
      <c r="B160" s="34" t="inlineStr">
        <is>
          <t>ยาใดไม่ควรใช้ในผู้ป่วย GERD</t>
        </is>
      </c>
      <c r="C160" s="35" t="n"/>
      <c r="D160" s="34" t="inlineStr">
        <is>
          <t>Bisacodyl 5 mg HS</t>
        </is>
      </c>
      <c r="E160" s="34" t="inlineStr">
        <is>
          <t>Lactulose 15 mL OD</t>
        </is>
      </c>
      <c r="F160" s="34" t="inlineStr">
        <is>
          <t>Amoxicillin 1000 mg BID</t>
        </is>
      </c>
      <c r="G160" s="34" t="inlineStr">
        <is>
          <t>Clarithromycin 500 mg BID</t>
        </is>
      </c>
      <c r="H160" s="34" t="inlineStr">
        <is>
          <t>Hyoscine butylbromide 10 mg TID</t>
        </is>
      </c>
      <c r="I160" s="33" t="inlineStr">
        <is>
          <t>1</t>
        </is>
      </c>
      <c r="J160" s="34"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35" t="n"/>
      <c r="L160" s="34" t="inlineStr">
        <is>
          <t>GERD</t>
        </is>
      </c>
      <c r="M160" s="35" t="inlineStr">
        <is>
          <t>Clinic</t>
        </is>
      </c>
      <c r="N160" s="34" t="inlineStr">
        <is>
          <t>ข้อ 4 (PLE_CC1_Key_Rx20_UBU.md)</t>
        </is>
      </c>
      <c r="O160" s="35" t="inlineStr">
        <is>
          <t>Mock</t>
        </is>
      </c>
      <c r="P160" s="35" t="inlineStr">
        <is>
          <t>Mock Rx20 UBU</t>
        </is>
      </c>
    </row>
    <row r="161" ht="13.2" customHeight="1" s="49">
      <c r="A161" s="33" t="n">
        <v>159</v>
      </c>
      <c r="B161" s="34" t="inlineStr">
        <is>
          <t>ยาใดที่ใช้ในการป้องกันอาการคลื่นไส้ อาเจียนในผู้ป่วยรายนี้</t>
        </is>
      </c>
      <c r="C161" s="35" t="n"/>
      <c r="D161" s="34" t="inlineStr">
        <is>
          <t>Dexamethasone</t>
        </is>
      </c>
      <c r="E161" s="34" t="inlineStr">
        <is>
          <t>Ondansetron</t>
        </is>
      </c>
      <c r="F161" s="34" t="inlineStr">
        <is>
          <t>Ondansetron + Dexamethasone + Diphenhydramine</t>
        </is>
      </c>
      <c r="G161" s="34" t="inlineStr">
        <is>
          <t>Ondansetron + Dexamethasone + Aprepitant</t>
        </is>
      </c>
      <c r="H161" s="34" t="inlineStr">
        <is>
          <t>Metoclopramide + Dexamethasone + Aprepitant วันโดยยาที่ได้รับต้องประกอบไปด้วย 1. 5-HT antagonist 2. NK-1 receptor antagonist และ 3. Dexamethasone</t>
        </is>
      </c>
      <c r="I161" s="33" t="inlineStr">
        <is>
          <t>4</t>
        </is>
      </c>
      <c r="J161" s="34"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35" t="n"/>
      <c r="L161" s="34" t="inlineStr">
        <is>
          <t>GERD</t>
        </is>
      </c>
      <c r="M161" s="35" t="inlineStr">
        <is>
          <t>Clinic</t>
        </is>
      </c>
      <c r="N161" s="34" t="inlineStr">
        <is>
          <t>ข้อ 12 (PLE_CC1_Key_Rx20_UBU.md)</t>
        </is>
      </c>
      <c r="O161" s="35" t="inlineStr">
        <is>
          <t>Mock</t>
        </is>
      </c>
      <c r="P161" s="35" t="inlineStr">
        <is>
          <t>Mock Rx20 UBU</t>
        </is>
      </c>
    </row>
    <row r="162" ht="64.95" customHeight="1" s="49">
      <c r="A162" s="35" t="n">
        <v>160</v>
      </c>
      <c r="B162" s="34"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62" s="45" t="n"/>
      <c r="D162" s="34" t="inlineStr">
        <is>
          <t>Ondansetron และ Levofloxacin ทำปฏิกิริยากัน เกิดการแย่งจับกับโปรตีนในพลาสมาอย่างรุนแรง</t>
        </is>
      </c>
      <c r="E162" s="34" t="inlineStr">
        <is>
          <t>Activated Charcoal เข้าจับและดูดซับ Levofloxacin ในระบบทางเดินอาหาร ส่งผลให้ระดับยาในเลือดของ Levofloxacin ลดลงอย่างมีนัยสำคัญ</t>
        </is>
      </c>
      <c r="F162" s="34" t="inlineStr">
        <is>
          <t>ORS ทำให้ความเป็นกรดในกระเพาะอาหารลดลง ส่งผลให้ Levofloxacin ไม่สามารถละลายตัวและดูดซึมได้</t>
        </is>
      </c>
      <c r="G162" s="34" t="inlineStr">
        <is>
          <t>Activated Charcoal เร่งการขจัดยา Levofloxacin ออกทางปัสสาวะผ่านกระบวนการ active secretion</t>
        </is>
      </c>
      <c r="H162" s="34" t="inlineStr">
        <is>
          <t>Ondansetron ลดการบีบตัวของกระเพาะอาหาร ทำให้ Levofloxacin ค้างอยู่ในกระเพาะนานจนยาเสื่อมสภาพ</t>
        </is>
      </c>
      <c r="I162" s="35" t="n">
        <v>2</v>
      </c>
      <c r="J162" s="34"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62" s="45" t="n"/>
      <c r="L162" s="35" t="inlineStr">
        <is>
          <t>Diarrhea</t>
        </is>
      </c>
      <c r="M162" s="35" t="inlineStr">
        <is>
          <t>Clinic</t>
        </is>
      </c>
      <c r="N162" s="34" t="inlineStr">
        <is>
          <t>Mock RxCU84 GI (Case 1 Q1.1)</t>
        </is>
      </c>
    </row>
    <row r="163" ht="64.95" customHeight="1" s="49">
      <c r="A163" s="35" t="n">
        <v>161</v>
      </c>
      <c r="B163" s="34"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63" s="45" t="n"/>
      <c r="D163" s="34"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63" s="34"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63" s="34"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63" s="34"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63" s="34"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63" s="35" t="n">
        <v>2</v>
      </c>
      <c r="J163" s="34"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63" s="45" t="n"/>
      <c r="L163" s="35" t="inlineStr">
        <is>
          <t>Diarrhea</t>
        </is>
      </c>
      <c r="M163" s="35" t="inlineStr">
        <is>
          <t>Clinic</t>
        </is>
      </c>
      <c r="N163" s="34" t="inlineStr">
        <is>
          <t>Mock RxCU84 GI (Case 1 Q1.2)</t>
        </is>
      </c>
    </row>
    <row r="164" ht="64.95" customHeight="1" s="49">
      <c r="A164" s="35" t="n">
        <v>162</v>
      </c>
      <c r="B164" s="34"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64" s="45" t="n"/>
      <c r="D164" s="34" t="inlineStr">
        <is>
          <t>Levofloxacin และ ORS</t>
        </is>
      </c>
      <c r="E164" s="34" t="inlineStr">
        <is>
          <t>Ondansetron และ Activated Charcoal</t>
        </is>
      </c>
      <c r="F164" s="34" t="inlineStr">
        <is>
          <t>Levofloxacin และ Ondansetron</t>
        </is>
      </c>
      <c r="G164" s="34" t="inlineStr">
        <is>
          <t>Activated Charcoal และ ORS</t>
        </is>
      </c>
      <c r="H164" s="34" t="inlineStr">
        <is>
          <t>Levofloxacin และ Activated Charcoal</t>
        </is>
      </c>
      <c r="I164" s="35" t="n">
        <v>3</v>
      </c>
      <c r="J164" s="34"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64" s="45" t="n"/>
      <c r="L164" s="35" t="inlineStr">
        <is>
          <t>Drug Interactions</t>
        </is>
      </c>
      <c r="M164" s="35" t="inlineStr">
        <is>
          <t>Clinic</t>
        </is>
      </c>
      <c r="N164" s="34" t="inlineStr">
        <is>
          <t>Mock RxCU84 GI (Case 1 Q1.3)</t>
        </is>
      </c>
    </row>
    <row r="165" ht="64.95" customHeight="1" s="49">
      <c r="A165" s="35" t="n">
        <v>163</v>
      </c>
      <c r="B165" s="34"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65" s="45" t="n"/>
      <c r="D165" s="34" t="inlineStr">
        <is>
          <t>เปลี่ยน Levofloxacin เป็น Norfloxacin 400 mg รับประทานวันละ 2 ครั้ง นาน 3 วัน</t>
        </is>
      </c>
      <c r="E165" s="34" t="inlineStr">
        <is>
          <t>เปลี่ยน Levofloxacin เป็น Azithromycin 1,000 mg รับประทานครั้งเดียว หรือ 500 mg วันละครั้ง นาน 3 วัน</t>
        </is>
      </c>
      <c r="F165" s="34" t="inlineStr">
        <is>
          <t>เปลี่ยน Levofloxacin เป็น Doxycycline 100 mg รับประทานวันละ 2 ครั้ง นาน 3 วัน</t>
        </is>
      </c>
      <c r="G165" s="34" t="inlineStr">
        <is>
          <t>คงการใช้ Levofloxacin ไว้ตามเดิม เนื่องจากยามีความปลอดภัยสูงในหญิงตั้งครรภ์ทุกไตรมาส</t>
        </is>
      </c>
      <c r="H165" s="34" t="inlineStr">
        <is>
          <t>เปลี่ยน Levofloxacin เป็น Ciprofloxacin 500 mg รับประทานวันละ 2 ครั้ง นาน 3 วัน</t>
        </is>
      </c>
      <c r="I165" s="35" t="n">
        <v>2</v>
      </c>
      <c r="J165" s="34"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65" s="45" t="n"/>
      <c r="L165" s="35" t="inlineStr">
        <is>
          <t>Diarrhea</t>
        </is>
      </c>
      <c r="M165" s="35" t="inlineStr">
        <is>
          <t>Clinic</t>
        </is>
      </c>
      <c r="N165" s="34" t="inlineStr">
        <is>
          <t>Mock RxCU84 GI (Case 1 Q1.4)</t>
        </is>
      </c>
    </row>
    <row r="166" ht="64.95" customHeight="1" s="49">
      <c r="A166" s="35" t="n">
        <v>164</v>
      </c>
      <c r="B166" s="34"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6" s="45" t="n"/>
      <c r="D166" s="34" t="inlineStr">
        <is>
          <t>เหมาะสม เนื่องจากผู้ป่วยถ่ายบ่อยถึง 6 ครั้ง บ่งชี้ว่าร่างกายได้รับการติดเชื้อแบคทีเรียรุนแรง</t>
        </is>
      </c>
      <c r="E166" s="34"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6" s="34" t="inlineStr">
        <is>
          <t>เหมาะสม แต่ควรเปลี่ยนเป็นกลุ่ม Fluoroquinolones เช่น Norfloxacin เนื่องจากมีสเปกตรัมแคบกว่า</t>
        </is>
      </c>
      <c r="G166" s="34" t="inlineStr">
        <is>
          <t>เหมาะสม เนื่องจากยา Amoxicillin/Clavulanate ช่วยลดการหลั่งสารน้ำในเยื่อบุลำไส้ได้ดี</t>
        </is>
      </c>
      <c r="H166" s="34" t="inlineStr">
        <is>
          <t>ไม่เหมาะสม เนื่องจากยา Amoxicillin/Clavulanate สามารถผ่านรกไปทำอันตรายต่อทารกในครรภ์ได้อย่างรุนแรง (FDA Category X)</t>
        </is>
      </c>
      <c r="I166" s="35" t="n">
        <v>2</v>
      </c>
      <c r="J166" s="34"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6" s="45" t="n"/>
      <c r="L166" s="35" t="inlineStr">
        <is>
          <t>Diarrhea</t>
        </is>
      </c>
      <c r="M166" s="35" t="inlineStr">
        <is>
          <t>Clinic</t>
        </is>
      </c>
      <c r="N166" s="34" t="inlineStr">
        <is>
          <t>Mock RxCU84 GI (Case 2 Q2.1)</t>
        </is>
      </c>
    </row>
    <row r="167" ht="64.95" customHeight="1" s="49">
      <c r="A167" s="35" t="n">
        <v>165</v>
      </c>
      <c r="B167" s="34"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7" s="45" t="n"/>
      <c r="D167" s="34" t="inlineStr">
        <is>
          <t>ตัวยา Clavulanate จะเร่งกระบวนการทำลายเยื่อบุกระเพาะอาหารโดยตรง เกิดแผลในกระเพาะอาหารฉับพลัน</t>
        </is>
      </c>
      <c r="E167" s="34" t="inlineStr">
        <is>
          <t>ยาจะทำให้เกิดการยับยั้งการหลั่งน้ำย่อยจากตับอ่อน ส่งผลให้มีไขมันปนในอุจจาระเพิ่มขึ้น</t>
        </is>
      </c>
      <c r="F167" s="34"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7" s="34" t="inlineStr">
        <is>
          <t>ยาปฏิชีวนะจะทำให้ทางเดินอาหารแห้งตัวและเกิดอาการท้องผูกสลับท้องเสียอย่างรุนแรง</t>
        </is>
      </c>
      <c r="H167" s="34" t="inlineStr">
        <is>
          <t>ตัวยา Amoxicillin จะออกฤทธิ์ขัดขวางการดูดซึมโซเดียมและน้ำกลับที่ไตโดยตรง</t>
        </is>
      </c>
      <c r="I167" s="35" t="n">
        <v>3</v>
      </c>
      <c r="J167" s="34"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7" s="45" t="n"/>
      <c r="L167" s="35" t="inlineStr">
        <is>
          <t>Diarrhea</t>
        </is>
      </c>
      <c r="M167" s="35" t="inlineStr">
        <is>
          <t>Clinic</t>
        </is>
      </c>
      <c r="N167" s="34" t="inlineStr">
        <is>
          <t>Mock RxCU84 GI (Case 2 Q2.2)</t>
        </is>
      </c>
    </row>
    <row r="168" ht="64.95" customHeight="1" s="49">
      <c r="A168" s="35" t="n">
        <v>166</v>
      </c>
      <c r="B168" s="34"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8" s="45" t="n"/>
      <c r="D168" s="34" t="inlineStr">
        <is>
          <t>Loperamide 2 mg</t>
        </is>
      </c>
      <c r="E168" s="34" t="inlineStr">
        <is>
          <t>Ibuprofen 400 mg</t>
        </is>
      </c>
      <c r="F168" s="34" t="inlineStr">
        <is>
          <t>Hyoscine butylbromide 10 mg</t>
        </is>
      </c>
      <c r="G168" s="34" t="inlineStr">
        <is>
          <t>Omeprazole 20 mg</t>
        </is>
      </c>
      <c r="H168" s="34" t="inlineStr">
        <is>
          <t>Activated Charcoal 250 mg</t>
        </is>
      </c>
      <c r="I168" s="35" t="n">
        <v>3</v>
      </c>
      <c r="J168" s="34"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8" s="45" t="n"/>
      <c r="L168" s="35" t="inlineStr">
        <is>
          <t>Diarrhea</t>
        </is>
      </c>
      <c r="M168" s="35" t="inlineStr">
        <is>
          <t>Clinic</t>
        </is>
      </c>
      <c r="N168" s="34" t="inlineStr">
        <is>
          <t>Mock RxCU84 GI (Case 2 Q2.3)</t>
        </is>
      </c>
    </row>
    <row r="169" ht="64.95" customHeight="1" s="49">
      <c r="A169" s="35" t="n">
        <v>167</v>
      </c>
      <c r="B169" s="34"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9" s="45" t="n"/>
      <c r="D169" s="34" t="inlineStr">
        <is>
          <t>ห้ามใช้ในผู้ป่วยที่มีอาการปวดท้องน้อยหรือมีอาการคลื่นไส้อาเจียนร่วมด้วย</t>
        </is>
      </c>
      <c r="E169" s="34"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9" s="34" t="inlineStr">
        <is>
          <t>ห้ามใช้ร่วมกับผงน้ำตาลเกลือแร่ (ORS) ทุกกรณีเนื่องจากจะลดประสิทธิภาพการทำงานของยา</t>
        </is>
      </c>
      <c r="G169" s="34" t="inlineStr">
        <is>
          <t>ห้ามใช้ในผู้ป่วยที่ดื่มน้ำได้น้อยเนื่องจากยาจะกระตุ้นการขับปัสสาวะอย่างรุนแรง</t>
        </is>
      </c>
      <c r="H169" s="34" t="inlineStr">
        <is>
          <t>ห้ามใช้ในคนไข้ที่มีอายุมากกว่า 18 ปี เนื่องจากยามีความปลอดภัยเฉพาะในวัยเด็กเล็กเท่านั้น</t>
        </is>
      </c>
      <c r="I169" s="35" t="n">
        <v>2</v>
      </c>
      <c r="J169" s="34"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9" s="45" t="n"/>
      <c r="L169" s="35" t="inlineStr">
        <is>
          <t>Diarrhea</t>
        </is>
      </c>
      <c r="M169" s="35" t="inlineStr">
        <is>
          <t>Clinic</t>
        </is>
      </c>
      <c r="N169" s="34" t="inlineStr">
        <is>
          <t>Mock RxCU84 GI (Case 2 Q2.4)</t>
        </is>
      </c>
    </row>
    <row r="170" ht="64.95" customHeight="1" s="49">
      <c r="A170" s="35" t="n">
        <v>168</v>
      </c>
      <c r="B170" s="34"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70" s="45" t="n"/>
      <c r="D170" s="34" t="inlineStr">
        <is>
          <t>ความเครียดทำให้เกิดภาวะเลือดเป็นกรด ส่งผลกระตุ้นหลอดอาหารอักเสบโดยตรง</t>
        </is>
      </c>
      <c r="E170" s="34"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70" s="34" t="inlineStr">
        <is>
          <t>การดื่มกาแฟปริมาณมากทำให้อาหารค้างอยู่ในกระเพาะนานขึ้น (Delayed gastric emptying)</t>
        </is>
      </c>
      <c r="G170" s="34" t="inlineStr">
        <is>
          <t>การทำงานหนักจนดึกขัดขวางการทำงานของระบบประสาท Sympathetic ทำให้หูรูดปิดแน่นเกินไป</t>
        </is>
      </c>
      <c r="H170" s="34" t="inlineStr">
        <is>
          <t>ความเครียดทำให้ร่างกายผลิตเมือกในกระเพาะอาหารน้อยลง ส่งผลให้เยื่อบุหลอดอาหารฉีกขาดง่าย</t>
        </is>
      </c>
      <c r="I170" s="35" t="n">
        <v>2</v>
      </c>
      <c r="J170" s="34"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70" s="45" t="n"/>
      <c r="L170" s="35" t="inlineStr">
        <is>
          <t>GERD</t>
        </is>
      </c>
      <c r="M170" s="35" t="inlineStr">
        <is>
          <t>Clinic</t>
        </is>
      </c>
      <c r="N170" s="34" t="inlineStr">
        <is>
          <t>Mock RxCU84 GI (Case 3 Q3.1)</t>
        </is>
      </c>
    </row>
    <row r="171" ht="64.95" customHeight="1" s="49">
      <c r="A171" s="35" t="n">
        <v>169</v>
      </c>
      <c r="B171" s="34"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71" s="45" t="n"/>
      <c r="D171" s="34" t="inlineStr">
        <is>
          <t>อาการแสบร้อนกลางอกเป็นมากขึ้นเมื่อนอนราบ</t>
        </is>
      </c>
      <c r="E171" s="34" t="inlineStr">
        <is>
          <t>อาการเรอเปรี้ยวหรือขมคอหลังรับประทานอาหารมื้อใหญ่</t>
        </is>
      </c>
      <c r="F171" s="34" t="inlineStr">
        <is>
          <t>มีอาการกลืนลำบาก (Dysphagia) กลืนเจ็บ (Odynophagia) น้ำหนักลดผิดปกติ หรืออุจจาระมีสีดำคล้ำ (Melena)</t>
        </is>
      </c>
      <c r="G171" s="34" t="inlineStr">
        <is>
          <t>อาการท้องอืด ท้องเฟ้อหลังรับประทานอาหารรสจัด</t>
        </is>
      </c>
      <c r="H171" s="34" t="inlineStr">
        <is>
          <t>อาการแสบร้อนกลางอกสลับกับอาการปวดเกร็งหน้าท้องด้านล่าง</t>
        </is>
      </c>
      <c r="I171" s="35" t="n">
        <v>3</v>
      </c>
      <c r="J171" s="34"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ทางเดินอาหารส่วนบนตามเกณฑ์สากล: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71" s="45" t="n"/>
      <c r="L171" s="35" t="inlineStr">
        <is>
          <t>GERD</t>
        </is>
      </c>
      <c r="M171" s="35" t="inlineStr">
        <is>
          <t>Clinic</t>
        </is>
      </c>
      <c r="N171" s="34" t="inlineStr">
        <is>
          <t>Mock RxCU84 GI (Case 3 Q3.2)</t>
        </is>
      </c>
    </row>
    <row r="172" ht="64.95" customHeight="1" s="49">
      <c r="A172" s="35" t="n">
        <v>170</v>
      </c>
      <c r="B172" s="34"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72" s="45" t="n"/>
      <c r="D172" s="34" t="inlineStr">
        <is>
          <t>Omeprazole 20 mg ครั้งละ 1 เม็ด วันละครั้ง หลังอาหารเช้าทันที นาน 1 สัปดาห์</t>
        </is>
      </c>
      <c r="E172" s="34" t="inlineStr">
        <is>
          <t>Omeprazole 20 mg ครั้งละ 1 เม็ด วันละครั้ง ก่อนอาหารเช้า 30-60 นาที ต่อเนื่องกัน 4-8 สัปดาห์</t>
        </is>
      </c>
      <c r="F172" s="34" t="inlineStr">
        <is>
          <t>Omeprazole 20 mg ครั้งละ 1 เม็ด วันละ 2 ครั้ง หลังอาหารเช้าและเย็น นาน 3 วัน</t>
        </is>
      </c>
      <c r="G172" s="34" t="inlineStr">
        <is>
          <t>Omeprazole 20 mg ครั้งละ 1 เม็ด รับประทานเฉพาะเวลามีอาการแสบร้อนกลางอก (PRN) โดยเคี้ยวยาให้ละเอียด</t>
        </is>
      </c>
      <c r="H172" s="34" t="inlineStr">
        <is>
          <t>Rabeprazole 20 mg ครั้งละ 1 เม็ด วันละครั้ง ก่อนนอน นาน 1 สัปดาห์</t>
        </is>
      </c>
      <c r="I172" s="35" t="n">
        <v>2</v>
      </c>
      <c r="J172" s="34"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72" s="45" t="n"/>
      <c r="L172" s="35" t="inlineStr">
        <is>
          <t>GERD</t>
        </is>
      </c>
      <c r="M172" s="35" t="inlineStr">
        <is>
          <t>Clinic</t>
        </is>
      </c>
      <c r="N172" s="34" t="inlineStr">
        <is>
          <t>Mock RxCU84 GI (Case 3 Q3.3)</t>
        </is>
      </c>
    </row>
    <row r="173" ht="64.95" customHeight="1" s="49">
      <c r="A173" s="35" t="n">
        <v>171</v>
      </c>
      <c r="B173" s="34"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73" s="45" t="n"/>
      <c r="D173" s="34"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73" s="34" t="inlineStr">
        <is>
          <t>ควรดื่มนมช็อกโกแลตหรือเครื่องดื่มผสมแอลกอฮอล์หลังอาหารเย็น เพื่อช่วยเคลือบแผลในหลอดอาหาร</t>
        </is>
      </c>
      <c r="F173" s="34"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73" s="34" t="inlineStr">
        <is>
          <t>แนะนำให้ออกกำลังกายอย่างหนักทันทีหลังมื้ออาหารเย็น เพื่อช่วยให้กระเพาะอาหารบีบตัวไล่แก๊สได้เร็วขึ้น</t>
        </is>
      </c>
      <c r="H173" s="34" t="inlineStr">
        <is>
          <t>แนะนำให้ดื่มน้ำเย็นปริมาณมากๆ ในระหว่างมื้ออาหาร เพื่อช่วยเจือจางกรดในกระเพาะอาหารไม่ให้ย้อนขึ้นไป</t>
        </is>
      </c>
      <c r="I173" s="35" t="n">
        <v>3</v>
      </c>
      <c r="J173" s="34"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ตามแนวทางเวชปฏิบัติสากล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73" s="45" t="n"/>
      <c r="L173" s="35" t="inlineStr">
        <is>
          <t>GERD</t>
        </is>
      </c>
      <c r="M173" s="35" t="inlineStr">
        <is>
          <t>Clinic</t>
        </is>
      </c>
      <c r="N173" s="34" t="inlineStr">
        <is>
          <t>Mock RxCU84 GI (Case 3 Q3.4)</t>
        </is>
      </c>
    </row>
    <row r="174" ht="64.95" customHeight="1" s="49">
      <c r="A174" s="35" t="n">
        <v>172</v>
      </c>
      <c r="B174" s="34"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74" s="45" t="n"/>
      <c r="D174" s="34" t="inlineStr">
        <is>
          <t>Proton pump inhibitors (เช่น Omeprazole)</t>
        </is>
      </c>
      <c r="E174" s="34" t="inlineStr">
        <is>
          <t>Calcium channel blockers (เช่น Amlodipine)</t>
        </is>
      </c>
      <c r="F174" s="34" t="inlineStr">
        <is>
          <t>Prokinetics (เช่น Domperidone)</t>
        </is>
      </c>
      <c r="G174" s="34" t="inlineStr">
        <is>
          <t>H2-receptor antagonists (เช่น Famotidine)</t>
        </is>
      </c>
      <c r="H174" s="34" t="inlineStr">
        <is>
          <t>Mucosal protectants (เช่น Sucralfate)</t>
        </is>
      </c>
      <c r="I174" s="35" t="n">
        <v>2</v>
      </c>
      <c r="J174" s="34"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74" s="45" t="n"/>
      <c r="L174" s="35" t="inlineStr">
        <is>
          <t>GERD</t>
        </is>
      </c>
      <c r="M174" s="35" t="inlineStr">
        <is>
          <t>Clinic</t>
        </is>
      </c>
      <c r="N174" s="34" t="inlineStr">
        <is>
          <t>Mock RxCU84 GI (Case 3 Q3.5)</t>
        </is>
      </c>
    </row>
    <row r="175" ht="64.95" customHeight="1" s="49">
      <c r="A175" s="35" t="n">
        <v>173</v>
      </c>
      <c r="B175" s="34"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75" s="45" t="n"/>
      <c r="D175" s="34" t="inlineStr">
        <is>
          <t>ทำให้ Pitavastatin หมดฤทธิ์ในการลดระดับไขมัน</t>
        </is>
      </c>
      <c r="E175" s="34" t="inlineStr">
        <is>
          <t>ลดการดูดซึมยา Dolutegravir อย่างมีนัยสำคัญจากการเกิด Chelation</t>
        </is>
      </c>
      <c r="F175" s="34" t="inlineStr">
        <is>
          <t>ทำให้ยา Tenofovir (TDF) สะสมในกระแสเลือดจนเกิดพิษต่อไตเฉียบพลัน</t>
        </is>
      </c>
      <c r="G175" s="34" t="inlineStr">
        <is>
          <t>เพิ่มระดับยา Lamivudine (3TC) จนเกิดภาวะโลหิตจางรุนแรง</t>
        </is>
      </c>
      <c r="H175" s="34" t="inlineStr">
        <is>
          <t>ยาลดกรดกระตุ้นการทำลายตัวยา Dolutegravir ผ่านทางเอนไซม์ตับ CYP3A4</t>
        </is>
      </c>
      <c r="I175" s="35" t="n">
        <v>2</v>
      </c>
      <c r="J175" s="34"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75" s="45" t="n"/>
      <c r="L175" s="35" t="inlineStr">
        <is>
          <t>Drug Interactions</t>
        </is>
      </c>
      <c r="M175" s="35" t="inlineStr">
        <is>
          <t>Clinic</t>
        </is>
      </c>
      <c r="N175" s="34" t="inlineStr">
        <is>
          <t>Mock RxCU84 GI (Case 4 Q4.1)</t>
        </is>
      </c>
    </row>
    <row r="176" ht="64.95" customHeight="1" s="49">
      <c r="A176" s="35" t="n">
        <v>174</v>
      </c>
      <c r="B176" s="34"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6" s="45" t="n"/>
      <c r="D176" s="34" t="inlineStr">
        <is>
          <t>ให้รับประทานยาลดกรดและ Dolutegravir ร่วมกันพร้อมอาหารมื้อหลักทันทีเพื่อลดความเป็นกรดในกระเพาะ</t>
        </is>
      </c>
      <c r="E176" s="34"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6" s="34" t="inlineStr">
        <is>
          <t>ให้รับประทานยา Dolutegravir ในขนาดยาเพิ่มขึ้นเป็น 2 เท่าเฉพาะในวันที่ต้องใช้ยาลดกรด</t>
        </is>
      </c>
      <c r="G176" s="34" t="inlineStr">
        <is>
          <t>แนะนำให้เคี้ยวเม็ดยาลดกรดร่วมกับยาต้านไวรัสก่อนนอน เพื่อส่งเสริมการดูดซึมยาต้านไวรัส</t>
        </is>
      </c>
      <c r="H176" s="34" t="inlineStr">
        <is>
          <t>ให้ผู้ป่วยหยุดรับประทานยาต้านไวรัส Dolutegravir ไปก่อนชั่วคราวในระหว่างที่มีอาการของโรคกรดไหลย้อน</t>
        </is>
      </c>
      <c r="I176" s="35" t="n">
        <v>2</v>
      </c>
      <c r="J176" s="34"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6" s="45" t="n"/>
      <c r="L176" s="35" t="inlineStr">
        <is>
          <t>Drug Interactions</t>
        </is>
      </c>
      <c r="M176" s="35" t="inlineStr">
        <is>
          <t>Clinic</t>
        </is>
      </c>
      <c r="N176" s="34" t="inlineStr">
        <is>
          <t>Mock RxCU84 GI (Case 4 Q4.2)</t>
        </is>
      </c>
    </row>
    <row r="177" ht="64.95" customHeight="1" s="49">
      <c r="A177" s="35" t="n">
        <v>175</v>
      </c>
      <c r="B177" s="34"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7" s="45" t="n"/>
      <c r="D177" s="34"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7" s="34" t="inlineStr">
        <is>
          <t>ห้ามใช้ Omeprazole ร่วมกับ Dolutegravir เด็ดขาด เนื่องจากยาลดการทำงานของเอนไซม์ที่ใช้กำจัด Dolutegravir</t>
        </is>
      </c>
      <c r="F177" s="34" t="inlineStr">
        <is>
          <t>Omeprazole จะลดการดูดซึมของ Tenofovir (TDF) จนหมดสิ้น ทำให้ระดับยาต้านไวรัสไม่เพียงพอต่อการกดเชื้อ</t>
        </is>
      </c>
      <c r="G177" s="34" t="inlineStr">
        <is>
          <t>ยาต้านไวรัส 3TC จะเกิดการเสื่อมสภาพทันทีหาก pH ในกระเพาะอาหารเพิ่มขึ้นมากกว่า 5.0</t>
        </is>
      </c>
      <c r="H177" s="34" t="inlineStr">
        <is>
          <t>Omeprazole จะเพิ่มความเสี่ยงต่อการเกิดภาวะ Lactic acidosis จากยาต้านไวรัสกลุ่ม NRTIs</t>
        </is>
      </c>
      <c r="I177" s="35" t="n">
        <v>1</v>
      </c>
      <c r="J177" s="34"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7" s="45" t="n"/>
      <c r="L177" s="35" t="inlineStr">
        <is>
          <t>Drug Interactions</t>
        </is>
      </c>
      <c r="M177" s="35" t="inlineStr">
        <is>
          <t>Clinic</t>
        </is>
      </c>
      <c r="N177" s="34" t="inlineStr">
        <is>
          <t>Mock RxCU84 GI (Case 4 Q4.3)</t>
        </is>
      </c>
    </row>
    <row r="178" ht="64.95" customHeight="1" s="49">
      <c r="A178" s="35" t="n">
        <v>176</v>
      </c>
      <c r="B178" s="34"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8" s="45" t="n"/>
      <c r="D178" s="34" t="inlineStr">
        <is>
          <t>ยาระคายเคืองกระเพาะโดยตรง (Direct irritation) และยับยั้งเอนไซม์ COX-2 ทำให้ร่างกายสร้างกรดมากขึ้น</t>
        </is>
      </c>
      <c r="E178" s="34"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8" s="34" t="inlineStr">
        <is>
          <t>ยาไปกระตุ้นการทำงานของ parietal cells ในการหลั่งกรดไฮโดรคลอริก ผ่านทางกระบวนการกระตุ้น Histamine-2 receptors</t>
        </is>
      </c>
      <c r="G178" s="34" t="inlineStr">
        <is>
          <t>ยา Diclofenac ทำให้เกิดภาวะติดเชื้อแบคทีเรีย H. pylori ในกระเพาะอาหารได้ง่ายขึ้น</t>
        </is>
      </c>
      <c r="H178" s="34" t="inlineStr">
        <is>
          <t>ยาไปเพิ่มการบีบตัวของกระเพาะอาหารอย่างรุนแรง ส่งผลให้กรดเข้มข้นไหลย้อนกลับทำลายเนื้อเยื่อ</t>
        </is>
      </c>
      <c r="I178" s="35" t="n">
        <v>2</v>
      </c>
      <c r="J178" s="34"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8" s="45" t="n"/>
      <c r="L178" s="35" t="inlineStr">
        <is>
          <t>Peptic Ulcer</t>
        </is>
      </c>
      <c r="M178" s="35" t="inlineStr">
        <is>
          <t>Clinic</t>
        </is>
      </c>
      <c r="N178" s="34" t="inlineStr">
        <is>
          <t>Mock RxCU84 GI (Case 5 Q5.1)</t>
        </is>
      </c>
    </row>
    <row r="179" ht="64.95" customHeight="1" s="49">
      <c r="A179" s="35" t="n">
        <v>177</v>
      </c>
      <c r="B179" s="34"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9" s="45" t="n"/>
      <c r="D179" s="34" t="inlineStr">
        <is>
          <t>แนะนำให้เปลี่ยนจาก Diclofenac เป็น Naproxen 250 mg รับประทานวันละ 2 ครั้ง ทันที</t>
        </is>
      </c>
      <c r="E179" s="34"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9" s="34" t="inlineStr">
        <is>
          <t>แนะนำให้เพิ่มขนาดการรับประทาน Tolperisone เป็น 150 mg วันละ 3 ครั้ง และคงการทาน Diclofenac ร่วมด้วย</t>
        </is>
      </c>
      <c r="G179" s="34" t="inlineStr">
        <is>
          <t>แนะนำให้รับประทาน Diclofenac ห่างจากเครื่องดื่มแอลกอฮอล์อย่างน้อย 8 ชั่วโมง โดยใช้ยาสูตรเดิมต่อไป</t>
        </is>
      </c>
      <c r="H179" s="34" t="inlineStr">
        <is>
          <t>แนะนำให้ใช้ยาแก้ปวดกลุ่มสเตียรอยด์ (Steroids) ชนิดรับประทานทดแทนเพื่อความปลอดภัยต่อกระเพาะอาหาร</t>
        </is>
      </c>
      <c r="I179" s="35" t="n">
        <v>2</v>
      </c>
      <c r="J179" s="34"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9" s="45" t="n"/>
      <c r="L179" s="35" t="inlineStr">
        <is>
          <t>Peptic Ulcer</t>
        </is>
      </c>
      <c r="M179" s="35" t="inlineStr">
        <is>
          <t>Clinic</t>
        </is>
      </c>
      <c r="N179" s="34" t="inlineStr">
        <is>
          <t>Mock RxCU84 GI (Case 5 Q5.2)</t>
        </is>
      </c>
    </row>
    <row r="180" ht="64.95" customHeight="1" s="49">
      <c r="A180" s="35" t="n">
        <v>178</v>
      </c>
      <c r="B180" s="34"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80" s="45" t="n"/>
      <c r="D180" s="34" t="inlineStr">
        <is>
          <t>ออกฤทธิ์จับตัวรับ H2 อาการข้างเคียงคือทำให้เกิดผื่นแพ้แสง; ห้ามใช้ในคนไข้โรคหัวใจล้มเหลว</t>
        </is>
      </c>
      <c r="E180" s="34"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80" s="34" t="inlineStr">
        <is>
          <t>ออกฤทธิ์บล็อก Proton pump; อาการข้างเคียงคืออาการปวดศีรษะ; ห้ามใช้ในผู้ป่วยโรคตับแข็ง</t>
        </is>
      </c>
      <c r="G180" s="34" t="inlineStr">
        <is>
          <t>เป็นสารเคลือบแผลกระเพาะอาหาร; อาการข้างเคียงคือทำให้อุจจาระสีดำเข้ม; ห้ามใช้ในคนไข้ที่เป็นโรคไตวาย</t>
        </is>
      </c>
      <c r="H180" s="34" t="inlineStr">
        <is>
          <t>เป็นยากระตุ้นการหลั่งเอนไซม์ amylase; อาการข้างเคียงคือน้ำตาลในเลือดต่ำ; ห้ามใช้ร่วมกับอินซูลิน</t>
        </is>
      </c>
      <c r="I180" s="35" t="n">
        <v>2</v>
      </c>
      <c r="J180" s="34"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80" s="45" t="n"/>
      <c r="L180" s="35" t="inlineStr">
        <is>
          <t>Peptic Ulcer</t>
        </is>
      </c>
      <c r="M180" s="35" t="inlineStr">
        <is>
          <t>Clinic</t>
        </is>
      </c>
      <c r="N180" s="34" t="inlineStr">
        <is>
          <t>Mock RxCU84 GI (Case 5 Q5.3)</t>
        </is>
      </c>
    </row>
    <row r="181" ht="64.95" customHeight="1" s="49">
      <c r="A181" s="35" t="n">
        <v>179</v>
      </c>
      <c r="B181" s="34"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81" s="45" t="n"/>
      <c r="D181" s="34" t="inlineStr">
        <is>
          <t>อาการปวดแสบบริเวณหน้าอกลามไปถึงไหล่ซ้าย</t>
        </is>
      </c>
      <c r="E181" s="34"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81" s="34" t="inlineStr">
        <is>
          <t>อาการแสบร้อนที่ผิวหนังบริเวณที่ปวดกล้ามเนื้อ</t>
        </is>
      </c>
      <c r="G181" s="34" t="inlineStr">
        <is>
          <t>อาการอ่อนเพลียเล็กน้อยหลังจากทำงานเกษตรกลางแดดจัด</t>
        </is>
      </c>
      <c r="H181" s="34" t="inlineStr">
        <is>
          <t>อาการท้องอืด ท้องเฟ้อ มีลมในกระเพาะอาหารหลังตื่นนอนตอนเช้า</t>
        </is>
      </c>
      <c r="I181" s="35" t="n">
        <v>2</v>
      </c>
      <c r="J181" s="34"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81" s="45" t="n"/>
      <c r="L181" s="35" t="inlineStr">
        <is>
          <t>Peptic Ulcer</t>
        </is>
      </c>
      <c r="M181" s="35" t="inlineStr">
        <is>
          <t>Clinic</t>
        </is>
      </c>
      <c r="N181" s="34" t="inlineStr">
        <is>
          <t>Mock RxCU84 GI (Case 5 Q5.4)</t>
        </is>
      </c>
    </row>
    <row r="182" ht="64.95" customHeight="1" s="49">
      <c r="A182" s="35" t="n">
        <v>180</v>
      </c>
      <c r="B182" s="34"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82" s="45" t="n"/>
      <c r="D182" s="34" t="inlineStr">
        <is>
          <t>5-HT3 receptor antagonist (เช่น Ondansetron)</t>
        </is>
      </c>
      <c r="E182" s="34" t="inlineStr">
        <is>
          <t>Antihistamine / Anticholinergic (เช่น Dimenhydrinate)</t>
        </is>
      </c>
      <c r="F182" s="34" t="inlineStr">
        <is>
          <t>Dopamine D2 antagonist (เช่น Domperidone)</t>
        </is>
      </c>
      <c r="G182" s="34" t="inlineStr">
        <is>
          <t>Benzodiazepines (เช่น Lorazepam)</t>
        </is>
      </c>
      <c r="H182" s="34" t="inlineStr">
        <is>
          <t>Neurokinin-1 antagonist (เช่น Aprepitant)</t>
        </is>
      </c>
      <c r="I182" s="35" t="n">
        <v>3</v>
      </c>
      <c r="J182" s="34"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82" s="45" t="n"/>
      <c r="L182" s="35" t="inlineStr">
        <is>
          <t>Nausea &amp; Vomiting</t>
        </is>
      </c>
      <c r="M182" s="35" t="inlineStr">
        <is>
          <t>Clinic</t>
        </is>
      </c>
      <c r="N182" s="34" t="inlineStr">
        <is>
          <t>Mock RxCU84 GI (Case 5 Q5.5)</t>
        </is>
      </c>
    </row>
    <row r="183" ht="64.95" customHeight="1" s="49">
      <c r="A183" s="35" t="n">
        <v>181</v>
      </c>
      <c r="B183" s="34"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83" s="45" t="n"/>
      <c r="D183" s="34" t="inlineStr">
        <is>
          <t>Domperidone ออกฤทธิ์ที่ 5-HT3 receptor จึงไม่มีผลข้างเคียงต่อระบบประสาท</t>
        </is>
      </c>
      <c r="E183" s="34" t="inlineStr">
        <is>
          <t>Domperidone ผ่าน Blood-Brain Barrier (BBB) ได้น้อยกว่า Metoclopramide จึงมีโอกาสเกิด Extrapyramidal Symptoms (EPS) และผลข้างเคียงทาง CNS น้อยกว่าอย่างมีนัยสำคัญ</t>
        </is>
      </c>
      <c r="F183" s="34" t="inlineStr">
        <is>
          <t>Domperidone ไม่มีผลต่อการเพิ่มขึ้นของระดับ Prolactin ในกระแสเลือดเลย</t>
        </is>
      </c>
      <c r="G183" s="34" t="inlineStr">
        <is>
          <t>Metoclopramide ไม่สามารถผ่าน BBB ได้ จึงปลอดภัยกว่าสำหรับการใช้ในระยะยาว</t>
        </is>
      </c>
      <c r="H183" s="34" t="inlineStr">
        <is>
          <t>ยาทั้งสองตัวมีระดับความปลอดภัยและผลข้างเคียงต่อระบบประสาทส่วนกลางเหมือนกันทุกประการ</t>
        </is>
      </c>
      <c r="I183" s="35" t="n">
        <v>2</v>
      </c>
      <c r="J183" s="34"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83" s="45" t="n"/>
      <c r="L183" s="35" t="inlineStr">
        <is>
          <t>Nausea &amp; Vomiting</t>
        </is>
      </c>
      <c r="M183" s="35" t="inlineStr">
        <is>
          <t>Clinic</t>
        </is>
      </c>
      <c r="N183" s="34" t="inlineStr">
        <is>
          <t>Mock RxCU84 GI (Case 5 Q5.6)</t>
        </is>
      </c>
    </row>
    <row r="184" ht="64.95" customHeight="1" s="49">
      <c r="A184" s="35" t="n">
        <v>182</v>
      </c>
      <c r="B184" s="34"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84" s="45" t="n"/>
      <c r="D184" s="34" t="inlineStr">
        <is>
          <t>ควรรับประทานพร้อมอาหารที่มีไขมันสูงเพื่อเพิ่มการดูดซึมยาเข้าสู่กระแสเลือด</t>
        </is>
      </c>
      <c r="E184" s="34"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84" s="34" t="inlineStr">
        <is>
          <t>สามารถใช้ร่วมกับเครื่องดื่มแอลกอฮอล์ได้อย่างปลอดภัยโดยไม่มีผลเสริมฤทธิ์กดประสาท</t>
        </is>
      </c>
      <c r="G184" s="34" t="inlineStr">
        <is>
          <t>ไม่มีผลต่อระบบประสาทส่วนกลาง จึงสามารถใช้ในผู้ป่วยโรคพาร์กินสัน (Parkinson's disease) ได้อย่างปลอดภัย</t>
        </is>
      </c>
      <c r="H184" s="34" t="inlineStr">
        <is>
          <t>ไม่จำเป็นต้องปรับขนาดยาในผู้ป่วยที่มีการทำงานของไตบกพร่อง</t>
        </is>
      </c>
      <c r="I184" s="35" t="n">
        <v>2</v>
      </c>
      <c r="J184" s="34"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84" s="45" t="n"/>
      <c r="L184" s="35" t="inlineStr">
        <is>
          <t>Nausea &amp; Vomiting</t>
        </is>
      </c>
      <c r="M184" s="35" t="inlineStr">
        <is>
          <t>Clinic</t>
        </is>
      </c>
      <c r="N184" s="34" t="inlineStr">
        <is>
          <t>Mock RxCU84 GI (Case 5 Q5.7)</t>
        </is>
      </c>
    </row>
    <row r="185" ht="64.95" customHeight="1" s="49">
      <c r="A185" s="35" t="n">
        <v>183</v>
      </c>
      <c r="B185" s="34"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85" s="45" t="n"/>
      <c r="D185" s="34" t="inlineStr">
        <is>
          <t>Low emetogenic potential (โอกาสเกิดอาการร้อยละ 10–30)</t>
        </is>
      </c>
      <c r="E185" s="34" t="inlineStr">
        <is>
          <t>Moderate emetogenic potential (โอกาสเกิดอาการร้อยละ 30–90)</t>
        </is>
      </c>
      <c r="F185" s="34" t="inlineStr">
        <is>
          <t>High emetogenic potential (โอกาสเกิดอาการมากกว่าร้อยละ 90)</t>
        </is>
      </c>
      <c r="G185" s="34" t="inlineStr">
        <is>
          <t>Minimal emetogenic potential (โอกาสเกิดอาการน้อยกว่าร้อยละ 10)</t>
        </is>
      </c>
      <c r="H185" s="34" t="inlineStr">
        <is>
          <t>Sub-therapeutic emetogenic potential (ไม่มีผลต่อการกระตุ้นอาการอาเจียน)</t>
        </is>
      </c>
      <c r="I185" s="35" t="n">
        <v>3</v>
      </c>
      <c r="J185" s="34" t="inlineStr">
        <is>
          <t>✅ คำตอบที่ถูกต้อง: ข้อ ค. High emetogenic potential (โอกาสเกิดอาการมากกว่าร้อยละ 90)
💡 Background:
แนวทางเวชปฏิบัติสากลด้านเนื้องอกวิทยา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85" s="45" t="n"/>
      <c r="L185" s="35" t="inlineStr">
        <is>
          <t>Nausea &amp; Vomiting</t>
        </is>
      </c>
      <c r="M185" s="35" t="inlineStr">
        <is>
          <t>Clinic</t>
        </is>
      </c>
      <c r="N185" s="34" t="inlineStr">
        <is>
          <t>Mock RxCU84 GI (Case 6 Q6.1)</t>
        </is>
      </c>
    </row>
    <row r="186" ht="64.95" customHeight="1" s="49">
      <c r="A186" s="35" t="n">
        <v>184</v>
      </c>
      <c r="B186" s="34"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6" s="45" t="n"/>
      <c r="D186" s="34" t="inlineStr">
        <is>
          <t>เหมาะสม เนื่องจาก Ondansetron เป็นยากลุ่ม 5-HT3 antagonist ที่มีประสิทธิภาพสูงสุดครอบคลุมทั้งระยะเฉียบพลันและระยะช้า</t>
        </is>
      </c>
      <c r="E186" s="34"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6" s="34" t="inlineStr">
        <is>
          <t>เหมาะสม แต่ควรเปลี่ยนช่องทางการบริหารยาเป็นชนิดเม็ดรับประทาน (Oral tablet) เพื่อผลการรักษาที่ดีกว่า</t>
        </is>
      </c>
      <c r="G186" s="34" t="inlineStr">
        <is>
          <t>ไม่เหมาะสม เนื่องจากควรใช้เฉพาะยาปฏิชีวนะและยาลดกรด Omeprazole ในการป้องกันอาการอาเจียนเท่านั้น</t>
        </is>
      </c>
      <c r="H186" s="34" t="inlineStr">
        <is>
          <t>เหมาะสม แต่ต้องบริหารยาร่วมกับสารน้ำทางหลอดเลือดดำปริมาณมากเพียงอย่างเดียวโดยไม่ต้องให้ยาอื่นเพิ่ม</t>
        </is>
      </c>
      <c r="I186" s="35" t="n">
        <v>2</v>
      </c>
      <c r="J186" s="34"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มาตรฐานระดับสากลแนะนำสูตรผสม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6" s="45" t="n"/>
      <c r="L186" s="35" t="inlineStr">
        <is>
          <t>Nausea &amp; Vomiting</t>
        </is>
      </c>
      <c r="M186" s="35" t="inlineStr">
        <is>
          <t>Clinic</t>
        </is>
      </c>
      <c r="N186" s="34" t="inlineStr">
        <is>
          <t>Mock RxCU84 GI (Case 6 Q6.2)</t>
        </is>
      </c>
    </row>
    <row r="187" ht="64.95" customHeight="1" s="49">
      <c r="A187" s="35" t="n">
        <v>185</v>
      </c>
      <c r="B187" s="34"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7" s="45" t="n"/>
      <c r="D187" s="34" t="inlineStr">
        <is>
          <t>อาการเริ่มแสดงหลังรับยา 1 ชั่วโมง; ยาที่มีบทบาทหลักคือยาชาเฉพาะที่ Lidocaine</t>
        </is>
      </c>
      <c r="E187" s="34"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7" s="34" t="inlineStr">
        <is>
          <t>อาการเริ่มแสดงในสัปดาห์ที่สามหลังให้ยา; ยาที่มีบทบาทหลักคือยากระตุ้นการบีบตัวของทางเดินอาหาร Domperidone</t>
        </is>
      </c>
      <c r="G187" s="34" t="inlineStr">
        <is>
          <t>อาการเริ่มแสดงในช่วงก่อนได้รับยาเคมีบำบัดรอบถัดไป; ยาที่มีบทบาทหลักคือยากลุ่ม Benzodiazepines เช่น Lorazepam</t>
        </is>
      </c>
      <c r="H187" s="34" t="inlineStr">
        <is>
          <t>อาการเริ่มแสดงทันทีหลังถอดสายน้ำเกลือเคมีบำบัด; ยาที่มีบทบาทหลักคือยาลดกรดชนิดน้ำ Antacid</t>
        </is>
      </c>
      <c r="I187" s="35" t="n">
        <v>2</v>
      </c>
      <c r="J187" s="34"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7" s="45" t="n"/>
      <c r="L187" s="35" t="inlineStr">
        <is>
          <t>Nausea &amp; Vomiting</t>
        </is>
      </c>
      <c r="M187" s="35" t="inlineStr">
        <is>
          <t>Clinic</t>
        </is>
      </c>
      <c r="N187" s="34" t="inlineStr">
        <is>
          <t>Mock RxCU84 GI (Case 6 Q6.3)</t>
        </is>
      </c>
    </row>
    <row r="188" ht="64.95" customHeight="1" s="49">
      <c r="A188" s="35" t="n">
        <v>186</v>
      </c>
      <c r="B188" s="34"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8" s="45" t="n"/>
      <c r="D188" s="34"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8" s="34" t="inlineStr">
        <is>
          <t>ผู้สูงอายุไม่มีความเสี่ยงพิเศษใดๆ เพิ่มเติมจากการใช้ยาในกลุ่ม D2 antagonist</t>
        </is>
      </c>
      <c r="F188" s="34" t="inlineStr">
        <is>
          <t>ควรเพิ่มขนาด Metoclopramide เป็น 2 เท่าในผู้สูงอายุเพื่อผลการรักษาที่ดีขึ้น</t>
        </is>
      </c>
      <c r="G188" s="34" t="inlineStr">
        <is>
          <t>Metoclopramide มีความปลอดภัยในผู้สูงอายุมากกว่าเมื่อเปรียบเทียบกับผู้ป่วยอายุน้อย</t>
        </is>
      </c>
      <c r="H188" s="34" t="inlineStr">
        <is>
          <t>ไม่จำเป็นต้องคำนึงถึงการทำงานของไตในการบริหารยา Metoclopramide ในผู้สูงอายุ</t>
        </is>
      </c>
      <c r="I188" s="35" t="n">
        <v>1</v>
      </c>
      <c r="J188" s="34"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8" s="45" t="n"/>
      <c r="L188" s="35" t="inlineStr">
        <is>
          <t>Nausea &amp; Vomiting</t>
        </is>
      </c>
      <c r="M188" s="35" t="inlineStr">
        <is>
          <t>Clinic</t>
        </is>
      </c>
      <c r="N188" s="34" t="inlineStr">
        <is>
          <t>Mock RxCU84 GI (Case 6 Q6.4)</t>
        </is>
      </c>
    </row>
    <row r="189" ht="64.95" customHeight="1" s="49">
      <c r="A189" s="35" t="n">
        <v>187</v>
      </c>
      <c r="B189" s="34"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9" s="45" t="n"/>
      <c r="D189" s="34" t="inlineStr">
        <is>
          <t>เป็น Acute emesis แนะนำให้เพิ่มขนาดของยา 5-HT3 antagonist</t>
        </is>
      </c>
      <c r="E189" s="34" t="inlineStr">
        <is>
          <t>เป็น Delayed emesis แนะนำให้เพิ่มขนาดของยา NK1 antagonist</t>
        </is>
      </c>
      <c r="F189" s="34" t="inlineStr">
        <is>
          <t>เป็น Anticipatory emesis ซึ่งเกิดจาก Classical conditioning แนะนำให้ใช้ยาในกลุ่ม Benzodiazepines (เช่น Lorazepam)</t>
        </is>
      </c>
      <c r="G189" s="34" t="inlineStr">
        <is>
          <t>เป็นผลจาก Motion sickness ระหว่างการเดินทางมาโรงพยาบาล แนะนำให้ยา Dimenhydrinate</t>
        </is>
      </c>
      <c r="H189" s="34" t="inlineStr">
        <is>
          <t>ไม่ต้องให้การรักษาใดๆ เนื่องจากเป็นอาการทางจิตใจที่ไม่เกี่ยวข้องกับเภสัชวิทยา</t>
        </is>
      </c>
      <c r="I189" s="35" t="n">
        <v>3</v>
      </c>
      <c r="J189" s="34"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9" s="45" t="n"/>
      <c r="L189" s="35" t="inlineStr">
        <is>
          <t>Nausea &amp; Vomiting</t>
        </is>
      </c>
      <c r="M189" s="35" t="inlineStr">
        <is>
          <t>Clinic</t>
        </is>
      </c>
      <c r="N189" s="34" t="inlineStr">
        <is>
          <t>Mock RxCU84 GI (Case 6 Q6.5)</t>
        </is>
      </c>
    </row>
    <row r="190" ht="64.95" customHeight="1" s="49">
      <c r="A190" s="35" t="n">
        <v>188</v>
      </c>
      <c r="B190" s="34"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90" s="45" t="n"/>
      <c r="D190" s="34" t="inlineStr">
        <is>
          <t>Grade I</t>
        </is>
      </c>
      <c r="E190" s="34" t="inlineStr">
        <is>
          <t>Grade II</t>
        </is>
      </c>
      <c r="F190" s="34" t="inlineStr">
        <is>
          <t>Grade III</t>
        </is>
      </c>
      <c r="G190" s="34" t="inlineStr">
        <is>
          <t>Grade IV</t>
        </is>
      </c>
      <c r="H190" s="34" t="inlineStr">
        <is>
          <t>External hemorrhoid (ไม่จัดอยู่ในระบบ Grade I-IV)</t>
        </is>
      </c>
      <c r="I190" s="35" t="n">
        <v>3</v>
      </c>
      <c r="J190" s="34"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90" s="45" t="n"/>
      <c r="L190" s="35" t="inlineStr">
        <is>
          <t>Hemorrhoids</t>
        </is>
      </c>
      <c r="M190" s="35" t="inlineStr">
        <is>
          <t>Clinic</t>
        </is>
      </c>
      <c r="N190" s="34" t="inlineStr">
        <is>
          <t>Mock RxCU84 GI (Case 7 Q7.1)</t>
        </is>
      </c>
    </row>
    <row r="191" ht="64.95" customHeight="1" s="49">
      <c r="A191" s="35" t="n">
        <v>189</v>
      </c>
      <c r="B191" s="34"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91" s="45" t="n"/>
      <c r="D191" s="34" t="inlineStr">
        <is>
          <t>ส่งต่อทำ Colonoscopy ทันทีทุกกรณีเนื่องจากพบอาการเลือดออกทางทวารหนัก</t>
        </is>
      </c>
      <c r="E191" s="34"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91" s="34" t="inlineStr">
        <is>
          <t>จ่ายยาปฏิชีวนะชนิดรับประทานเพื่อป้องกันการติดเชื้อในกระแสเลือด</t>
        </is>
      </c>
      <c r="G191" s="34" t="inlineStr">
        <is>
          <t>แนะนำให้ผู้ป่วยเข้ารับการผ่าตัดริดสีดวงทวารทันทีโดยไม่ต้องปรับพฤติกรรม</t>
        </is>
      </c>
      <c r="H191" s="34" t="inlineStr">
        <is>
          <t>ให้ผู้ป่วยสังเกตอาการเองที่บ้านนาน 3 เดือนโดยไม่ต้องให้คำแนะนำเตือนใดๆ</t>
        </is>
      </c>
      <c r="I191" s="35" t="n">
        <v>2</v>
      </c>
      <c r="J191" s="34"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91" s="45" t="n"/>
      <c r="L191" s="35" t="inlineStr">
        <is>
          <t>Hemorrhoids</t>
        </is>
      </c>
      <c r="M191" s="35" t="inlineStr">
        <is>
          <t>Clinic</t>
        </is>
      </c>
      <c r="N191" s="34" t="inlineStr">
        <is>
          <t>Mock RxCU84 GI (Case 7 Q7.2)</t>
        </is>
      </c>
    </row>
    <row r="192" ht="64.95" customHeight="1" s="49">
      <c r="A192" s="35" t="n">
        <v>190</v>
      </c>
      <c r="B192" s="34"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92" s="45" t="n"/>
      <c r="D192" s="34" t="inlineStr">
        <is>
          <t>การรัดยางหัวริดสีดวง (Rubber band ligation)</t>
        </is>
      </c>
      <c r="E192" s="34" t="inlineStr">
        <is>
          <t>การใช้ยาเหน็บทวารหนักสูตรผสม Hydrocortisone + Lidocaine suppository</t>
        </is>
      </c>
      <c r="F192" s="34" t="inlineStr">
        <is>
          <t>การปรับเปลี่ยนอาหารและพฤติกรรม (Dietary &amp; behavioral modification: เพิ่มใยอาหาร ดื่มน้ำเพียงพอ และปรับสุขอนามัยการขับถ่าย)</t>
        </is>
      </c>
      <c r="G192" s="34" t="inlineStr">
        <is>
          <t>การผ่าตัดริดสีดวงทวาร (Hemorrhoidectomy)</t>
        </is>
      </c>
      <c r="H192" s="34" t="inlineStr">
        <is>
          <t>การจ่ายยาปฏิชีวนะชนิดรับประทานเพื่อป้องกันการติดเชื้อ</t>
        </is>
      </c>
      <c r="I192" s="35" t="n">
        <v>3</v>
      </c>
      <c r="J192" s="34"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92" s="45" t="n"/>
      <c r="L192" s="35" t="inlineStr">
        <is>
          <t>Hemorrhoids</t>
        </is>
      </c>
      <c r="M192" s="35" t="inlineStr">
        <is>
          <t>Clinic</t>
        </is>
      </c>
      <c r="N192" s="34" t="inlineStr">
        <is>
          <t>Mock RxCU84 GI (Case 7 Q7.3)</t>
        </is>
      </c>
    </row>
    <row r="193" ht="64.95" customHeight="1" s="49">
      <c r="A193" s="35" t="n">
        <v>191</v>
      </c>
      <c r="B193" s="34"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93" s="45" t="n"/>
      <c r="D193" s="34" t="inlineStr">
        <is>
          <t>Senna + แนะนำให้ใช้เฉพาะเวลาปวดท้องถ่าย</t>
        </is>
      </c>
      <c r="E193" s="34" t="inlineStr">
        <is>
          <t>Psyllium (Bulk-forming laxative) + แนะนำให้ดื่มน้ำตามมากๆ ให้เพียงพอ และรับประทานต่อเนื่องอย่างน้อย 6 สัปดาห์</t>
        </is>
      </c>
      <c r="F193" s="34" t="inlineStr">
        <is>
          <t>Bisacodyl + แนะนำให้รับประทานก่อนนอนทุกคืนอย่างถาวร</t>
        </is>
      </c>
      <c r="G193" s="34" t="inlineStr">
        <is>
          <t>Glycerin suppository + แนะนำให้สวนทวารทุกเช้าเป็นประจำ</t>
        </is>
      </c>
      <c r="H193" s="34" t="inlineStr">
        <is>
          <t>Lactulose + แนะนำให้รับประทานเฉพาะเมื่อมีอาการปวดทวารหนักเท่านั้น</t>
        </is>
      </c>
      <c r="I193" s="35" t="n">
        <v>2</v>
      </c>
      <c r="J193" s="34"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93" s="45" t="n"/>
      <c r="L193" s="35" t="inlineStr">
        <is>
          <t>Hemorrhoids</t>
        </is>
      </c>
      <c r="M193" s="35" t="inlineStr">
        <is>
          <t>Clinic</t>
        </is>
      </c>
      <c r="N193" s="34" t="inlineStr">
        <is>
          <t>Mock RxCU84 GI (Case 7 Q7.4)</t>
        </is>
      </c>
    </row>
    <row r="194" ht="64.95" customHeight="1" s="49">
      <c r="A194" s="35" t="n">
        <v>192</v>
      </c>
      <c r="B194" s="34"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94" s="45" t="n"/>
      <c r="D194" s="34" t="inlineStr">
        <is>
          <t>1 เม็ด วันละครั้ง รับประทานต่อเนื่อง</t>
        </is>
      </c>
      <c r="E194" s="34" t="inlineStr">
        <is>
          <t>2 เม็ด วันละครั้ง ตลอดไป</t>
        </is>
      </c>
      <c r="F194" s="34" t="inlineStr">
        <is>
          <t>6 เม็ดต่อวัน (ครั้งละ 2 เม็ด วันละ 3 ครั้ง) นาน 4 วัน ตามด้วย 4 เม็ดต่อวัน (ครั้งละ 2 เม็ด วันละ 2 ครั้ง) อีก 3 วัน</t>
        </is>
      </c>
      <c r="G194" s="34" t="inlineStr">
        <is>
          <t>2 เม็ด วันละ 3 ครั้ง ต่อเนื่องกันนาน 14 วัน</t>
        </is>
      </c>
      <c r="H194" s="34" t="inlineStr">
        <is>
          <t>3 เม็ดต่อวัน นาน 7 วัน แล้วหยุดยาทันที</t>
        </is>
      </c>
      <c r="I194" s="35" t="n">
        <v>3</v>
      </c>
      <c r="J194" s="34"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94" s="45" t="n"/>
      <c r="L194" s="35" t="inlineStr">
        <is>
          <t>Hemorrhoids</t>
        </is>
      </c>
      <c r="M194" s="35" t="inlineStr">
        <is>
          <t>Clinic</t>
        </is>
      </c>
      <c r="N194" s="34" t="inlineStr">
        <is>
          <t>Mock RxCU84 GI (Case 7 Q7.5)</t>
        </is>
      </c>
    </row>
    <row r="195" ht="64.95" customHeight="1" s="49">
      <c r="A195" s="35" t="n">
        <v>193</v>
      </c>
      <c r="B195" s="34"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95" s="45" t="n"/>
      <c r="D195" s="34" t="inlineStr">
        <is>
          <t>สามารถรักษาริดสีดวงทวารให้หายขาดและป้องกันการกลับเป็นซ้ำได้อย่างถาวร</t>
        </is>
      </c>
      <c r="E195" s="34"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95" s="34" t="inlineStr">
        <is>
          <t>สามารถใช้ทดแทนการปรับเปลี่ยนอาหารและสุขอนามัยได้ เนื่องจากเป็น First-line therapy</t>
        </is>
      </c>
      <c r="G195" s="34" t="inlineStr">
        <is>
          <t>ยิ่งใช้ติดต่อกันเป็นเวลานานยิ่งมีประสิทธิภาพดี และไม่มีผลข้างเคียงใดๆ</t>
        </is>
      </c>
      <c r="H195" s="34" t="inlineStr">
        <is>
          <t>มีข้อบ่งใช้เฉพาะเมื่อพบหลักฐานการติดเชื้อแบคทีเรียที่บริเวณทวารหนักเท่านั้น</t>
        </is>
      </c>
      <c r="I195" s="35" t="n">
        <v>2</v>
      </c>
      <c r="J195" s="34"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95" s="45" t="n"/>
      <c r="L195" s="35" t="inlineStr">
        <is>
          <t>Hemorrhoids</t>
        </is>
      </c>
      <c r="M195" s="35" t="inlineStr">
        <is>
          <t>Clinic</t>
        </is>
      </c>
      <c r="N195" s="34" t="inlineStr">
        <is>
          <t>Mock RxCU84 GI (Case 7 Q7.6)</t>
        </is>
      </c>
    </row>
    <row r="196" ht="64.95" customHeight="1" s="49">
      <c r="A196" s="35" t="n">
        <v>194</v>
      </c>
      <c r="B196" s="34"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6" s="45" t="n"/>
      <c r="D196" s="34" t="inlineStr">
        <is>
          <t>Ibuprofen ปลอดภัยและเหมาะสมที่สุด / ควรหลีกเลี่ยง Paracetamol</t>
        </is>
      </c>
      <c r="E196" s="34" t="inlineStr">
        <is>
          <t>Paracetamol ปลอดภัยและเหมาะสมที่สุด / ควรหลีกเลี่ยง NSAIDs (เช่น Ibuprofen, Diclofenac) และ Aspirin</t>
        </is>
      </c>
      <c r="F196" s="34" t="inlineStr">
        <is>
          <t>Aspirin ปลอดภัยและเหมาะสมที่สุด / ควรหลีกเลี่ยง Psyllium husk</t>
        </is>
      </c>
      <c r="G196" s="34" t="inlineStr">
        <is>
          <t>Naproxen ปลอดภัยและเหมาะสมที่สุด / ควรหลีกเลี่ยงการแช่น้ำอุ่น (Sitz bath)</t>
        </is>
      </c>
      <c r="H196" s="34" t="inlineStr">
        <is>
          <t>Tramadol เป็นทางเลือกแรกที่เหมาะสม / ควรหลีกเลี่ยง Paracetamol</t>
        </is>
      </c>
      <c r="I196" s="35" t="n">
        <v>2</v>
      </c>
      <c r="J196" s="34"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6" s="45" t="n"/>
      <c r="L196" s="35" t="inlineStr">
        <is>
          <t>Hemorrhoids</t>
        </is>
      </c>
      <c r="M196" s="35" t="inlineStr">
        <is>
          <t>Clinic</t>
        </is>
      </c>
      <c r="N196" s="34" t="inlineStr">
        <is>
          <t>Mock RxCU84 GI (Case 7 Q7.7)</t>
        </is>
      </c>
    </row>
    <row r="197" ht="13.2" customHeight="1" s="49">
      <c r="A197" t="n">
        <v>195</v>
      </c>
      <c r="B197" t="inlineStr">
        <is>
          <t>ข้อใดคืออาการข้างเคียงของ aluminium hydroxide ที่พบบ่อยที่สุด  , itsainascionsite,dzistmngneis e - =</t>
        </is>
      </c>
      <c r="D197" t="inlineStr">
        <is>
          <t>Constipation</t>
        </is>
      </c>
      <c r="E197" t="inlineStr">
        <is>
          <t>Steatorrhea</t>
        </is>
      </c>
      <c r="F197" t="inlineStr">
        <is>
          <t>Folate deficiency anemia</t>
        </is>
      </c>
      <c r="G197" t="inlineStr">
        <is>
          <t>Metabolic acidosis</t>
        </is>
      </c>
      <c r="H197" t="inlineStr">
        <is>
          <t>Urinary tract infection</t>
        </is>
      </c>
      <c r="I197" t="inlineStr">
        <is>
          <t>1</t>
        </is>
      </c>
      <c r="J197"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97" t="inlineStr">
        <is>
          <t>Hypertension</t>
        </is>
      </c>
      <c r="M197" t="inlineStr">
        <is>
          <t>Clinic</t>
        </is>
      </c>
      <c r="N197" t="inlineStr">
        <is>
          <t>ข้อ 90 (PLE_CC1_2562_Key.md)</t>
        </is>
      </c>
    </row>
    <row r="198" ht="13.2" customHeight="1" s="49">
      <c r="A198" t="n">
        <v>196</v>
      </c>
      <c r="B198" t="inlineStr">
        <is>
          <t>คำแนะนำในการใช้ยาเหน็บทวารข้อใดไม่ถูกต้อง</t>
        </is>
      </c>
      <c r="D198" t="inlineStr">
        <is>
          <t>เก็บยาในช่องแช่เย็นก่อนแกะยาออกจากห่อ</t>
        </is>
      </c>
      <c r="E198" t="inlineStr">
        <is>
          <t>นอนตะแคงโดยให้ขาล่างเหยียดตรงและงอขาบนจนหัวเข่าชิดหน้าอกให้มากที่สุด</t>
        </is>
      </c>
      <c r="F198" t="inlineStr">
        <is>
          <t>สอดยาเหน็บเข้าไปในทวารหนัก โดยเอาด้านที่มีปลายแหลมเข้าไปก่อน</t>
        </is>
      </c>
      <c r="G198" t="inlineStr">
        <is>
          <t>นอนในท่าเดิมสักครู่หนึ่งประมาณ 5 นาที เพื่อให้แท่งยาละลายและออกฤทธิ์</t>
        </is>
      </c>
      <c r="H198" t="inlineStr">
        <is>
          <t>มีข้อผิดมากกว่า 1 ข้อ</t>
        </is>
      </c>
      <c r="I198" t="inlineStr">
        <is>
          <t>1</t>
        </is>
      </c>
      <c r="J198"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 เก็บในห่อในตู้เย็น → ก่อนใช้ค่อยแกะ → นอนตะแคง → ปลายแหลมเข้าก่อน → นอนต่อ 5 นาที</t>
        </is>
      </c>
      <c r="L198" t="inlineStr">
        <is>
          <t>Hypertension</t>
        </is>
      </c>
      <c r="M198" t="inlineStr">
        <is>
          <t>Clinic</t>
        </is>
      </c>
      <c r="N198" t="inlineStr">
        <is>
          <t>ข้อ 3 (PLE_CC1_Practice_Exam.md)</t>
        </is>
      </c>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Q105"/>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35" t="n"/>
      <c r="D3" s="34" t="inlineStr">
        <is>
          <t>Hypochromic microcytic anemia</t>
        </is>
      </c>
      <c r="E3" s="34" t="inlineStr">
        <is>
          <t>Hypochromic normocytic anemia</t>
        </is>
      </c>
      <c r="F3" s="34" t="inlineStr">
        <is>
          <t>Normochromic normocytic anemia</t>
        </is>
      </c>
      <c r="G3" s="34" t="inlineStr">
        <is>
          <t>Normochromic macrocytic anemia</t>
        </is>
      </c>
      <c r="H3" s="34" t="inlineStr">
        <is>
          <t>Hyperchromic macrocytic anemia</t>
        </is>
      </c>
      <c r="I3" s="33" t="inlineStr">
        <is>
          <t>3</t>
        </is>
      </c>
      <c r="J3" s="34"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แนวทางการวินิจฉัยและรักษาภาวะโลหิตจาง พ.ศ. 2564 (สมาคมโลหิตวิทยาแห่งประเทศไทย)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35" t="n"/>
      <c r="L3" s="34" t="inlineStr">
        <is>
          <t>Anemia</t>
        </is>
      </c>
      <c r="M3" s="35" t="inlineStr">
        <is>
          <t>Clinic</t>
        </is>
      </c>
      <c r="N3" s="34" t="inlineStr">
        <is>
          <t>ข้อ 1 Pharma Plus เล่มม่วง (เฉลยข้อ ค)</t>
        </is>
      </c>
      <c r="O3" s="35" t="inlineStr">
        <is>
          <t>Mock</t>
        </is>
      </c>
      <c r="P3" s="35" t="inlineStr">
        <is>
          <t>Pharma Plus เล่มม่วง</t>
        </is>
      </c>
    </row>
    <row r="4" ht="13.2" customHeight="1" s="49">
      <c r="A4" s="33" t="n">
        <v>2</v>
      </c>
      <c r="B4" s="34" t="inlineStr">
        <is>
          <t>Specific antidote ในผู้ป่วยที่มีภาวะเหล็กเกินคือข้อใด</t>
        </is>
      </c>
      <c r="C4" s="35" t="n"/>
      <c r="D4" s="34" t="inlineStr">
        <is>
          <t>Vitamin C 500 mg OD</t>
        </is>
      </c>
      <c r="E4" s="34" t="inlineStr">
        <is>
          <t>Pyridoxine 50 mg OD</t>
        </is>
      </c>
      <c r="F4" s="34" t="inlineStr">
        <is>
          <t>Hydroxyurea 500 mg OD</t>
        </is>
      </c>
      <c r="G4" s="34" t="inlineStr">
        <is>
          <t>Blood transfusion (Packed Red Cells)</t>
        </is>
      </c>
      <c r="H4" s="34" t="inlineStr">
        <is>
          <t>Ferrous fumarate 200 mg TID</t>
        </is>
      </c>
      <c r="I4" s="33" t="inlineStr">
        <is>
          <t>4</t>
        </is>
      </c>
      <c r="J4" s="34"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35" t="n"/>
      <c r="L4" s="34" t="inlineStr">
        <is>
          <t>Anemia</t>
        </is>
      </c>
      <c r="M4" s="35" t="inlineStr">
        <is>
          <t>Clinic</t>
        </is>
      </c>
      <c r="N4" s="34" t="inlineStr">
        <is>
          <t>ข้อ 2 Pharma Plus เล่มม่วง (เฉลยข้อ ง)</t>
        </is>
      </c>
      <c r="O4" s="35" t="inlineStr">
        <is>
          <t>Mock</t>
        </is>
      </c>
      <c r="P4" s="35" t="inlineStr">
        <is>
          <t>Pharma Plus เล่มม่วง</t>
        </is>
      </c>
    </row>
    <row r="5" ht="13.2" customHeight="1" s="49">
      <c r="A5" s="33" t="n">
        <v>3</v>
      </c>
      <c r="B5" s="34" t="inlineStr">
        <is>
          <t>สารพฤกษเคมีกลุ่มใดที่มีผลรบกวนการดูดซึมธาตุเหล็ก</t>
        </is>
      </c>
      <c r="C5" s="35" t="n"/>
      <c r="D5" s="34" t="inlineStr">
        <is>
          <t>Alkaloids</t>
        </is>
      </c>
      <c r="E5" s="34" t="inlineStr">
        <is>
          <t>Anthraquinones</t>
        </is>
      </c>
      <c r="F5" s="34" t="inlineStr">
        <is>
          <t>Quinolines</t>
        </is>
      </c>
      <c r="G5" s="34" t="inlineStr">
        <is>
          <t>Flavonoids</t>
        </is>
      </c>
      <c r="H5" s="34" t="inlineStr">
        <is>
          <t>Tannins</t>
        </is>
      </c>
      <c r="I5" s="33" t="inlineStr">
        <is>
          <t>5</t>
        </is>
      </c>
      <c r="J5" s="34"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35" t="n"/>
      <c r="L5" s="34" t="inlineStr">
        <is>
          <t>Anemia</t>
        </is>
      </c>
      <c r="M5" s="35" t="inlineStr">
        <is>
          <t>Clinic</t>
        </is>
      </c>
      <c r="N5" s="34" t="inlineStr">
        <is>
          <t>ข้อ 3 Pharma Plus เล่มม่วง (เฉลยข้อ จ)</t>
        </is>
      </c>
      <c r="O5" s="35" t="inlineStr">
        <is>
          <t>Mock</t>
        </is>
      </c>
      <c r="P5" s="35" t="inlineStr">
        <is>
          <t>Pharma Plus เล่มม่วง</t>
        </is>
      </c>
    </row>
    <row r="6" ht="13.2" customHeight="1" s="49">
      <c r="A6" s="33" t="n">
        <v>4</v>
      </c>
      <c r="B6" s="34"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35" t="n"/>
      <c r="D6" s="34" t="inlineStr">
        <is>
          <t>จ่ายยา folic acid</t>
        </is>
      </c>
      <c r="E6" s="34" t="inlineStr">
        <is>
          <t>จ่ายยา vitamin B 12</t>
        </is>
      </c>
      <c r="F6" s="34" t="inlineStr">
        <is>
          <t>จ่ายยา ferrous gluconate</t>
        </is>
      </c>
      <c r="G6" s="34" t="inlineStr">
        <is>
          <t>แนะนำให้พาผู้ป่วยไปโรงพยาบาลทันที</t>
        </is>
      </c>
      <c r="H6" s="34" t="inlineStr">
        <is>
          <t>จ่ายยา ferrous sulfate และ folic acid</t>
        </is>
      </c>
      <c r="I6" s="33" t="inlineStr">
        <is>
          <t>4</t>
        </is>
      </c>
      <c r="J6" s="34"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35" t="n"/>
      <c r="L6" s="34" t="inlineStr">
        <is>
          <t>Anemia</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ในกรณีหากพ่อเด็กตัดสินใจนำผู้ป่วยไปตรวจที่รพ. พบว่าเป็น G6PD อาการซีดในผู้ป่วยจัดเป็นแบบใด</t>
        </is>
      </c>
      <c r="C7" s="35" t="n"/>
      <c r="D7" s="34" t="inlineStr">
        <is>
          <t>Aplastic anemia</t>
        </is>
      </c>
      <c r="E7" s="34" t="inlineStr">
        <is>
          <t>Hemolytic anemia</t>
        </is>
      </c>
      <c r="F7" s="34" t="inlineStr">
        <is>
          <t>Pernicious anemia</t>
        </is>
      </c>
      <c r="G7" s="34" t="inlineStr">
        <is>
          <t>Chronic renal failure</t>
        </is>
      </c>
      <c r="H7" s="34" t="inlineStr">
        <is>
          <t>Iron deficiency failure</t>
        </is>
      </c>
      <c r="I7" s="33" t="inlineStr">
        <is>
          <t>2</t>
        </is>
      </c>
      <c r="J7" s="34"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35" t="n"/>
      <c r="L7" s="34" t="inlineStr">
        <is>
          <t>Anemia</t>
        </is>
      </c>
      <c r="M7" s="35" t="inlineStr">
        <is>
          <t>Clinic</t>
        </is>
      </c>
      <c r="N7" s="34" t="inlineStr">
        <is>
          <t>ข้อ 5 Pharma Plus เล่มม่วง (เฉลยข้อ ข)</t>
        </is>
      </c>
      <c r="O7" s="35" t="inlineStr">
        <is>
          <t>Mock</t>
        </is>
      </c>
      <c r="P7" s="35" t="inlineStr">
        <is>
          <t>Pharma Plus เล่มม่วง</t>
        </is>
      </c>
    </row>
    <row r="8" ht="13.2" customHeight="1" s="49">
      <c r="A8" s="33" t="n">
        <v>6</v>
      </c>
      <c r="B8" s="34" t="inlineStr">
        <is>
          <t>ข้อใดควรใช้ในการรักษาผู้ป่วยรายนี้ในโรงพยาบาล</t>
        </is>
      </c>
      <c r="C8" s="35" t="n"/>
      <c r="D8" s="34" t="inlineStr">
        <is>
          <t>Platelet</t>
        </is>
      </c>
      <c r="E8" s="34" t="inlineStr">
        <is>
          <t>Folic acid</t>
        </is>
      </c>
      <c r="F8" s="34" t="inlineStr">
        <is>
          <t>Vitamin B12</t>
        </is>
      </c>
      <c r="G8" s="34" t="inlineStr">
        <is>
          <t>Ferrous sulfate</t>
        </is>
      </c>
      <c r="H8" s="34" t="inlineStr">
        <is>
          <t>Packed red cell</t>
        </is>
      </c>
      <c r="I8" s="33" t="inlineStr">
        <is>
          <t>5</t>
        </is>
      </c>
      <c r="J8" s="34"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35" t="n"/>
      <c r="L8" s="34" t="inlineStr">
        <is>
          <t>Anemia</t>
        </is>
      </c>
      <c r="M8" s="35" t="inlineStr">
        <is>
          <t>Clinic</t>
        </is>
      </c>
      <c r="N8" s="34" t="inlineStr">
        <is>
          <t>ข้อ 6 Pharma Plus เล่มม่วง (เฉลยข้อ จ)</t>
        </is>
      </c>
      <c r="O8" s="35" t="inlineStr">
        <is>
          <t>Mock</t>
        </is>
      </c>
      <c r="P8" s="35" t="inlineStr">
        <is>
          <t>Pharma Plus เล่มม่วง</t>
        </is>
      </c>
    </row>
    <row r="9" ht="13.2" customHeight="1" s="49">
      <c r="A9" s="33" t="n">
        <v>7</v>
      </c>
      <c r="B9" s="34" t="inlineStr">
        <is>
          <t>ปัจจัยใดที่น่าจะเป็นสาเหตุทำให้เกิดอาการซีดในคนไข้</t>
        </is>
      </c>
      <c r="C9" s="35" t="n"/>
      <c r="D9" s="34" t="inlineStr">
        <is>
          <t>Aspirin</t>
        </is>
      </c>
      <c r="E9" s="34" t="inlineStr">
        <is>
          <t>Vitamin C</t>
        </is>
      </c>
      <c r="F9" s="34" t="inlineStr">
        <is>
          <t>Amoxicillin</t>
        </is>
      </c>
      <c r="G9" s="34" t="inlineStr">
        <is>
          <t>Amitriptyline</t>
        </is>
      </c>
      <c r="H9" s="34" t="inlineStr">
        <is>
          <t>กินแต่เนื้อสัตว์ ไม่ชอบกินผัก</t>
        </is>
      </c>
      <c r="I9" s="33" t="inlineStr">
        <is>
          <t>1</t>
        </is>
      </c>
      <c r="J9" s="34"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35" t="n"/>
      <c r="L9" s="34" t="inlineStr">
        <is>
          <t>Anemia</t>
        </is>
      </c>
      <c r="M9" s="35" t="inlineStr">
        <is>
          <t>Clinic</t>
        </is>
      </c>
      <c r="N9" s="34" t="inlineStr">
        <is>
          <t>ข้อ 7 Pharma Plus เล่มม่วง (เฉลยข้อ ก)</t>
        </is>
      </c>
      <c r="O9" s="35" t="inlineStr">
        <is>
          <t>Mock</t>
        </is>
      </c>
      <c r="P9" s="35" t="inlineStr">
        <is>
          <t>Pharma Plus เล่มม่วง</t>
        </is>
      </c>
    </row>
    <row r="10" ht="13.2" customHeight="1" s="49">
      <c r="A10" s="33" t="n">
        <v>8</v>
      </c>
      <c r="B10" s="34" t="inlineStr">
        <is>
          <t>เมื่อเด็กชายคนนี้โตขึ้นและจะแต่งงานข้อใดถูก</t>
        </is>
      </c>
      <c r="C10" s="35" t="n"/>
      <c r="D10" s="34" t="inlineStr">
        <is>
          <t>แต่งงานกันได้แต่ไม่ควรมีลูก เพราะสามารถถ่ายทอดทางพันธุกรรมได้</t>
        </is>
      </c>
      <c r="E10" s="34" t="inlineStr">
        <is>
          <t>แต่งงานกันได้ และหากตั้งครรภ์เป็นลูกชายให้ทำแท้ง แต่ถ้าเป็นหญิงไม่เป็นไร</t>
        </is>
      </c>
      <c r="F10" s="34" t="inlineStr">
        <is>
          <t>แต่งงานกันได้ และหากตั้งครรภ์เป็นลูกผู้หญิงให้ทำแท้ง แต่ถ้าชายเป็นไม่เป็นไร</t>
        </is>
      </c>
      <c r="G10" s="34" t="inlineStr">
        <is>
          <t>ทุกคนเป็นโรคนี้เท่ากัน ไม่ว่าชายหรือหญิง</t>
        </is>
      </c>
      <c r="H10" s="34" t="inlineStr">
        <is>
          <t>แต่งไม่ได้ จะทำให้ไม่มีคุณภาพชีวิตมีความสุขไปตลอดชีวิต เป็นการทำบาป</t>
        </is>
      </c>
      <c r="I10" s="33" t="inlineStr">
        <is>
          <t>1</t>
        </is>
      </c>
      <c r="J10" s="34"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35" t="n"/>
      <c r="L10" s="34" t="inlineStr">
        <is>
          <t>Anemia</t>
        </is>
      </c>
      <c r="M10" s="35" t="inlineStr">
        <is>
          <t>Clinic</t>
        </is>
      </c>
      <c r="N10" s="34" t="inlineStr">
        <is>
          <t>ข้อ 8 Pharma Plus เล่มม่วง (เฉลยข้อ ก)</t>
        </is>
      </c>
      <c r="O10" s="35" t="inlineStr">
        <is>
          <t>Mock</t>
        </is>
      </c>
      <c r="P10" s="35" t="inlineStr">
        <is>
          <t>Pharma Plus เล่มม่วง</t>
        </is>
      </c>
    </row>
    <row r="11" ht="13.2" customHeight="1" s="49">
      <c r="A11" s="33" t="n">
        <v>9</v>
      </c>
      <c r="B11"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35" t="n"/>
      <c r="D11" s="34" t="inlineStr">
        <is>
          <t>เป็นผู้ชาย</t>
        </is>
      </c>
      <c r="E11" s="34" t="inlineStr">
        <is>
          <t>มีโปตาสเซียมสูง</t>
        </is>
      </c>
      <c r="F11" s="34" t="inlineStr">
        <is>
          <t>มีการติดเชื้อในทางเดินปัสสาวะ</t>
        </is>
      </c>
      <c r="G11" s="34" t="inlineStr">
        <is>
          <t>ได้รับยา co-trimoxazole</t>
        </is>
      </c>
      <c r="H11" s="34" t="inlineStr">
        <is>
          <t>ได้รับยา ranitidine</t>
        </is>
      </c>
      <c r="I11" s="33" t="inlineStr">
        <is>
          <t>5</t>
        </is>
      </c>
      <c r="J11" s="34"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35" t="n"/>
      <c r="L11" s="34" t="inlineStr">
        <is>
          <t>Anemia</t>
        </is>
      </c>
      <c r="M11" s="35" t="inlineStr">
        <is>
          <t>Clinic</t>
        </is>
      </c>
      <c r="N11" s="34" t="inlineStr">
        <is>
          <t>ข้อ 9 Pharma Plus เล่มม่วง (เฉลยข้อ จ)</t>
        </is>
      </c>
      <c r="O11" s="35" t="inlineStr">
        <is>
          <t>Mock</t>
        </is>
      </c>
      <c r="P11" s="35" t="inlineStr">
        <is>
          <t>Pharma Plus เล่มม่วง</t>
        </is>
      </c>
    </row>
    <row r="12" ht="13.2" customHeight="1" s="49">
      <c r="A12" s="33" t="n">
        <v>10</v>
      </c>
      <c r="B12" s="34"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35" t="n"/>
      <c r="D12" s="34" t="inlineStr">
        <is>
          <t>อาการเหนื่อยเพลีย</t>
        </is>
      </c>
      <c r="E12" s="34" t="inlineStr">
        <is>
          <t>ปัสสาวะมีสีคล้ำเหมือนสีน้ำปลา</t>
        </is>
      </c>
      <c r="F12" s="34" t="inlineStr">
        <is>
          <t>มีประวัติเป็นโรคกระเพาะอาหาร</t>
        </is>
      </c>
      <c r="G12" s="34" t="inlineStr">
        <is>
          <t>Hb 8 g/dL (normal; 12-16), Hct 22% (normal; 38-48)</t>
        </is>
      </c>
      <c r="H12" s="34" t="inlineStr">
        <is>
          <t>Total bilirubin 4 mg/L (normal; &lt;1)</t>
        </is>
      </c>
      <c r="I12" s="33" t="inlineStr">
        <is>
          <t>3</t>
        </is>
      </c>
      <c r="J12" s="34"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35" t="n"/>
      <c r="L12" s="34" t="inlineStr">
        <is>
          <t>Anemia</t>
        </is>
      </c>
      <c r="M12" s="35" t="inlineStr">
        <is>
          <t>Clinic</t>
        </is>
      </c>
      <c r="N12" s="34" t="inlineStr">
        <is>
          <t>ข้อ 10 Pharma Plus เล่มม่วง (เฉลยข้อ ค)</t>
        </is>
      </c>
      <c r="O12" s="35" t="inlineStr">
        <is>
          <t>Mock</t>
        </is>
      </c>
      <c r="P12" s="35" t="inlineStr">
        <is>
          <t>Pharma Plus เล่มม่วง</t>
        </is>
      </c>
    </row>
    <row r="13" ht="13.2" customHeight="1" s="49">
      <c r="A13" s="33" t="n">
        <v>11</v>
      </c>
      <c r="B13" s="34" t="inlineStr">
        <is>
          <t>ข้อใดไม่ถูกต้องในการเกิด G-6-PD Deficiency anemia</t>
        </is>
      </c>
      <c r="C13" s="35" t="n"/>
      <c r="D13" s="34" t="inlineStr">
        <is>
          <t>การติดเชื้อทำให้ร่างกายสร้างอนุมูลอิสระมากขึ้น</t>
        </is>
      </c>
      <c r="E13" s="34" t="inlineStr">
        <is>
          <t>มี oxidative stress สูงเนื่องจากมี H2O2 ภายในเซลล์</t>
        </is>
      </c>
      <c r="F13" s="34" t="inlineStr">
        <is>
          <t>H2O2 ทำให้เกิด Sulhydryl-hemoglobin ทำให้เม็ดเลือดแดงแตก</t>
        </is>
      </c>
      <c r="G13" s="34" t="inlineStr">
        <is>
          <t>ฮีโมโกลบินตกตะกอนในเม็ดเลือดแดง ทำให้ถูก macrophage ที่ม้ามจับกิน</t>
        </is>
      </c>
      <c r="H13" s="34" t="inlineStr">
        <is>
          <t>การขาดเอนไซม์ G-6-PD ทำให้ reduced glutathione เพิ่มขึ้น เกิดการแตกของเม็ดเลือดแดง</t>
        </is>
      </c>
      <c r="I13" s="33" t="inlineStr">
        <is>
          <t>3</t>
        </is>
      </c>
      <c r="J13" s="34"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35" t="n"/>
      <c r="L13" s="34" t="inlineStr">
        <is>
          <t>Anemia</t>
        </is>
      </c>
      <c r="M13" s="35" t="inlineStr">
        <is>
          <t>Clinic</t>
        </is>
      </c>
      <c r="N13" s="34" t="inlineStr">
        <is>
          <t>ข้อ 11 Pharma Plus เล่มม่วง (เฉลยข้อ ค)</t>
        </is>
      </c>
      <c r="O13" s="35" t="inlineStr">
        <is>
          <t>Mock</t>
        </is>
      </c>
      <c r="P13" s="35" t="inlineStr">
        <is>
          <t>Pharma Plus เล่มม่วง</t>
        </is>
      </c>
    </row>
    <row r="14" ht="13.2" customHeight="1" s="49">
      <c r="A14" s="33" t="n">
        <v>12</v>
      </c>
      <c r="B14" s="34" t="inlineStr">
        <is>
          <t>ยาในข้อใดทำให้เกิดภาวะเม็ดเลือดแดงแตกเฉียบพลันในผู้ป่วย G-6-PD deficiency anemia</t>
        </is>
      </c>
      <c r="C14" s="35" t="n"/>
      <c r="D14" s="34" t="inlineStr">
        <is>
          <t>Heparin</t>
        </is>
      </c>
      <c r="E14" s="34" t="inlineStr">
        <is>
          <t>Primaquine</t>
        </is>
      </c>
      <c r="F14" s="34" t="inlineStr">
        <is>
          <t>Cloxacillin</t>
        </is>
      </c>
      <c r="G14" s="34" t="inlineStr">
        <is>
          <t>Warfarin</t>
        </is>
      </c>
      <c r="H14" s="34" t="inlineStr">
        <is>
          <t>Penicillin</t>
        </is>
      </c>
      <c r="I14" s="33" t="inlineStr">
        <is>
          <t>2</t>
        </is>
      </c>
      <c r="J14" s="34"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35" t="n"/>
      <c r="L14" s="34" t="inlineStr">
        <is>
          <t>Anemia</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การรักษาภาวะ acute anemia ในข้อใดเหมาะสมกับผู้ป่วยรายนี้</t>
        </is>
      </c>
      <c r="C15" s="35" t="n"/>
      <c r="D15" s="34" t="inlineStr">
        <is>
          <t>ให้เลือด</t>
        </is>
      </c>
      <c r="E15" s="34" t="inlineStr">
        <is>
          <t>Ferrous sulfate</t>
        </is>
      </c>
      <c r="F15" s="34" t="inlineStr">
        <is>
          <t>Ferrous sulfate ร่วมกับ Folic acid</t>
        </is>
      </c>
      <c r="G15" s="34" t="inlineStr">
        <is>
          <t>Vitamin B12</t>
        </is>
      </c>
      <c r="H15" s="34" t="inlineStr">
        <is>
          <t>Erythropoietin</t>
        </is>
      </c>
      <c r="I15" s="33" t="inlineStr">
        <is>
          <t>1</t>
        </is>
      </c>
      <c r="J15" s="34"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35" t="n"/>
      <c r="L15" s="34" t="inlineStr">
        <is>
          <t>Anemia</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ข้อใดผิดเกี่ยวกับการให้คำแนะนำที่ควรให้แก่ผู้ป่วยรายนี้</t>
        </is>
      </c>
      <c r="C16" s="35" t="n"/>
      <c r="D16" s="34" t="inlineStr">
        <is>
          <t>หลีกเลี่ยงการใช้ยาที่ทำให้เกิดเม็ดเลือดแดงแตก</t>
        </is>
      </c>
      <c r="E16" s="34" t="inlineStr">
        <is>
          <t>การติดเชื้อทำให้เม็ดเลือดแดงแตกได้</t>
        </is>
      </c>
      <c r="F16" s="34" t="inlineStr">
        <is>
          <t>ให้สังเกตอาการเม็ดเลือดแดงแตก ถ้าเกิดอีกให้รีบมาพบแพทย์</t>
        </is>
      </c>
      <c r="G16" s="34" t="inlineStr">
        <is>
          <t>หยุดใช้ยา ranitidine เพราะเป็นสาเหตุเม็ดเลือดแดงแตก</t>
        </is>
      </c>
      <c r="H16" s="34" t="inlineStr">
        <is>
          <t>รับประทานอาหารที่มีธาตุเหล็กเพื่อเสริมสร้างเม็ดเลือด</t>
        </is>
      </c>
      <c r="I16" s="33" t="inlineStr">
        <is>
          <t>4</t>
        </is>
      </c>
      <c r="J16" s="34"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35" t="n"/>
      <c r="L16" s="34" t="inlineStr">
        <is>
          <t>Anemia</t>
        </is>
      </c>
      <c r="M16" s="35" t="inlineStr">
        <is>
          <t>Clinic</t>
        </is>
      </c>
      <c r="N16" s="34" t="inlineStr">
        <is>
          <t>ข้อ 14 Pharma Plus เล่มม่วง (เฉลยข้อ ง)</t>
        </is>
      </c>
      <c r="O16" s="35" t="inlineStr">
        <is>
          <t>Mock</t>
        </is>
      </c>
      <c r="P16" s="35" t="inlineStr">
        <is>
          <t>Pharma Plus เล่มม่วง</t>
        </is>
      </c>
    </row>
    <row r="17" ht="13.2" customHeight="1" s="49">
      <c r="A17" s="33" t="n">
        <v>15</v>
      </c>
      <c r="B17" s="34" t="inlineStr">
        <is>
          <t>ความเป็นพิษต่อระบบเลือดแบบใดที่ไม่มีสาเหตุจาก drug induce</t>
        </is>
      </c>
      <c r="C17" s="35" t="n"/>
      <c r="D17" s="34" t="inlineStr">
        <is>
          <t>Autoimmune-induced hemolysis</t>
        </is>
      </c>
      <c r="E17" s="34" t="inlineStr">
        <is>
          <t>Bone marrow suppression</t>
        </is>
      </c>
      <c r="F17" s="34" t="inlineStr">
        <is>
          <t>Methemoglobinemia</t>
        </is>
      </c>
      <c r="G17" s="34" t="inlineStr">
        <is>
          <t>Sickle cell anemia</t>
        </is>
      </c>
      <c r="H17" s="34" t="inlineStr">
        <is>
          <t>Hemolytic anemia</t>
        </is>
      </c>
      <c r="I17" s="33" t="inlineStr">
        <is>
          <t>4</t>
        </is>
      </c>
      <c r="J17" s="34"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35" t="n"/>
      <c r="L17" s="34" t="inlineStr">
        <is>
          <t>Anemia</t>
        </is>
      </c>
      <c r="M17" s="35" t="inlineStr">
        <is>
          <t>Clinic</t>
        </is>
      </c>
      <c r="N17" s="34" t="inlineStr">
        <is>
          <t>ข้อ 15 Pharma Plus เล่มม่วง (เฉลยข้อ ง)</t>
        </is>
      </c>
      <c r="O17" s="35" t="inlineStr">
        <is>
          <t>Mock</t>
        </is>
      </c>
      <c r="P17" s="35" t="inlineStr">
        <is>
          <t>Pharma Plus เล่มม่วง</t>
        </is>
      </c>
    </row>
    <row r="18" ht="13.2" customHeight="1" s="49">
      <c r="A18" s="33" t="n">
        <v>16</v>
      </c>
      <c r="B18" s="34" t="inlineStr">
        <is>
          <t>ยาต่อไปนี้ตัวใดทำให้อุจจาระเป็นสีดำ</t>
        </is>
      </c>
      <c r="C18" s="35" t="n"/>
      <c r="D18" s="34" t="inlineStr">
        <is>
          <t>Folic acid</t>
        </is>
      </c>
      <c r="E18" s="34" t="inlineStr">
        <is>
          <t>Vitamin B12</t>
        </is>
      </c>
      <c r="F18" s="34" t="inlineStr">
        <is>
          <t>Dapsone</t>
        </is>
      </c>
      <c r="G18" s="34" t="inlineStr">
        <is>
          <t>Erythropoietin</t>
        </is>
      </c>
      <c r="H18" s="34" t="inlineStr">
        <is>
          <t>Ferrous sulfate</t>
        </is>
      </c>
      <c r="I18" s="33" t="inlineStr">
        <is>
          <t>5</t>
        </is>
      </c>
      <c r="J18" s="34"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35" t="n"/>
      <c r="L18" s="34" t="inlineStr">
        <is>
          <t>Anemia</t>
        </is>
      </c>
      <c r="M18" s="35" t="inlineStr">
        <is>
          <t>Clinic</t>
        </is>
      </c>
      <c r="N18" s="34" t="inlineStr">
        <is>
          <t>ข้อ 16 Pharma Plus เล่มม่วง (เฉลยข้อ จ)</t>
        </is>
      </c>
      <c r="O18" s="35" t="inlineStr">
        <is>
          <t>Mock</t>
        </is>
      </c>
      <c r="P18" s="35" t="inlineStr">
        <is>
          <t>Pharma Plus เล่มม่วง</t>
        </is>
      </c>
    </row>
    <row r="19" ht="13.2" customHeight="1" s="49">
      <c r="A19" s="33" t="n">
        <v>17</v>
      </c>
      <c r="B19" s="34" t="inlineStr">
        <is>
          <t>จากข้อมูลข้างต้น ท่านต้องแนะนำการรับประทานยา ferrous sulfate ให้แก่ผู้ป่วยอย่างไร</t>
        </is>
      </c>
      <c r="C19" s="35" t="n"/>
      <c r="D19" s="34" t="inlineStr">
        <is>
          <t>ควรรับประทานร่วมกับนม เพื่อเพิ่มการดูดซึมของ ferrous</t>
        </is>
      </c>
      <c r="E19" s="34" t="inlineStr">
        <is>
          <t>ควรรับประทานขณะท้องว่างจะดีที่สุด เพื่อลดอาการคลื่นไส้ อาเจียนจากยา ferrous</t>
        </is>
      </c>
      <c r="F19" s="34" t="inlineStr">
        <is>
          <t>Ferrous มีผลรบกวนการดูดซึมของ ofloxacin จึงต้องกินยา ferrous sulfate ก่อนหรือหลังกินยา ofloxacin 2 ชั่วโมง</t>
        </is>
      </c>
      <c r="G19" s="34" t="inlineStr">
        <is>
          <t>อาการข้างเคียงที่สำคัญ คือ ท้องเสีย คลื่นไส้ อาเจียน ferrous stone</t>
        </is>
      </c>
      <c r="H19" s="34" t="inlineStr">
        <is>
          <t>สามารถทานยา ferrous sulfate ร่วมกับ tetracycline เพื่อเพิ่มการดูดซึม ferrous</t>
        </is>
      </c>
      <c r="I19" s="33" t="inlineStr">
        <is>
          <t>3</t>
        </is>
      </c>
      <c r="J19" s="34"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Anemia</t>
        </is>
      </c>
      <c r="M19" s="35" t="inlineStr">
        <is>
          <t>Clinic</t>
        </is>
      </c>
      <c r="N19" s="34" t="inlineStr">
        <is>
          <t>ข้อ 17 Pharma Plus เล่มม่วง (เฉลยข้อ ค)</t>
        </is>
      </c>
      <c r="O19" s="35" t="inlineStr">
        <is>
          <t>Mock</t>
        </is>
      </c>
      <c r="P19" s="35" t="inlineStr">
        <is>
          <t>Pharma Plus เล่มม่วง</t>
        </is>
      </c>
    </row>
    <row r="20" ht="13.2" customHeight="1" s="49">
      <c r="A20" s="33" t="n">
        <v>18</v>
      </c>
      <c r="B20" s="34" t="inlineStr">
        <is>
          <t>จากข้อมูลข้างต้น ท่านควรแนะนำให้ผู้ป่วยเลี่ยงการใช้ยาในข้อใด เพื่อป้องกันการเกิด hemolytic anemia</t>
        </is>
      </c>
      <c r="C20" s="35" t="n"/>
      <c r="D20" s="34" t="inlineStr">
        <is>
          <t>Primaquine, Erythromycin</t>
        </is>
      </c>
      <c r="E20" s="34" t="inlineStr">
        <is>
          <t>Dapsone, Vitamin A</t>
        </is>
      </c>
      <c r="F20" s="34" t="inlineStr">
        <is>
          <t>Sulfasalazine, Erythromycin</t>
        </is>
      </c>
      <c r="G20" s="34" t="inlineStr">
        <is>
          <t>Dapsone, Penicillamine</t>
        </is>
      </c>
      <c r="H20" s="34" t="inlineStr">
        <is>
          <t>Sulfasalazine, Tetracycline</t>
        </is>
      </c>
      <c r="I20" s="33" t="inlineStr">
        <is>
          <t>4</t>
        </is>
      </c>
      <c r="J20" s="34"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35" t="n"/>
      <c r="L20" s="34" t="inlineStr">
        <is>
          <t>Anemia</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35" t="n"/>
      <c r="D21" s="34" t="inlineStr">
        <is>
          <t>Iron deficiency</t>
        </is>
      </c>
      <c r="E21" s="34" t="inlineStr">
        <is>
          <t>Uremia</t>
        </is>
      </c>
      <c r="F21" s="34" t="inlineStr">
        <is>
          <t>Liver steatosis</t>
        </is>
      </c>
      <c r="G21" s="34" t="inlineStr">
        <is>
          <t>Peripheral neuropathy</t>
        </is>
      </c>
      <c r="H21" s="34" t="inlineStr">
        <is>
          <t>Enlarged spleen</t>
        </is>
      </c>
      <c r="I21" s="33" t="inlineStr">
        <is>
          <t>5</t>
        </is>
      </c>
      <c r="J21" s="34"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35" t="n"/>
      <c r="L21" s="34" t="inlineStr">
        <is>
          <t>Anemia</t>
        </is>
      </c>
      <c r="M21" s="35" t="inlineStr">
        <is>
          <t>Clinic</t>
        </is>
      </c>
      <c r="N21" s="34" t="inlineStr">
        <is>
          <t>ข้อ 19 Pharma Plus เล่มม่วง (เฉลยข้อ จ)</t>
        </is>
      </c>
      <c r="O21" s="35" t="inlineStr">
        <is>
          <t>Mock</t>
        </is>
      </c>
      <c r="P21" s="35" t="inlineStr">
        <is>
          <t>Pharma Plus เล่มม่วง</t>
        </is>
      </c>
    </row>
    <row r="22" ht="13.2" customHeight="1" s="49">
      <c r="A22" s="33" t="n">
        <v>20</v>
      </c>
      <c r="B22" s="34"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35" t="n"/>
      <c r="D22" s="34" t="inlineStr">
        <is>
          <t>ธาลัสซีเมียเป็นโรคพันธุกรรม ที่เกิดจากเม็ดเลือดแดงถูกทำลายได้ง่ายเนื่องจากการขาดเอนไซม์บางชนิด</t>
        </is>
      </c>
      <c r="E22" s="34" t="inlineStr">
        <is>
          <t>ธาลัสซีเมียเป็นโรคพันธุกรรม ที่มีระดับเหล็กในเลือดสูงเนื่องจากการแตกของเม็ดเลือดแดง</t>
        </is>
      </c>
      <c r="F22" s="34" t="inlineStr">
        <is>
          <t>ธาลัสซีเมียเป็นโรคพันธุกรรมที่เม็ดเลือดแดงมีโครงสร้างผิดปกติคล้ายรูปเสี้ยวพระจันทร์ ทำให้แตกง่าย</t>
        </is>
      </c>
      <c r="G22" s="34" t="inlineStr">
        <is>
          <t>ธาลัสซีเมียเป็นโรคที่เกิดจากความผิดปกติของระบบภูมิคุ้มกันที่เม็ดเลือดแดงถูกทำลายได้ง่าย</t>
        </is>
      </c>
      <c r="H22" s="34" t="inlineStr">
        <is>
          <t>ธาลัสซีเมียเป็นโรคโลหิตจาง ที่เกิดจากการขาดวิตามินที่ช่วยในการคงสภาพของเม็ดเลือดแดง</t>
        </is>
      </c>
      <c r="I22" s="33" t="inlineStr">
        <is>
          <t>2</t>
        </is>
      </c>
      <c r="J22" s="34"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35" t="n"/>
      <c r="L22" s="34" t="inlineStr">
        <is>
          <t>Anemia</t>
        </is>
      </c>
      <c r="M22" s="35" t="inlineStr">
        <is>
          <t>Clinic</t>
        </is>
      </c>
      <c r="N22" s="34" t="inlineStr">
        <is>
          <t>ข้อ 20 Pharma Plus เล่มม่วง (เฉลยข้อ ข)</t>
        </is>
      </c>
      <c r="O22" s="35" t="inlineStr">
        <is>
          <t>Mock</t>
        </is>
      </c>
      <c r="P22" s="35" t="inlineStr">
        <is>
          <t>Pharma Plus เล่มม่วง</t>
        </is>
      </c>
    </row>
    <row r="23" ht="13.2" customHeight="1" s="49">
      <c r="A23" s="33" t="n">
        <v>21</v>
      </c>
      <c r="B23" s="34"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35" t="n"/>
      <c r="D23" s="34" t="inlineStr">
        <is>
          <t>[NEED_REVIEW]</t>
        </is>
      </c>
      <c r="E23" s="34" t="inlineStr">
        <is>
          <t>สามารถรับประทานได้ เนื่องจากมีวิตามินและสารอาหารที่สำคัญที่ช่วยบำรุงโลหิตลดอาการโลหิตจาง</t>
        </is>
      </c>
      <c r="F23" s="34" t="inlineStr">
        <is>
          <t>สามารถรับประทานได้เฉพาะเมื่อผู้ป่วยกำลังอยู่ในระหว่างการรักษาโรคธาลัสซีเมียจากแพทย์</t>
        </is>
      </c>
      <c r="G23" s="34" t="inlineStr">
        <is>
          <t>ไม่ควรรับประทาน เนื่องจากมีส่วนผสมของธาตุเหล็ก</t>
        </is>
      </c>
      <c r="H23" s="34" t="inlineStr">
        <is>
          <t>ไม่ควรรับประทาน เนื่องจากมีส่วนประกอบที่เกิด drug interaction กับยาที่ใช้รักษาประจำ</t>
        </is>
      </c>
      <c r="I23" s="33" t="inlineStr">
        <is>
          <t>4</t>
        </is>
      </c>
      <c r="J23" s="34"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35" t="n"/>
      <c r="L23" s="34" t="inlineStr">
        <is>
          <t>Anemia</t>
        </is>
      </c>
      <c r="M23" s="35" t="inlineStr">
        <is>
          <t>Clinic</t>
        </is>
      </c>
      <c r="N23" s="34" t="inlineStr">
        <is>
          <t>ข้อ 21 Pharma Plus เล่มม่วง (เฉลยข้อ ง)</t>
        </is>
      </c>
      <c r="O23" s="35" t="inlineStr">
        <is>
          <t>Mock</t>
        </is>
      </c>
      <c r="P23" s="35" t="inlineStr">
        <is>
          <t>Pharma Plus เล่มม่วง</t>
        </is>
      </c>
    </row>
    <row r="24" ht="13.2" customHeight="1" s="49">
      <c r="A24" s="33" t="n">
        <v>22</v>
      </c>
      <c r="B24" s="34" t="inlineStr">
        <is>
          <t>เภสัชกรแนะนำให้ผู้ป่วยระมัดระวังการใช้ยาตัวใดเป็นพิเศษ</t>
        </is>
      </c>
      <c r="C24" s="35" t="n"/>
      <c r="D24" s="34" t="inlineStr">
        <is>
          <t>FBC</t>
        </is>
      </c>
      <c r="E24" s="34" t="inlineStr">
        <is>
          <t>Aminoglycosides</t>
        </is>
      </c>
      <c r="F24" s="34" t="inlineStr">
        <is>
          <t>Paracetamol</t>
        </is>
      </c>
      <c r="G24" s="34" t="inlineStr">
        <is>
          <t>Vitamin C</t>
        </is>
      </c>
      <c r="H24" s="34" t="inlineStr">
        <is>
          <t>Calcium supplements</t>
        </is>
      </c>
      <c r="I24" s="33" t="inlineStr">
        <is>
          <t>1</t>
        </is>
      </c>
      <c r="J24" s="34"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35" t="n"/>
      <c r="L24" s="34" t="inlineStr">
        <is>
          <t>Anemia</t>
        </is>
      </c>
      <c r="M24" s="35" t="inlineStr">
        <is>
          <t>Clinic</t>
        </is>
      </c>
      <c r="N24" s="34" t="inlineStr">
        <is>
          <t>ข้อ 22 Pharma Plus เล่มม่วง (เฉลยข้อ ก)</t>
        </is>
      </c>
      <c r="O24" s="35" t="inlineStr">
        <is>
          <t>Mock</t>
        </is>
      </c>
      <c r="P24" s="35" t="inlineStr">
        <is>
          <t>Pharma Plus เล่มม่วง</t>
        </is>
      </c>
    </row>
    <row r="25" ht="13.2" customHeight="1" s="49">
      <c r="A25" s="33" t="n">
        <v>23</v>
      </c>
      <c r="B25" s="34" t="inlineStr">
        <is>
          <t>ข้อแนะนำสำหรับวิธีการรักษาโรคธาลัสซีเมีย นอกเหนือจากการใช้ยารับประทาน</t>
        </is>
      </c>
      <c r="C25" s="35" t="n"/>
      <c r="D25" s="34" t="inlineStr">
        <is>
          <t>ผู้ป่วยไม่ควรได้รับเลือดอย่างเด็ดขาด เนื่องจากมีโอกาสเกิด agglutination ของเม็ดเลือดแดงสูงกว่าปกติ</t>
        </is>
      </c>
      <c r="E25" s="34" t="inlineStr">
        <is>
          <t>ผู้ป่วยไม่ควรได้รับเลือดอย่างเด็ดขาด เนื่องจากมีความเสี่ยงต่อการติดเชื้อ</t>
        </is>
      </c>
      <c r="F25" s="34" t="inlineStr">
        <is>
          <t>ผู้ป่วยควรได้รับเลือด เพื่อช่วยเพิ่มปริมาณเม็ดเลือดแดง</t>
        </is>
      </c>
      <c r="G25" s="34" t="inlineStr">
        <is>
          <t>ผู้ป่วยควรออกกำลังกายสม่ำเสมอ เพื่อช่วยเพิ่มการสร้างเม็ดเลือดแดง</t>
        </is>
      </c>
      <c r="H25" s="34" t="inlineStr">
        <is>
          <t>ผู้ป่วยควรได้รับ erythropoietin เพื่อเร่งการสร้างเม็ดเลือดแดง</t>
        </is>
      </c>
      <c r="I25" s="33" t="inlineStr">
        <is>
          <t>3</t>
        </is>
      </c>
      <c r="J25" s="34"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35" t="n"/>
      <c r="L25" s="34" t="inlineStr">
        <is>
          <t>Anemia</t>
        </is>
      </c>
      <c r="M25" s="35" t="inlineStr">
        <is>
          <t>Clinic</t>
        </is>
      </c>
      <c r="N25" s="34" t="inlineStr">
        <is>
          <t>ข้อ 23 Pharma Plus เล่มม่วง (เฉลยข้อ ค)</t>
        </is>
      </c>
      <c r="O25" s="35" t="inlineStr">
        <is>
          <t>Mock</t>
        </is>
      </c>
      <c r="P25" s="35" t="inlineStr">
        <is>
          <t>Pharma Plus เล่มม่วง</t>
        </is>
      </c>
    </row>
    <row r="26" ht="13.2" customHeight="1" s="49">
      <c r="A26" s="33" t="n">
        <v>24</v>
      </c>
      <c r="B26" s="34" t="inlineStr">
        <is>
          <t>สถานการณ์ที่ 6 ผู้ป่วย CKD with IDA with DM with HTN อายุ 60 ปี หนัก 60 กิโลกรัม Scr = 2.5 mg/dl
ภาวะ Anemia ในผู้ป่วยรายนี้ ควรแก้ไขอย่างไร</t>
        </is>
      </c>
      <c r="C26" s="35" t="n"/>
      <c r="D26" s="34" t="inlineStr">
        <is>
          <t>EPO</t>
        </is>
      </c>
      <c r="E26" s="34" t="inlineStr">
        <is>
          <t>Fresh Frozen Plasma</t>
        </is>
      </c>
      <c r="F26" s="34" t="inlineStr">
        <is>
          <t>Platelet concentrates</t>
        </is>
      </c>
      <c r="G26" s="34" t="inlineStr">
        <is>
          <t>Whole blood</t>
        </is>
      </c>
      <c r="H26" s="34" t="inlineStr">
        <is>
          <t>Leukocyte poor blood</t>
        </is>
      </c>
      <c r="I26" s="33" t="inlineStr">
        <is>
          <t>1</t>
        </is>
      </c>
      <c r="J26" s="34"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35" t="n"/>
      <c r="L26" s="34" t="inlineStr">
        <is>
          <t>Anemia</t>
        </is>
      </c>
      <c r="M26" s="35" t="inlineStr">
        <is>
          <t>Clinic</t>
        </is>
      </c>
      <c r="N26" s="34" t="inlineStr">
        <is>
          <t>ข้อ 24 Pharma Plus เล่มม่วง (เฉลยข้อ ก)</t>
        </is>
      </c>
      <c r="O26" s="35" t="inlineStr">
        <is>
          <t>Mock</t>
        </is>
      </c>
      <c r="P26" s="35" t="inlineStr">
        <is>
          <t>Pharma Plus เล่มม่วง</t>
        </is>
      </c>
    </row>
    <row r="27" ht="13.2" customHeight="1" s="49">
      <c r="A27" s="33" t="n">
        <v>25</v>
      </c>
      <c r="B27" s="34"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35" t="n"/>
      <c r="D27" s="34" t="inlineStr">
        <is>
          <t>Folate deficiency anemia</t>
        </is>
      </c>
      <c r="E27" s="34" t="inlineStr">
        <is>
          <t>Thalassemia</t>
        </is>
      </c>
      <c r="F27" s="34" t="inlineStr">
        <is>
          <t>Vitamin B6 deficiency anemia</t>
        </is>
      </c>
      <c r="G27" s="34" t="inlineStr">
        <is>
          <t>Vitamin B12 deficiency anemia</t>
        </is>
      </c>
      <c r="H27" s="34" t="inlineStr">
        <is>
          <t>Iron deficiency anemia</t>
        </is>
      </c>
      <c r="I27" s="33" t="inlineStr">
        <is>
          <t>5</t>
        </is>
      </c>
      <c r="J27" s="34"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35" t="n"/>
      <c r="L27" s="34" t="inlineStr">
        <is>
          <t>Anemia</t>
        </is>
      </c>
      <c r="M27" s="35" t="inlineStr">
        <is>
          <t>Clinic</t>
        </is>
      </c>
      <c r="N27" s="34" t="inlineStr">
        <is>
          <t>ข้อ 25 Pharma Plus เล่มม่วง (เฉลยข้อ จ)</t>
        </is>
      </c>
      <c r="O27" s="35" t="inlineStr">
        <is>
          <t>Mock</t>
        </is>
      </c>
      <c r="P27" s="35" t="inlineStr">
        <is>
          <t>Pharma Plus เล่มม่วง</t>
        </is>
      </c>
    </row>
    <row r="28" ht="13.2" customHeight="1" s="49">
      <c r="A28" s="33" t="n">
        <v>26</v>
      </c>
      <c r="B28" s="34" t="inlineStr">
        <is>
          <t>ผู้ป่วยรายนี้ ควรได้รับยาใด</t>
        </is>
      </c>
      <c r="C28" s="35" t="n"/>
      <c r="D28" s="34" t="inlineStr">
        <is>
          <t>Ferrous sulfate</t>
        </is>
      </c>
      <c r="E28" s="34" t="inlineStr">
        <is>
          <t>Folic acid</t>
        </is>
      </c>
      <c r="F28" s="34" t="inlineStr">
        <is>
          <t>Cobalamine</t>
        </is>
      </c>
      <c r="G28" s="34" t="inlineStr">
        <is>
          <t>Pyridoxine</t>
        </is>
      </c>
      <c r="H28" s="34" t="inlineStr">
        <is>
          <t>Deferoxamine</t>
        </is>
      </c>
      <c r="I28" s="33" t="inlineStr">
        <is>
          <t>1</t>
        </is>
      </c>
      <c r="J28" s="34"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35" t="n"/>
      <c r="L28" s="34" t="inlineStr">
        <is>
          <t>Anemia</t>
        </is>
      </c>
      <c r="M28" s="35" t="inlineStr">
        <is>
          <t>Clinic</t>
        </is>
      </c>
      <c r="N28" s="34" t="inlineStr">
        <is>
          <t>ข้อ 26 Pharma Plus เล่มม่วง (เฉลยข้อ ก)</t>
        </is>
      </c>
      <c r="O28" s="35" t="inlineStr">
        <is>
          <t>Mock</t>
        </is>
      </c>
      <c r="P28" s="35" t="inlineStr">
        <is>
          <t>Pharma Plus เล่มม่วง</t>
        </is>
      </c>
    </row>
    <row r="29" ht="13.2" customHeight="1" s="49">
      <c r="A29" s="33" t="n">
        <v>27</v>
      </c>
      <c r="B29" s="34" t="inlineStr">
        <is>
          <t>โรคใดต่อไปนี้ ห้ามใช้ยาเสริมธาตุเหล็กโดยเด็ดขาด</t>
        </is>
      </c>
      <c r="C29" s="35" t="n"/>
      <c r="D29" s="34" t="inlineStr">
        <is>
          <t>Folate deficiency anemia</t>
        </is>
      </c>
      <c r="E29" s="34" t="inlineStr">
        <is>
          <t>Thalassemia</t>
        </is>
      </c>
      <c r="F29" s="34" t="inlineStr">
        <is>
          <t>Osteoporosis</t>
        </is>
      </c>
      <c r="G29" s="34" t="inlineStr">
        <is>
          <t>Peptic ulcer</t>
        </is>
      </c>
      <c r="H29" s="34" t="inlineStr">
        <is>
          <t>Iron deficiency anemia</t>
        </is>
      </c>
      <c r="I29" s="33" t="inlineStr">
        <is>
          <t>2</t>
        </is>
      </c>
      <c r="J29" s="34"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35" t="n"/>
      <c r="L29" s="34" t="inlineStr">
        <is>
          <t>Anemia</t>
        </is>
      </c>
      <c r="M29" s="35" t="inlineStr">
        <is>
          <t>Clinic</t>
        </is>
      </c>
      <c r="N29" s="34" t="inlineStr">
        <is>
          <t>ข้อ 27 Pharma Plus เล่มม่วง (เฉลยข้อ ข)</t>
        </is>
      </c>
      <c r="O29" s="35" t="inlineStr">
        <is>
          <t>Mock</t>
        </is>
      </c>
      <c r="P29" s="35" t="inlineStr">
        <is>
          <t>Pharma Plus เล่มม่วง</t>
        </is>
      </c>
    </row>
    <row r="30" ht="13.2" customHeight="1" s="49">
      <c r="A30" s="33" t="n">
        <v>28</v>
      </c>
      <c r="B30" s="34" t="inlineStr">
        <is>
          <t>ข้อใดไม่ใช่ผลข้างเคียงหลักจากการใช้ยาเสริมธาตุเหล็ก</t>
        </is>
      </c>
      <c r="C30" s="35" t="n"/>
      <c r="D30" s="34" t="inlineStr">
        <is>
          <t>อุจจาระดำ</t>
        </is>
      </c>
      <c r="E30" s="34" t="inlineStr">
        <is>
          <t>ท้องเสีย</t>
        </is>
      </c>
      <c r="F30" s="34" t="inlineStr">
        <is>
          <t>ท้องผูก</t>
        </is>
      </c>
      <c r="G30" s="34" t="inlineStr">
        <is>
          <t>คลื่นไส้ อาเจียน</t>
        </is>
      </c>
      <c r="H30" s="34" t="inlineStr">
        <is>
          <t>ตับอักเสบ</t>
        </is>
      </c>
      <c r="I30" s="33" t="inlineStr">
        <is>
          <t>5</t>
        </is>
      </c>
      <c r="J30" s="34"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35" t="n"/>
      <c r="L30" s="34" t="inlineStr">
        <is>
          <t>Anemia</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ข้อใดต่อไปนี้ เพิ่มการดูดซึมธาตุเหล็ก</t>
        </is>
      </c>
      <c r="C31" s="35" t="n"/>
      <c r="D31" s="34" t="inlineStr">
        <is>
          <t>Tetracycline</t>
        </is>
      </c>
      <c r="E31" s="34" t="inlineStr">
        <is>
          <t>Folic acid</t>
        </is>
      </c>
      <c r="F31" s="34" t="inlineStr">
        <is>
          <t>Vitamin B12</t>
        </is>
      </c>
      <c r="G31" s="34" t="inlineStr">
        <is>
          <t>Vitamin C</t>
        </is>
      </c>
      <c r="H31" s="34" t="inlineStr">
        <is>
          <t>Omeprazole</t>
        </is>
      </c>
      <c r="I31" s="33" t="inlineStr">
        <is>
          <t>4</t>
        </is>
      </c>
      <c r="J31" s="34"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35" t="n"/>
      <c r="L31" s="34" t="inlineStr">
        <is>
          <t>Anemia</t>
        </is>
      </c>
      <c r="M31" s="35" t="inlineStr">
        <is>
          <t>Clinic</t>
        </is>
      </c>
      <c r="N31" s="34" t="inlineStr">
        <is>
          <t>ข้อ 29 Pharma Plus เล่มม่วง (เฉลยข้อ ง)</t>
        </is>
      </c>
      <c r="O31" s="35" t="inlineStr">
        <is>
          <t>Mock</t>
        </is>
      </c>
      <c r="P31" s="35" t="inlineStr">
        <is>
          <t>Pharma Plus เล่มม่วง</t>
        </is>
      </c>
    </row>
    <row r="32" ht="13.2" customHeight="1" s="49">
      <c r="A32" s="33" t="n">
        <v>30</v>
      </c>
      <c r="B32" s="34" t="inlineStr">
        <is>
          <t>ยาเพิ่มธาตุเหล็กในข้อต่อไปนี้ มีปริมาณเหล็กมากที่สุด</t>
        </is>
      </c>
      <c r="C32" s="35" t="n"/>
      <c r="D32" s="34" t="inlineStr">
        <is>
          <t>Ferrous fumarate</t>
        </is>
      </c>
      <c r="E32" s="34" t="inlineStr">
        <is>
          <t>Ferrous gluconate</t>
        </is>
      </c>
      <c r="F32" s="34" t="inlineStr">
        <is>
          <t>Ferrous citrate</t>
        </is>
      </c>
      <c r="G32" s="34" t="inlineStr">
        <is>
          <t>Ferrous sulfate. 7H2O</t>
        </is>
      </c>
      <c r="H32" s="34" t="inlineStr">
        <is>
          <t>Anhydrous ferrous sulfate</t>
        </is>
      </c>
      <c r="I32" s="33" t="inlineStr">
        <is>
          <t>1</t>
        </is>
      </c>
      <c r="J32"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35" t="n"/>
      <c r="L32" s="34" t="inlineStr">
        <is>
          <t>Anemia</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35" t="n"/>
      <c r="D33" s="34" t="inlineStr">
        <is>
          <t>ติดสีจางกว่าปกติ</t>
        </is>
      </c>
      <c r="E33" s="34" t="inlineStr">
        <is>
          <t>ติดสีเข้มกว่าปกติ</t>
        </is>
      </c>
      <c r="F33" s="34" t="inlineStr">
        <is>
          <t>มีลักษณะโตกว่าปกติ</t>
        </is>
      </c>
      <c r="G33" s="34" t="inlineStr">
        <is>
          <t>รูปร่างบิดเบี้ยวไม่แน่นอน</t>
        </is>
      </c>
      <c r="H33" s="34" t="inlineStr">
        <is>
          <t>พบเศษของเม็ดเลือดแดงที่แตก</t>
        </is>
      </c>
      <c r="I33" s="33" t="inlineStr">
        <is>
          <t>5</t>
        </is>
      </c>
      <c r="J33" s="34"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35" t="n"/>
      <c r="L33" s="34" t="inlineStr">
        <is>
          <t>Anemia</t>
        </is>
      </c>
      <c r="M33" s="35" t="inlineStr">
        <is>
          <t>Clinic</t>
        </is>
      </c>
      <c r="N33" s="34" t="inlineStr">
        <is>
          <t>ข้อ 31 Pharma Plus เล่มม่วง (เฉลยข้อ จ)</t>
        </is>
      </c>
      <c r="O33" s="35" t="inlineStr">
        <is>
          <t>Mock</t>
        </is>
      </c>
      <c r="P33" s="35" t="inlineStr">
        <is>
          <t>Pharma Plus เล่มม่วง</t>
        </is>
      </c>
    </row>
    <row r="34" ht="13.2" customHeight="1" s="49">
      <c r="A34" s="33" t="n">
        <v>32</v>
      </c>
      <c r="B34" s="34" t="inlineStr">
        <is>
          <t>G6PD มีบทบาทต่อเม็ดเลือดแดงอย่างไร</t>
        </is>
      </c>
      <c r="C34" s="35" t="n"/>
      <c r="D34" s="34" t="inlineStr">
        <is>
          <t>เปลี่ยนกลูโคสเป็นพลังงาน</t>
        </is>
      </c>
      <c r="E34" s="34" t="inlineStr">
        <is>
          <t>ป้องกันการเปลี่ยน Hgb เป็น methemoglobin</t>
        </is>
      </c>
      <c r="F34" s="34" t="inlineStr">
        <is>
          <t>คงสภาพของโครงสร้าง globin</t>
        </is>
      </c>
      <c r="G34" s="34" t="inlineStr">
        <is>
          <t>ทำให้ globin จับกับ tetraglobin</t>
        </is>
      </c>
      <c r="H34" s="34" t="inlineStr">
        <is>
          <t>ทำให้ ferrous จับกับ Hgb ได้</t>
        </is>
      </c>
      <c r="I34" s="33" t="inlineStr">
        <is>
          <t>1</t>
        </is>
      </c>
      <c r="J34" s="34"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Anemia</t>
        </is>
      </c>
      <c r="M34" s="35" t="inlineStr">
        <is>
          <t>Clinic</t>
        </is>
      </c>
      <c r="N34" s="34" t="inlineStr">
        <is>
          <t>ข้อ 32 Pharma Plus เล่มม่วง (เฉลยข้อ ก)</t>
        </is>
      </c>
      <c r="O34" s="35" t="inlineStr">
        <is>
          <t>Mock</t>
        </is>
      </c>
      <c r="P34" s="35" t="inlineStr">
        <is>
          <t>Pharma Plus เล่มม่วง</t>
        </is>
      </c>
    </row>
    <row r="35" ht="13.2" customHeight="1" s="49">
      <c r="A35" s="33" t="n">
        <v>33</v>
      </c>
      <c r="B35" s="34"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35" t="n"/>
      <c r="D35" s="34" t="inlineStr">
        <is>
          <t>ตั้งครรภ์</t>
        </is>
      </c>
      <c r="E35" s="34" t="inlineStr">
        <is>
          <t>ขาดสารอาหาร</t>
        </is>
      </c>
      <c r="F35" s="34" t="inlineStr">
        <is>
          <t>โรคริชสีดวง</t>
        </is>
      </c>
      <c r="G35" s="34" t="inlineStr">
        <is>
          <t>โรคกระเพาะอาหาร</t>
        </is>
      </c>
      <c r="H35" s="34" t="inlineStr">
        <is>
          <t>กรรมพันธุ์</t>
        </is>
      </c>
      <c r="I35" s="33" t="inlineStr">
        <is>
          <t>5</t>
        </is>
      </c>
      <c r="J35" s="34"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Anemia</t>
        </is>
      </c>
      <c r="M35" s="35" t="inlineStr">
        <is>
          <t>Clinic</t>
        </is>
      </c>
      <c r="N35" s="34" t="inlineStr">
        <is>
          <t>ข้อ 33 Pharma Plus เล่มม่วง (เฉลยข้อ จ)</t>
        </is>
      </c>
      <c r="O35" s="35" t="inlineStr">
        <is>
          <t>Mock</t>
        </is>
      </c>
      <c r="P35" s="35" t="inlineStr">
        <is>
          <t>Pharma Plus เล่มม่วง</t>
        </is>
      </c>
    </row>
    <row r="36" ht="13.2" customHeight="1" s="49">
      <c r="A36" s="33" t="n">
        <v>34</v>
      </c>
      <c r="B36" s="34" t="inlineStr">
        <is>
          <t>ลักษณะของเม็ดเลือดเป็นอย่างไร</t>
        </is>
      </c>
      <c r="C36" s="35" t="n"/>
      <c r="D36" s="34" t="inlineStr">
        <is>
          <t>เม็ดเลือดแดงติดสีเข้มและมีขนาดเล็ก</t>
        </is>
      </c>
      <c r="E36" s="34" t="inlineStr">
        <is>
          <t>เม็ดเลือดแดงติดสีจางและมีขนาดเล็ก</t>
        </is>
      </c>
      <c r="F36" s="34" t="inlineStr">
        <is>
          <t>เม็ดเลือดแดงติดสีจางและมีขนาดใหญ่</t>
        </is>
      </c>
      <c r="G36" s="34" t="inlineStr">
        <is>
          <t>เม็ดเลือดแดงติดสีเข้มและมีขนาดใหญ่</t>
        </is>
      </c>
      <c r="H36" s="34" t="inlineStr">
        <is>
          <t>เม็ดเลือดแดงติดสีเข้มและมีขนาดปกติ</t>
        </is>
      </c>
      <c r="I36" s="33" t="inlineStr">
        <is>
          <t>2</t>
        </is>
      </c>
      <c r="J36" s="34"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35" t="n"/>
      <c r="L36" s="34" t="inlineStr">
        <is>
          <t>Anemia</t>
        </is>
      </c>
      <c r="M36" s="35" t="inlineStr">
        <is>
          <t>Clinic</t>
        </is>
      </c>
      <c r="N36" s="34" t="inlineStr">
        <is>
          <t>ข้อ 34 Pharma Plus เล่มม่วง (เฉลยข้อ ข)</t>
        </is>
      </c>
      <c r="O36" s="35" t="inlineStr">
        <is>
          <t>Mock</t>
        </is>
      </c>
      <c r="P36" s="35" t="inlineStr">
        <is>
          <t>Pharma Plus เล่มม่วง</t>
        </is>
      </c>
    </row>
    <row r="37" ht="13.2" customHeight="1" s="49">
      <c r="A37" s="33" t="n">
        <v>35</v>
      </c>
      <c r="B37" s="34" t="inlineStr">
        <is>
          <t>ยาในข้อใดไม่เหมาะสมในผู้ป่วยรายนี้</t>
        </is>
      </c>
      <c r="C37" s="35" t="n"/>
      <c r="D37" s="34" t="inlineStr">
        <is>
          <t>Cyanocobalamin</t>
        </is>
      </c>
      <c r="E37" s="34" t="inlineStr">
        <is>
          <t>Ferrous fumarate</t>
        </is>
      </c>
      <c r="F37" s="34" t="inlineStr">
        <is>
          <t>Ferrous gluconate</t>
        </is>
      </c>
      <c r="G37" s="34" t="inlineStr">
        <is>
          <t>Folic acid</t>
        </is>
      </c>
      <c r="H37" s="34" t="inlineStr">
        <is>
          <t>Blood transfusion (Packed Red Cells)</t>
        </is>
      </c>
      <c r="I37" s="33" t="inlineStr">
        <is>
          <t>1</t>
        </is>
      </c>
      <c r="J37" s="34"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35" t="n"/>
      <c r="L37" s="34" t="inlineStr">
        <is>
          <t>Anemia</t>
        </is>
      </c>
      <c r="M37" s="35" t="inlineStr">
        <is>
          <t>Clinic</t>
        </is>
      </c>
      <c r="N37" s="34" t="inlineStr">
        <is>
          <t>ข้อ 35 Pharma Plus เล่มม่วง (เฉลยข้อ ก ง)</t>
        </is>
      </c>
      <c r="O37" s="35" t="inlineStr">
        <is>
          <t>Mock</t>
        </is>
      </c>
      <c r="P37" s="35" t="inlineStr">
        <is>
          <t>Pharma Plus เล่มม่วง</t>
        </is>
      </c>
    </row>
    <row r="38" ht="13.2" customHeight="1" s="49">
      <c r="A38" s="33" t="n">
        <v>36</v>
      </c>
      <c r="B38" s="34" t="inlineStr">
        <is>
          <t>ยาตัวใดไม่มีผลต่อการดูดซึมธาตุเหล็ก</t>
        </is>
      </c>
      <c r="C38" s="35" t="n"/>
      <c r="D38" s="34" t="inlineStr">
        <is>
          <t>Antacid</t>
        </is>
      </c>
      <c r="E38" s="34" t="inlineStr">
        <is>
          <t>Ascorbic acid</t>
        </is>
      </c>
      <c r="F38" s="34" t="inlineStr">
        <is>
          <t>Cimetidine</t>
        </is>
      </c>
      <c r="G38" s="34" t="inlineStr">
        <is>
          <t>Penicillamine</t>
        </is>
      </c>
      <c r="H38" s="34" t="inlineStr">
        <is>
          <t>Norfloxacin</t>
        </is>
      </c>
      <c r="I38" s="33" t="inlineStr">
        <is>
          <t>4</t>
        </is>
      </c>
      <c r="J38" s="34"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35" t="n"/>
      <c r="L38" s="34" t="inlineStr">
        <is>
          <t>Anemia</t>
        </is>
      </c>
      <c r="M38" s="35" t="inlineStr">
        <is>
          <t>Clinic</t>
        </is>
      </c>
      <c r="N38" s="34" t="inlineStr">
        <is>
          <t>ข้อ 36 Pharma Plus เล่มม่วง (เฉลยข้อ ง)</t>
        </is>
      </c>
      <c r="O38" s="35" t="inlineStr">
        <is>
          <t>Mock</t>
        </is>
      </c>
      <c r="P38" s="35" t="inlineStr">
        <is>
          <t>Pharma Plus เล่มม่วง</t>
        </is>
      </c>
    </row>
    <row r="39" ht="13.2" customHeight="1" s="49">
      <c r="A39" s="33" t="n">
        <v>37</v>
      </c>
      <c r="B39" s="34" t="inlineStr">
        <is>
          <t>ยา ferrous sulfate ไม่ควรจ่ายให้ผู้ป่วยในข้อใด</t>
        </is>
      </c>
      <c r="C39" s="35" t="n"/>
      <c r="D39" s="34" t="inlineStr">
        <is>
          <t>Thalassemia</t>
        </is>
      </c>
      <c r="E39" s="34" t="inlineStr">
        <is>
          <t>Thyrotoxicosis</t>
        </is>
      </c>
      <c r="F39" s="34" t="inlineStr">
        <is>
          <t>Leucopenia</t>
        </is>
      </c>
      <c r="G39" s="34" t="inlineStr">
        <is>
          <t>Thrombocytopenia</t>
        </is>
      </c>
      <c r="H39" s="34" t="inlineStr">
        <is>
          <t>Hemophilia</t>
        </is>
      </c>
      <c r="I39" s="33" t="inlineStr">
        <is>
          <t>1</t>
        </is>
      </c>
      <c r="J39" s="34"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35" t="n"/>
      <c r="L39" s="34" t="inlineStr">
        <is>
          <t>Anemia</t>
        </is>
      </c>
      <c r="M39" s="35" t="inlineStr">
        <is>
          <t>Clinic</t>
        </is>
      </c>
      <c r="N39" s="34" t="inlineStr">
        <is>
          <t>ข้อ 37 Pharma Plus เล่มม่วง (เฉลยข้อ ก)</t>
        </is>
      </c>
      <c r="O39" s="35" t="inlineStr">
        <is>
          <t>Mock</t>
        </is>
      </c>
      <c r="P39" s="35" t="inlineStr">
        <is>
          <t>Pharma Plus เล่มม่วง</t>
        </is>
      </c>
    </row>
    <row r="40" ht="13.2" customHeight="1" s="49">
      <c r="A40" s="33" t="n">
        <v>38</v>
      </c>
      <c r="B40" s="34" t="inlineStr">
        <is>
          <t>Ferrous supplement ตัวใด ที่มีปริมาณ elemental iron มากที่สุด</t>
        </is>
      </c>
      <c r="C40" s="35" t="n"/>
      <c r="D40" s="34" t="inlineStr">
        <is>
          <t>Ferrous fumarate</t>
        </is>
      </c>
      <c r="E40" s="34" t="inlineStr">
        <is>
          <t>Ferrous sulfate (exsiccated)</t>
        </is>
      </c>
      <c r="F40" s="34" t="inlineStr">
        <is>
          <t>Ferrous gluconate</t>
        </is>
      </c>
      <c r="G40" s="34" t="inlineStr">
        <is>
          <t>Ferrous sulfate</t>
        </is>
      </c>
      <c r="H40" s="34" t="inlineStr">
        <is>
          <t>Ferrous citrate</t>
        </is>
      </c>
      <c r="I40" s="33" t="inlineStr">
        <is>
          <t>1</t>
        </is>
      </c>
      <c r="J40" s="34"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35" t="n"/>
      <c r="L40" s="34" t="inlineStr">
        <is>
          <t>Anemia</t>
        </is>
      </c>
      <c r="M40" s="35" t="inlineStr">
        <is>
          <t>Clinic</t>
        </is>
      </c>
      <c r="N40" s="34" t="inlineStr">
        <is>
          <t>ข้อ 38 Pharma Plus เล่มม่วง (เฉลยข้อ ก)</t>
        </is>
      </c>
      <c r="O40" s="35" t="inlineStr">
        <is>
          <t>Mock</t>
        </is>
      </c>
      <c r="P40" s="35" t="inlineStr">
        <is>
          <t>Pharma Plus เล่มม่วง</t>
        </is>
      </c>
    </row>
    <row r="41" ht="13.2" customHeight="1" s="49">
      <c r="A41" s="33" t="n">
        <v>39</v>
      </c>
      <c r="B41" s="34" t="inlineStr">
        <is>
          <t>of oxidation is increased by the addition of alkali or by exposure to light. (ใช้ตอบข้อ 57-58)
ภาชนะใดเหมาะสมแก่การบรรจุ ferrous sulfate</t>
        </is>
      </c>
      <c r="C41" s="35" t="n"/>
      <c r="D41" s="34" t="inlineStr">
        <is>
          <t>Tight container</t>
        </is>
      </c>
      <c r="E41" s="34" t="inlineStr">
        <is>
          <t>Children resist container</t>
        </is>
      </c>
      <c r="F41" s="34" t="inlineStr">
        <is>
          <t>Glass container</t>
        </is>
      </c>
      <c r="G41" s="34" t="inlineStr">
        <is>
          <t>Amber glass container</t>
        </is>
      </c>
      <c r="H41" s="34" t="inlineStr">
        <is>
          <t>Opaque plastic container</t>
        </is>
      </c>
      <c r="I41" s="33" t="inlineStr">
        <is>
          <t>1</t>
        </is>
      </c>
      <c r="J41" s="34"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35" t="n"/>
      <c r="L41" s="34" t="inlineStr">
        <is>
          <t>Anemia</t>
        </is>
      </c>
      <c r="M41" s="35" t="inlineStr">
        <is>
          <t>Clinic</t>
        </is>
      </c>
      <c r="N41" s="34" t="inlineStr">
        <is>
          <t>Mock PLE-CC 1 ข้อ 58</t>
        </is>
      </c>
      <c r="O41" s="35" t="inlineStr">
        <is>
          <t>Mock</t>
        </is>
      </c>
      <c r="P41" s="35" t="inlineStr">
        <is>
          <t>Mock RxCU83</t>
        </is>
      </c>
      <c r="Q41" s="2" t="n"/>
    </row>
    <row r="42" ht="13.2" customHeight="1" s="49">
      <c r="A42" s="33" t="n">
        <v>40</v>
      </c>
      <c r="B42" s="34"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35" t="n"/>
      <c r="D42" s="34" t="inlineStr">
        <is>
          <t>Anemia</t>
        </is>
      </c>
      <c r="E42" s="34" t="inlineStr">
        <is>
          <t>Folic acid 5 mg OD</t>
        </is>
      </c>
      <c r="F42" s="34" t="inlineStr">
        <is>
          <t>Vitamin B12 1000 mcg IM</t>
        </is>
      </c>
      <c r="G42" s="34" t="inlineStr">
        <is>
          <t>Deferoxamine 500 mg SC</t>
        </is>
      </c>
      <c r="H42" s="34" t="inlineStr">
        <is>
          <t>Erythropoietin 4000 units SC</t>
        </is>
      </c>
      <c r="I42" s="33" t="inlineStr">
        <is>
          <t>1</t>
        </is>
      </c>
      <c r="J4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35" t="n"/>
      <c r="L42" s="34" t="inlineStr">
        <is>
          <t>Anemia</t>
        </is>
      </c>
      <c r="M42" s="35" t="inlineStr">
        <is>
          <t>Clinic</t>
        </is>
      </c>
      <c r="N42" s="34" t="inlineStr">
        <is>
          <t>Mock PLE-CC 1 ข้อ 59</t>
        </is>
      </c>
      <c r="O42" s="35" t="inlineStr">
        <is>
          <t>Mock</t>
        </is>
      </c>
      <c r="P42" s="35" t="inlineStr">
        <is>
          <t>Mock RxCU83</t>
        </is>
      </c>
    </row>
    <row r="43" ht="13.2" customHeight="1" s="49">
      <c r="A43" s="33" t="n">
        <v>41</v>
      </c>
      <c r="B43" s="34"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35" t="n"/>
      <c r="D43" s="34" t="inlineStr">
        <is>
          <t>Serum levels of folate and vitamin B12</t>
        </is>
      </c>
      <c r="E43" s="34" t="inlineStr">
        <is>
          <t>WBC</t>
        </is>
      </c>
      <c r="F43" s="34" t="inlineStr">
        <is>
          <t>Serum Albumin</t>
        </is>
      </c>
      <c r="G43" s="34" t="inlineStr">
        <is>
          <t>Serum Ferritin และ Transferrin Saturation</t>
        </is>
      </c>
      <c r="H43" s="34" t="inlineStr">
        <is>
          <t>Serum Ferritin และ Vitamin C</t>
        </is>
      </c>
      <c r="I43" s="33" t="inlineStr">
        <is>
          <t>2</t>
        </is>
      </c>
      <c r="J43" s="34"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35" t="n"/>
      <c r="L43" s="34" t="inlineStr">
        <is>
          <t>Anemia</t>
        </is>
      </c>
      <c r="M43" s="35" t="inlineStr">
        <is>
          <t>Clinic</t>
        </is>
      </c>
      <c r="N43" s="34" t="inlineStr">
        <is>
          <t>Mock PLE-CC 1 ข้อ 60</t>
        </is>
      </c>
      <c r="O43" s="35" t="inlineStr">
        <is>
          <t>Mock</t>
        </is>
      </c>
      <c r="P43" s="35" t="inlineStr">
        <is>
          <t>Mock RxCU83</t>
        </is>
      </c>
      <c r="Q43" s="2" t="n"/>
    </row>
    <row r="44" ht="13.2" customHeight="1" s="49">
      <c r="A44" s="33" t="n">
        <v>42</v>
      </c>
      <c r="B44" s="34"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35" t="n"/>
      <c r="D44" s="34" t="inlineStr">
        <is>
          <t>Hb เป็นตัวแปรเชิงกลุ่ม (categorical variable) เสมอ จึงควรใช้ Chi-square test ในการเปรียบเทียบระหว่างเพศ</t>
        </is>
      </c>
      <c r="E44" s="34" t="inlineStr">
        <is>
          <t>Hb เป็นตัวแปรเชิงจำนวน (continuous variable) และควรใช้ Paired-T test ในการเปรียบเทียบระหว่างเพศ</t>
        </is>
      </c>
      <c r="F44" s="34" t="inlineStr">
        <is>
          <t>หากจำแนก Hb เป็นกลุ่ม สามารถใช้ Chi-square test ในการศึกษาความสัมพันธ์ระหว่างเพศ</t>
        </is>
      </c>
      <c r="G44" s="34" t="inlineStr">
        <is>
          <t>Hb เป็นข้อมูลเชิงจำนวน แต่ควรใช้ Mann-Whitney U Test ในการวิเคราะห์เนื่องจากข้อมูลทางชีววิทยามักไม่ปกติ</t>
        </is>
      </c>
      <c r="H44" s="34" t="inlineStr">
        <is>
          <t>Hb เป็นตัวแปร ordinal เนื่องจากมีค่าจากต ่าไปสูง</t>
        </is>
      </c>
      <c r="I44" s="33" t="inlineStr">
        <is>
          <t>3</t>
        </is>
      </c>
      <c r="J44" s="34"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แนวทางการวินิจฉัยและรักษาภาวะโลหิตจาง พ.ศ. 2564 (สมาคมโลหิตวิทยาแห่งประเทศไทย)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35" t="n"/>
      <c r="L44" s="34" t="inlineStr">
        <is>
          <t>Anemia</t>
        </is>
      </c>
      <c r="M44" s="35" t="inlineStr">
        <is>
          <t>Clinic</t>
        </is>
      </c>
      <c r="N44" s="34" t="inlineStr">
        <is>
          <t>Mock PLE-CC 1 ข้อ 65</t>
        </is>
      </c>
      <c r="O44" s="35" t="inlineStr">
        <is>
          <t>Mock</t>
        </is>
      </c>
      <c r="P44" s="35" t="inlineStr">
        <is>
          <t>Mock RxCU83</t>
        </is>
      </c>
      <c r="Q44" s="2" t="n"/>
    </row>
    <row r="45" ht="13.2" customHeight="1" s="49">
      <c r="A45" s="33" t="n">
        <v>43</v>
      </c>
      <c r="B45" s="34" t="inlineStr">
        <is>
          <t>ผู้ป่วยรายนี้เป็นโลหิตจางประเภทใด</t>
        </is>
      </c>
      <c r="C45" s="35" t="n"/>
      <c r="D45" s="34" t="inlineStr">
        <is>
          <t>megaloblastic anemia</t>
        </is>
      </c>
      <c r="E45" s="34" t="inlineStr">
        <is>
          <t>hemolytic anemia</t>
        </is>
      </c>
      <c r="F45" s="34" t="inlineStr">
        <is>
          <t>microcytic anemia</t>
        </is>
      </c>
      <c r="G45" s="34" t="inlineStr">
        <is>
          <t>macrocytic anemia</t>
        </is>
      </c>
      <c r="H45" s="34" t="inlineStr">
        <is>
          <t>aplastic anemia</t>
        </is>
      </c>
      <c r="I45" s="33" t="inlineStr">
        <is>
          <t>1</t>
        </is>
      </c>
      <c r="J45" s="34" t="inlineStr">
        <is>
          <t>✅ คำตอบที่ถูกต้อง: ข้อ ก. megaloblastic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35" t="n"/>
      <c r="L45" s="34" t="inlineStr">
        <is>
          <t>Anemia</t>
        </is>
      </c>
      <c r="M45" s="35" t="inlineStr">
        <is>
          <t>Clinic</t>
        </is>
      </c>
      <c r="N45" s="34" t="inlineStr">
        <is>
          <t>PLE_CC1_2567_Key ข้อ 33</t>
        </is>
      </c>
      <c r="O45" s="35" t="inlineStr">
        <is>
          <t>ข้อสอบจริง</t>
        </is>
      </c>
      <c r="P45" s="35" t="inlineStr">
        <is>
          <t>ปี 2567</t>
        </is>
      </c>
      <c r="Q45" s="2" t="n"/>
    </row>
    <row r="46" ht="13.2" customHeight="1" s="49">
      <c r="A46" s="33" t="n">
        <v>44</v>
      </c>
      <c r="B46" s="34" t="inlineStr">
        <is>
          <t>แพทย์ต้องการให้ได้ elemental iron 180-200 mg จ่าย ferrous sulfate เท่าไร (MW: FeSO4 7H2O = 278, Fe = 56)</t>
        </is>
      </c>
      <c r="C46" s="35" t="n"/>
      <c r="D46" s="34" t="inlineStr">
        <is>
          <t>100x3</t>
        </is>
      </c>
      <c r="E46" s="34" t="inlineStr">
        <is>
          <t>300x3</t>
        </is>
      </c>
      <c r="F46" s="34" t="inlineStr">
        <is>
          <t>100x4</t>
        </is>
      </c>
      <c r="G46" s="34" t="inlineStr">
        <is>
          <t>200x2</t>
        </is>
      </c>
      <c r="H46" s="34" t="inlineStr">
        <is>
          <t>200x3 PLE-PC1 Preparation 2567</t>
        </is>
      </c>
      <c r="I46" s="33" t="inlineStr">
        <is>
          <t>1</t>
        </is>
      </c>
      <c r="J46" s="34" t="inlineStr">
        <is>
          <t>✅ คำตอบที่ถูกต้อง: ข้อ ก. 100x3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35" t="n"/>
      <c r="L46" s="34" t="inlineStr">
        <is>
          <t>Anemia</t>
        </is>
      </c>
      <c r="M46" s="35" t="inlineStr">
        <is>
          <t>Clinic</t>
        </is>
      </c>
      <c r="N46" s="34" t="inlineStr">
        <is>
          <t>PLE_CC1_2567_Key ข้อ 34</t>
        </is>
      </c>
      <c r="O46" s="35" t="inlineStr">
        <is>
          <t>ข้อสอบจริง</t>
        </is>
      </c>
      <c r="P46" s="35" t="inlineStr">
        <is>
          <t>ปี 2567</t>
        </is>
      </c>
      <c r="Q46" s="2" t="n"/>
    </row>
    <row r="47" ht="13.2" customHeight="1" s="49">
      <c r="A47" s="33" t="n">
        <v>45</v>
      </c>
      <c r="B47" s="34" t="inlineStr">
        <is>
          <t>Ferrous Sulfate 7H2O หาน้ำในตำรับต้องใช้วิธีทดสอบใด</t>
        </is>
      </c>
      <c r="C47" s="35" t="n"/>
      <c r="D47" s="34" t="inlineStr">
        <is>
          <t>KARL FISHER</t>
        </is>
      </c>
      <c r="E47" s="34" t="inlineStr">
        <is>
          <t>Loss on drying</t>
        </is>
      </c>
      <c r="F47" s="34" t="inlineStr">
        <is>
          <t>[NEED_REVIEW]</t>
        </is>
      </c>
      <c r="G47" s="34" t="inlineStr">
        <is>
          <t>[NEED_REVIEW]</t>
        </is>
      </c>
      <c r="H47" s="34" t="inlineStr">
        <is>
          <t>[NEED_REVIEW]</t>
        </is>
      </c>
      <c r="I47" s="33" t="inlineStr">
        <is>
          <t>1</t>
        </is>
      </c>
      <c r="J47" s="34" t="inlineStr">
        <is>
          <t>✅ คำตอบที่ถูกต้อง: ข้อ ก. KARL FISHER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35" t="n"/>
      <c r="L47" s="34" t="inlineStr">
        <is>
          <t>Anemia</t>
        </is>
      </c>
      <c r="M47" s="35" t="inlineStr">
        <is>
          <t>Clinic</t>
        </is>
      </c>
      <c r="N47" s="34" t="inlineStr">
        <is>
          <t>PLE_CC1_2567_Key ข้อ 35</t>
        </is>
      </c>
      <c r="O47" s="35" t="inlineStr">
        <is>
          <t>ข้อสอบจริง</t>
        </is>
      </c>
      <c r="P47" s="35" t="inlineStr">
        <is>
          <t>ปี 2567</t>
        </is>
      </c>
      <c r="Q47" s="2" t="n"/>
    </row>
    <row r="48" ht="13.2" customHeight="1" s="49">
      <c r="A48" s="33" t="n">
        <v>46</v>
      </c>
      <c r="B48" s="34" t="inlineStr">
        <is>
          <t>ผู้ป่วยรายนี้ควรจัดการอย่างไร เดิมใช้ยา HCTZ ตัวเดียว</t>
        </is>
      </c>
      <c r="C48" s="35" t="n"/>
      <c r="D48" s="34" t="inlineStr">
        <is>
          <t>หยุด HCTZ เพิ่ม enalapril</t>
        </is>
      </c>
      <c r="E48" s="34" t="inlineStr">
        <is>
          <t>เพิ่มขนาด HCTZ เป็น 1x2</t>
        </is>
      </c>
      <c r="F48" s="34" t="inlineStr">
        <is>
          <t>หยุด HCTZ เพิ่ม CCB</t>
        </is>
      </c>
      <c r="G48" s="34" t="inlineStr">
        <is>
          <t>เปลี่ยน HCTZ เป็น carvedilol</t>
        </is>
      </c>
      <c r="H48" s="34" t="inlineStr">
        <is>
          <t>ใช้ HCTZ เท่าเดิม แต่เพิ่ม amlodipine</t>
        </is>
      </c>
      <c r="I48" s="33" t="inlineStr">
        <is>
          <t>1</t>
        </is>
      </c>
      <c r="J48" s="34" t="inlineStr">
        <is>
          <t>✅ คำตอบที่ถูกต้อง: ข้อ ก. หยุด HCTZ เพิ่ม enalapril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35" t="n"/>
      <c r="L48" s="34" t="inlineStr">
        <is>
          <t>Anemia</t>
        </is>
      </c>
      <c r="M48" s="35" t="inlineStr">
        <is>
          <t>Clinic</t>
        </is>
      </c>
      <c r="N48" s="34" t="inlineStr">
        <is>
          <t>PLE_CC1_2567_Key ข้อ 82</t>
        </is>
      </c>
      <c r="O48" s="35" t="inlineStr">
        <is>
          <t>ข้อสอบจริง</t>
        </is>
      </c>
      <c r="P48" s="35" t="inlineStr">
        <is>
          <t>ปี 2567</t>
        </is>
      </c>
      <c r="Q48" s="2" t="n"/>
    </row>
    <row r="49" ht="13.2" customHeight="1" s="49">
      <c r="A49" s="33" t="n">
        <v>47</v>
      </c>
      <c r="B49" s="34" t="inlineStr">
        <is>
          <t>Ferrous Sulfate 7H2O หาน้ำในตำรับต้องใช้วิธีทดสอบใด</t>
        </is>
      </c>
      <c r="C49" s="35" t="n"/>
      <c r="D49" s="34" t="inlineStr">
        <is>
          <t>โรคนี้ให้รักษาด้วยการใช้น้ำตาเทียม</t>
        </is>
      </c>
      <c r="E49" s="34" t="inlineStr">
        <is>
          <t>ยาป้ายตาสามารถป้ายได้ขณะสวมคอนแทคเลนส์</t>
        </is>
      </c>
      <c r="F49" s="34" t="inlineStr">
        <is>
          <t>สามารถล้างคอนแทคเลนส์ด้วยน้ำเปล่าทุกวัน</t>
        </is>
      </c>
      <c r="G49" s="34" t="inlineStr">
        <is>
          <t>โรคนี้สามารถหายได้เองโดยไม่ต้องพบแพทย์</t>
        </is>
      </c>
      <c r="H49" s="34"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33" t="inlineStr">
        <is>
          <t>1</t>
        </is>
      </c>
      <c r="J49" s="34" t="inlineStr">
        <is>
          <t>✅ คำตอบที่ถูกต้อง: ข้อ ก. โรคนี้ให้รักษาด้วยการใช้น้ำตาเทียม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35" t="n"/>
      <c r="L49" s="34" t="inlineStr">
        <is>
          <t>Anemia</t>
        </is>
      </c>
      <c r="M49" s="35" t="inlineStr">
        <is>
          <t>Clinic</t>
        </is>
      </c>
      <c r="N49" s="34" t="inlineStr">
        <is>
          <t>PLE_CC1_2567_Set1_Key ข้อ 35</t>
        </is>
      </c>
      <c r="O49" s="35" t="inlineStr">
        <is>
          <t>ข้อสอบจริง</t>
        </is>
      </c>
      <c r="P49" s="35" t="inlineStr">
        <is>
          <t>ปี 2567</t>
        </is>
      </c>
      <c r="Q49" s="2" t="n"/>
    </row>
    <row r="50" ht="13.2" customHeight="1" s="49">
      <c r="A50" s="33" t="n">
        <v>48</v>
      </c>
      <c r="B50" s="34" t="inlineStr">
        <is>
          <t>เพศหญิงโลหิตจางค่าHb ตัวเลือก</t>
        </is>
      </c>
      <c r="C50" s="35" t="n"/>
      <c r="D50" s="34" t="inlineStr">
        <is>
          <t>Anemia</t>
        </is>
      </c>
      <c r="E50" s="34" t="inlineStr">
        <is>
          <t>Ferrous sulfate 300 mg TID</t>
        </is>
      </c>
      <c r="F50" s="34" t="inlineStr">
        <is>
          <t>Vitamin C 500 mg OD</t>
        </is>
      </c>
      <c r="G50" s="34" t="inlineStr">
        <is>
          <t>Pyridoxine 50 mg OD</t>
        </is>
      </c>
      <c r="H50" s="34" t="inlineStr">
        <is>
          <t>Hydroxyurea 500 mg OD</t>
        </is>
      </c>
      <c r="I50" s="33" t="inlineStr">
        <is>
          <t>1</t>
        </is>
      </c>
      <c r="J50"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35" t="n"/>
      <c r="L50" s="34" t="inlineStr">
        <is>
          <t>Anemia</t>
        </is>
      </c>
      <c r="M50" s="35" t="inlineStr">
        <is>
          <t>Clinic</t>
        </is>
      </c>
      <c r="N50" s="34" t="inlineStr">
        <is>
          <t>PLE-CC1 ปี 2566 Day 1 ข้อ 22</t>
        </is>
      </c>
      <c r="O50" s="35" t="inlineStr">
        <is>
          <t>ข้อสอบจริง</t>
        </is>
      </c>
      <c r="P50" s="35" t="inlineStr">
        <is>
          <t>ปี 2566</t>
        </is>
      </c>
    </row>
    <row r="51" ht="13.2" customHeight="1" s="49">
      <c r="A51" s="33" t="n">
        <v>49</v>
      </c>
      <c r="B51" s="34" t="inlineStr">
        <is>
          <t>ให้สมการเคมีมาแล้วถามว่าเป็นการtitrate แบบใด ตัวเลือก(น่าจะเป็นCerium กับFerrous)</t>
        </is>
      </c>
      <c r="C51" s="35" t="n"/>
      <c r="D51" s="34" t="inlineStr">
        <is>
          <t>Anemia</t>
        </is>
      </c>
      <c r="E51" s="34" t="inlineStr">
        <is>
          <t>Hydroxyurea 500 mg OD</t>
        </is>
      </c>
      <c r="F51" s="34" t="inlineStr">
        <is>
          <t>Blood transfusion (Packed Red Cells)</t>
        </is>
      </c>
      <c r="G51" s="34" t="inlineStr">
        <is>
          <t>Ferrous fumarate 200 mg TID</t>
        </is>
      </c>
      <c r="H51" s="34" t="inlineStr">
        <is>
          <t>Folic acid 5 mg OD</t>
        </is>
      </c>
      <c r="I51" s="33" t="inlineStr">
        <is>
          <t>1</t>
        </is>
      </c>
      <c r="J51"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35" t="n"/>
      <c r="L51" s="34" t="inlineStr">
        <is>
          <t>Anemia</t>
        </is>
      </c>
      <c r="M51" s="35" t="inlineStr">
        <is>
          <t>Clinic</t>
        </is>
      </c>
      <c r="N51" s="34" t="inlineStr">
        <is>
          <t>PLE-CC1 ปี 2566 Day 1 ข้อ 24</t>
        </is>
      </c>
      <c r="O51" s="35" t="inlineStr">
        <is>
          <t>ข้อสอบจริง</t>
        </is>
      </c>
      <c r="P51" s="35" t="inlineStr">
        <is>
          <t>ปี 2566</t>
        </is>
      </c>
    </row>
    <row r="52" ht="13.2" customHeight="1" s="49">
      <c r="A52" s="33" t="n">
        <v>50</v>
      </c>
      <c r="B52" s="34" t="inlineStr">
        <is>
          <t>โรคอ้วน, การดื่มแอลกอฮอล์, HCTZ</t>
        </is>
      </c>
      <c r="C52" s="35" t="n"/>
      <c r="D52" s="34" t="inlineStr">
        <is>
          <t>Anemia</t>
        </is>
      </c>
      <c r="E52" s="34" t="inlineStr">
        <is>
          <t>Folic acid 5 mg OD</t>
        </is>
      </c>
      <c r="F52" s="34" t="inlineStr">
        <is>
          <t>Vitamin B12 1000 mcg IM</t>
        </is>
      </c>
      <c r="G52" s="34" t="inlineStr">
        <is>
          <t>Deferoxamine 500 mg SC</t>
        </is>
      </c>
      <c r="H52" s="34" t="inlineStr">
        <is>
          <t>Erythropoietin 4000 units SC</t>
        </is>
      </c>
      <c r="I52" s="33" t="inlineStr">
        <is>
          <t>1</t>
        </is>
      </c>
      <c r="J52"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35" t="n"/>
      <c r="L52" s="34" t="inlineStr">
        <is>
          <t>Anemia</t>
        </is>
      </c>
      <c r="M52" s="35" t="inlineStr">
        <is>
          <t>Clinic</t>
        </is>
      </c>
      <c r="N52" s="34" t="inlineStr">
        <is>
          <t>PLE-CC1 ปี 2566 Day 1 ข้อ 4</t>
        </is>
      </c>
      <c r="O52" s="35" t="inlineStr">
        <is>
          <t>ข้อสอบจริง</t>
        </is>
      </c>
      <c r="P52" s="35" t="inlineStr">
        <is>
          <t>ปี 2566</t>
        </is>
      </c>
    </row>
    <row r="53" ht="13.2" customHeight="1" s="49">
      <c r="A53" s="33" t="n">
        <v>51</v>
      </c>
      <c r="B53" s="34" t="inlineStr">
        <is>
          <t>ขอใดคือกลไกของยา HCTZ</t>
        </is>
      </c>
      <c r="C53" s="35" t="n"/>
      <c r="D53" s="34" t="inlineStr">
        <is>
          <t>ยับยั้ง Na/K/2Cl ที่ loop of Henle</t>
        </is>
      </c>
      <c r="E53" s="34" t="inlineStr">
        <is>
          <t>ยับยั้งการดูดกลับ Na ที่ collecting duct</t>
        </is>
      </c>
      <c r="F53" s="34" t="inlineStr">
        <is>
          <t>ลดการดูดกลับ Na ที่ distal loop</t>
        </is>
      </c>
      <c r="G53" s="34" t="inlineStr">
        <is>
          <t>ยับยั้ง Na/Cl cotransporter</t>
        </is>
      </c>
      <c r="H53" s="34" t="inlineStr">
        <is>
          <t>[NEED_REVIEW]</t>
        </is>
      </c>
      <c r="I53" s="33" t="inlineStr">
        <is>
          <t>1</t>
        </is>
      </c>
      <c r="J53" s="34" t="inlineStr">
        <is>
          <t>✅ คำตอบที่ถูกต้อง: ข้อ ก. ยับยั้ง Na/K/2Cl ที่ loop of Henle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มีโรคประจำตัวเปMน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-แพทยçวินิจฉัยเปMน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35" t="n"/>
      <c r="L53" s="34" t="inlineStr">
        <is>
          <t>Anemia</t>
        </is>
      </c>
      <c r="M53" s="35" t="inlineStr">
        <is>
          <t>Clinic</t>
        </is>
      </c>
      <c r="N53" s="34" t="inlineStr">
        <is>
          <t>PLE_CC1_2565_Day1_Key ข้อ 5</t>
        </is>
      </c>
      <c r="O53" s="35" t="inlineStr">
        <is>
          <t>ข้อสอบจริง</t>
        </is>
      </c>
      <c r="P53" s="35" t="inlineStr">
        <is>
          <t>ปี 2565</t>
        </is>
      </c>
      <c r="Q53" s="2" t="n"/>
    </row>
    <row r="54" ht="13.2" customHeight="1" s="49">
      <c r="A54" s="33" t="n">
        <v>52</v>
      </c>
      <c r="B54" s="34" t="inlineStr">
        <is>
          <t>สารใดช-วยดูดซึมเหล็กดีที่สุด macrocytic anemia microcytic hypochromic anemia + occult blood positive → Iron deﬁciency anemia iron overload ใWใน CKD-related anemia (Z[วย \งไAเLน CKD) macrocytic anemia</t>
        </is>
      </c>
      <c r="C54" s="35" t="n"/>
      <c r="D54" s="34" t="inlineStr">
        <is>
          <t>B6</t>
        </is>
      </c>
      <c r="E54" s="34" t="inlineStr">
        <is>
          <t>vitamin c</t>
        </is>
      </c>
      <c r="F54" s="34" t="inlineStr">
        <is>
          <t>vitamin d</t>
        </is>
      </c>
      <c r="G54" s="34" t="inlineStr">
        <is>
          <t>Ca</t>
        </is>
      </c>
      <c r="H54" s="34" t="inlineStr">
        <is>
          <t>zinc</t>
        </is>
      </c>
      <c r="I54" s="33" t="inlineStr">
        <is>
          <t>1</t>
        </is>
      </c>
      <c r="J54" s="34"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35" t="n"/>
      <c r="L54" s="34" t="inlineStr">
        <is>
          <t>Anemia</t>
        </is>
      </c>
      <c r="M54" s="35" t="inlineStr">
        <is>
          <t>Clinic</t>
        </is>
      </c>
      <c r="N54" s="34" t="inlineStr">
        <is>
          <t>PLE_CC1_2565_Day2_Key ข้อ 13</t>
        </is>
      </c>
      <c r="O54" s="35" t="inlineStr">
        <is>
          <t>ข้อสอบจริง</t>
        </is>
      </c>
      <c r="P54" s="35" t="inlineStr">
        <is>
          <t>ปี 2565</t>
        </is>
      </c>
      <c r="Q54" s="2" t="n"/>
    </row>
    <row r="55" ht="13.2" customHeight="1" s="49">
      <c r="A55" s="33" t="n">
        <v>53</v>
      </c>
      <c r="B55" s="34"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35" t="n"/>
      <c r="D55" s="34" t="inlineStr">
        <is>
          <t>7 วัน</t>
        </is>
      </c>
      <c r="E55" s="34" t="inlineStr">
        <is>
          <t>14 วัน</t>
        </is>
      </c>
      <c r="F55" s="34" t="inlineStr">
        <is>
          <t>1 เดือน</t>
        </is>
      </c>
      <c r="G55" s="34" t="inlineStr">
        <is>
          <t>3 เดือน</t>
        </is>
      </c>
      <c r="H55" s="34" t="inlineStr">
        <is>
          <t>1 ปç</t>
        </is>
      </c>
      <c r="I55" s="33" t="inlineStr">
        <is>
          <t>1</t>
        </is>
      </c>
      <c r="J55" s="34" t="inlineStr">
        <is>
          <t>✅ คำตอบที่ถูกต้อง: ข้อ ก. 7 วัน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35" t="n"/>
      <c r="L55" s="34" t="inlineStr">
        <is>
          <t>Anemia</t>
        </is>
      </c>
      <c r="M55" s="35" t="inlineStr">
        <is>
          <t>Clinic</t>
        </is>
      </c>
      <c r="N55" s="34" t="inlineStr">
        <is>
          <t>PLE_CC1_2565_Day2_Key ข้อ 14</t>
        </is>
      </c>
      <c r="O55" s="35" t="inlineStr">
        <is>
          <t>ข้อสอบจริง</t>
        </is>
      </c>
      <c r="P55" s="35" t="inlineStr">
        <is>
          <t>ปี 2565</t>
        </is>
      </c>
      <c r="Q55" s="2" t="n"/>
    </row>
    <row r="56" ht="13.2" customHeight="1" s="49">
      <c r="A56" s="33" t="n">
        <v>54</v>
      </c>
      <c r="B56" s="34" t="inlineStr">
        <is>
          <t>เปQน Anemia จำได$แค- Hct 20% ถามว-าให$อะไร Hb จะเrมlนใน 2–3 sปดาt แYuองใE iron Yอvก ≈3 เxอน → เyอ replenish iron stores (ferritin) ! zาห{ดเ|ว → Hb MlนแY iron store \งไAเ}ม → relapse</t>
        </is>
      </c>
      <c r="C56" s="35" t="n"/>
      <c r="D56" s="34" t="inlineStr">
        <is>
          <t>vitB12 IV</t>
        </is>
      </c>
      <c r="E56" s="34" t="inlineStr">
        <is>
          <t>VitB12 PO</t>
        </is>
      </c>
      <c r="F56" s="34" t="inlineStr">
        <is>
          <t>[NEED_REVIEW]</t>
        </is>
      </c>
      <c r="G56" s="34" t="inlineStr">
        <is>
          <t>[NEED_REVIEW]</t>
        </is>
      </c>
      <c r="H56" s="34" t="inlineStr">
        <is>
          <t>[NEED_REVIEW]</t>
        </is>
      </c>
      <c r="I56" s="33" t="inlineStr">
        <is>
          <t>1</t>
        </is>
      </c>
      <c r="J56" s="34" t="inlineStr">
        <is>
          <t>✅ คำตอบที่ถูกต้อง: ข้อ ก. vitB12 IV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35" t="n"/>
      <c r="L56" s="34" t="inlineStr">
        <is>
          <t>Anemia</t>
        </is>
      </c>
      <c r="M56" s="35" t="inlineStr">
        <is>
          <t>Clinic</t>
        </is>
      </c>
      <c r="N56" s="34" t="inlineStr">
        <is>
          <t>PLE_CC1_2565_Day2_Key ข้อ 15</t>
        </is>
      </c>
      <c r="O56" s="35" t="inlineStr">
        <is>
          <t>ข้อสอบจริง</t>
        </is>
      </c>
      <c r="P56" s="35" t="inlineStr">
        <is>
          <t>ปี 2565</t>
        </is>
      </c>
      <c r="Q56" s="2" t="n"/>
    </row>
    <row r="57" ht="13.2" customHeight="1" s="49">
      <c r="A57" s="33" t="n">
        <v>55</v>
      </c>
      <c r="B57" s="34" t="inlineStr">
        <is>
          <t>Anemia (Ferrous def, B12 def)</t>
        </is>
      </c>
      <c r="C57" s="35" t="n"/>
      <c r="D57" s="34" t="inlineStr">
        <is>
          <t>Anemia</t>
        </is>
      </c>
      <c r="E57" s="34" t="inlineStr">
        <is>
          <t>Vitamin C 500 mg OD</t>
        </is>
      </c>
      <c r="F57" s="34" t="inlineStr">
        <is>
          <t>Pyridoxine 50 mg OD</t>
        </is>
      </c>
      <c r="G57" s="34" t="inlineStr">
        <is>
          <t>Hydroxyurea 500 mg OD</t>
        </is>
      </c>
      <c r="H57" s="34" t="inlineStr">
        <is>
          <t>Blood transfusion (Packed Red Cells)</t>
        </is>
      </c>
      <c r="I57" s="33" t="inlineStr">
        <is>
          <t>1</t>
        </is>
      </c>
      <c r="J57"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35" t="n"/>
      <c r="L57" s="34" t="inlineStr">
        <is>
          <t>Anemia</t>
        </is>
      </c>
      <c r="M57" s="35" t="inlineStr">
        <is>
          <t>Clinic</t>
        </is>
      </c>
      <c r="N57" s="34" t="inlineStr">
        <is>
          <t>PLE_CC1_2565_Day2_Key ข้อ 3</t>
        </is>
      </c>
      <c r="O57" s="35" t="inlineStr">
        <is>
          <t>ข้อสอบจริง</t>
        </is>
      </c>
      <c r="P57" s="35" t="inlineStr">
        <is>
          <t>ปี 2565</t>
        </is>
      </c>
    </row>
    <row r="58" ht="13.2" customHeight="1" s="49">
      <c r="A58" s="33" t="n">
        <v>56</v>
      </c>
      <c r="B58" s="34" t="inlineStr">
        <is>
          <t>เป้าหมาย Hb ในการรักษาโลหิตจางของผู้หญิง</t>
        </is>
      </c>
      <c r="C58" s="35" t="n"/>
      <c r="D58" s="34" t="inlineStr">
        <is>
          <t>Anemia</t>
        </is>
      </c>
      <c r="E58" s="34" t="inlineStr">
        <is>
          <t>12-16 mg/dL</t>
        </is>
      </c>
      <c r="F58" s="34" t="inlineStr">
        <is>
          <t>13-17 mg/dL</t>
        </is>
      </c>
      <c r="G58" s="34" t="inlineStr">
        <is>
          <t>Folic acid 5 mg OD</t>
        </is>
      </c>
      <c r="H58" s="34" t="inlineStr">
        <is>
          <t>Vitamin B12 1000 mcg IM</t>
        </is>
      </c>
      <c r="I58" s="33" t="inlineStr">
        <is>
          <t>1</t>
        </is>
      </c>
      <c r="J58" s="34"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35" t="n"/>
      <c r="L58" s="34" t="inlineStr">
        <is>
          <t>Anemia</t>
        </is>
      </c>
      <c r="M58" s="35" t="inlineStr">
        <is>
          <t>Clinic</t>
        </is>
      </c>
      <c r="N58" s="34" t="inlineStr">
        <is>
          <t>PLE_CC1_2564_All_Key ข้อ 45</t>
        </is>
      </c>
      <c r="O58" s="35" t="inlineStr">
        <is>
          <t>ข้อสอบจริง</t>
        </is>
      </c>
      <c r="P58" s="35" t="inlineStr">
        <is>
          <t>ปี 2564</t>
        </is>
      </c>
    </row>
    <row r="59" ht="13.2" customHeight="1" s="49">
      <c r="A59" s="33" t="n">
        <v>57</v>
      </c>
      <c r="B59" s="34"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35" t="n"/>
      <c r="D59" s="34" t="inlineStr">
        <is>
          <t>Antacid</t>
        </is>
      </c>
      <c r="E59" s="34" t="inlineStr">
        <is>
          <t>prokinetic drug</t>
        </is>
      </c>
      <c r="F59" s="34" t="inlineStr">
        <is>
          <t>H2-receptor antagonists</t>
        </is>
      </c>
      <c r="G59" s="34" t="inlineStr">
        <is>
          <t>Proton pump inhibitors</t>
        </is>
      </c>
      <c r="H59" s="34" t="inlineStr">
        <is>
          <t>H2-receptor antagonists ร่วมกับ Prokinetic drugs</t>
        </is>
      </c>
      <c r="I59" s="33" t="inlineStr">
        <is>
          <t>1</t>
        </is>
      </c>
      <c r="J59" s="34" t="inlineStr">
        <is>
          <t>✅ คำตอบที่ถูกต้อง: ข้อ ก. Antacid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แนวทางการวินิจฉัยและรักษาภาวะโลหิตจาง พ.ศ. 2564 (สมาคมโลหิตวิทยาแห่งประเทศไทย)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35" t="n"/>
      <c r="L59" s="34" t="inlineStr">
        <is>
          <t>Anemia</t>
        </is>
      </c>
      <c r="M59" s="35" t="inlineStr">
        <is>
          <t>Clinic</t>
        </is>
      </c>
      <c r="N59" s="34" t="inlineStr">
        <is>
          <t>PLE_CC1_2564_All_Key ข้อ 104</t>
        </is>
      </c>
      <c r="O59" s="35" t="inlineStr">
        <is>
          <t>ข้อสอบจริง</t>
        </is>
      </c>
      <c r="P59" s="35" t="inlineStr">
        <is>
          <t>ปี 2564</t>
        </is>
      </c>
      <c r="Q59" s="2" t="n"/>
    </row>
    <row r="60" ht="13.2" customHeight="1" s="49">
      <c r="A60" s="33" t="n">
        <v>58</v>
      </c>
      <c r="B60" s="34" t="inlineStr">
        <is>
          <t>คู่ยาใดที่เกิด DI ที่มีความสำคัญทางคลินิกมากสุด X -sim X x high high - Ator ~ X i -environ myopathy 12 X rhabdo 289 M . G72 X</t>
        </is>
      </c>
      <c r="C60" s="35" t="n"/>
      <c r="D60" s="34" t="inlineStr">
        <is>
          <t>Simvastatin + gemfibrozil</t>
        </is>
      </c>
      <c r="E60" s="34" t="inlineStr">
        <is>
          <t>Omeprazole + clopidrogrel</t>
        </is>
      </c>
      <c r="F60" s="34" t="inlineStr">
        <is>
          <t>Clopidrogrel + aspirin</t>
        </is>
      </c>
      <c r="G60" s="34" t="inlineStr">
        <is>
          <t>Simvastatin + amlodipine</t>
        </is>
      </c>
      <c r="H60" s="34" t="inlineStr">
        <is>
          <t>Aspirin + clopidrogrel</t>
        </is>
      </c>
      <c r="I60" s="33" t="inlineStr">
        <is>
          <t>1</t>
        </is>
      </c>
      <c r="J60" s="34"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35" t="n"/>
      <c r="L60" s="34" t="inlineStr">
        <is>
          <t>Anemia</t>
        </is>
      </c>
      <c r="M60" s="35" t="inlineStr">
        <is>
          <t>Clinic</t>
        </is>
      </c>
      <c r="N60" s="34" t="inlineStr">
        <is>
          <t>ข้อ 68 (PLE_CC1_2562_Key.md)</t>
        </is>
      </c>
      <c r="O60" s="35" t="inlineStr">
        <is>
          <t>ข้อสอบจริง</t>
        </is>
      </c>
      <c r="P60" s="35" t="inlineStr">
        <is>
          <t>ปี 2562</t>
        </is>
      </c>
    </row>
    <row r="61" ht="13.2" customHeight="1" s="49">
      <c r="A61" s="33" t="n">
        <v>59</v>
      </c>
      <c r="B61" s="34" t="inlineStr">
        <is>
          <t>ผูป%วยรายนี้น!าจะเกิดภาวะโลหิตจางจากสาเหตุใด</t>
        </is>
      </c>
      <c r="C61" s="35" t="n"/>
      <c r="D61" s="34" t="inlineStr">
        <is>
          <t>โรคเรื้อรัง</t>
        </is>
      </c>
      <c r="E61" s="34" t="inlineStr">
        <is>
          <t>ขาดโฟเลต</t>
        </is>
      </c>
      <c r="F61" s="34" t="inlineStr">
        <is>
          <t>ขาดธาตุเหล็ก</t>
        </is>
      </c>
      <c r="G61" s="34" t="inlineStr">
        <is>
          <t>ขาดวิตามินบี 12</t>
        </is>
      </c>
      <c r="H61" s="34" t="inlineStr">
        <is>
          <t>เม็ดเลือดแดงแตก</t>
        </is>
      </c>
      <c r="I61" s="33" t="inlineStr">
        <is>
          <t>1</t>
        </is>
      </c>
      <c r="J61" s="34"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35" t="n"/>
      <c r="L61" s="34" t="inlineStr">
        <is>
          <t>Anemia</t>
        </is>
      </c>
      <c r="M61" s="35" t="inlineStr">
        <is>
          <t>Clinic</t>
        </is>
      </c>
      <c r="N61" s="34" t="inlineStr">
        <is>
          <t>ข้อ 12 (PLE_CC1_2561_Key.md)</t>
        </is>
      </c>
      <c r="O61" s="35" t="inlineStr">
        <is>
          <t>ข้อสอบจริง</t>
        </is>
      </c>
      <c r="P61" s="35" t="inlineStr">
        <is>
          <t>ปี 2561</t>
        </is>
      </c>
    </row>
    <row r="62" ht="13.2" customHeight="1" s="49">
      <c r="A62" s="33" t="n">
        <v>60</v>
      </c>
      <c r="B62" s="34" t="inlineStr">
        <is>
          <t>ขอใดคือคำแนะนำในการรับประทานยา ferrous sulfate</t>
        </is>
      </c>
      <c r="C62" s="35" t="n"/>
      <c r="D62" s="34" t="inlineStr">
        <is>
          <t>ยาทำใหปtสสาวะสีเหลืองเขม</t>
        </is>
      </c>
      <c r="E62" s="34" t="inlineStr">
        <is>
          <t>หามรับประทานร!วมกับน้ำผลไม</t>
        </is>
      </c>
      <c r="F62" s="34" t="inlineStr">
        <is>
          <t>หากถ!ายดำไม!ตองตกใจ เปEนเพราะตัวยา</t>
        </is>
      </c>
      <c r="G62" s="34" t="inlineStr">
        <is>
          <t>รับประทานพรอมกับนมช!วยเพิ่มการดูดซึม</t>
        </is>
      </c>
      <c r="H62" s="34" t="inlineStr">
        <is>
          <t>รับประทานพรอมกับอาหารจะเพิ่มการดูดซึม t</t>
        </is>
      </c>
      <c r="I62" s="33" t="inlineStr">
        <is>
          <t>1</t>
        </is>
      </c>
      <c r="J62" s="34"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35" t="n"/>
      <c r="L62" s="34" t="inlineStr">
        <is>
          <t>Anemia</t>
        </is>
      </c>
      <c r="M62" s="35" t="inlineStr">
        <is>
          <t>Clinic</t>
        </is>
      </c>
      <c r="N62" s="34" t="inlineStr">
        <is>
          <t>ข้อ 15 (PLE_CC1_2561_Key.md)</t>
        </is>
      </c>
      <c r="O62" s="35" t="inlineStr">
        <is>
          <t>ข้อสอบจริง</t>
        </is>
      </c>
      <c r="P62" s="35" t="inlineStr">
        <is>
          <t>ปี 2561</t>
        </is>
      </c>
    </row>
    <row r="63" ht="13.2" customHeight="1" s="49">
      <c r="A63" s="33" t="n">
        <v>61</v>
      </c>
      <c r="B63" s="34" t="inlineStr">
        <is>
          <t>ขอใดคือผลขางเคียงจากยา ferrous sulfate</t>
        </is>
      </c>
      <c r="C63" s="35" t="n"/>
      <c r="D63" s="34" t="inlineStr">
        <is>
          <t>Diarrhea</t>
        </is>
      </c>
      <c r="E63" s="34" t="inlineStr">
        <is>
          <t>Headache</t>
        </is>
      </c>
      <c r="F63" s="34" t="inlineStr">
        <is>
          <t>Tachycardia</t>
        </is>
      </c>
      <c r="G63" s="34" t="inlineStr">
        <is>
          <t>Constipation</t>
        </is>
      </c>
      <c r="H63" s="34" t="inlineStr">
        <is>
          <t>Hypokalemia</t>
        </is>
      </c>
      <c r="I63" s="33" t="inlineStr">
        <is>
          <t>1</t>
        </is>
      </c>
      <c r="J63" s="34"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35" t="n"/>
      <c r="L63" s="34" t="inlineStr">
        <is>
          <t>Anemia</t>
        </is>
      </c>
      <c r="M63" s="35" t="inlineStr">
        <is>
          <t>Clinic</t>
        </is>
      </c>
      <c r="N63" s="34" t="inlineStr">
        <is>
          <t>ข้อ 14 (PLE_CC1_2561_Key.md)</t>
        </is>
      </c>
      <c r="O63" s="35" t="inlineStr">
        <is>
          <t>ข้อสอบจริง</t>
        </is>
      </c>
      <c r="P63" s="35" t="inlineStr">
        <is>
          <t>ปี 2561</t>
        </is>
      </c>
    </row>
    <row r="64" ht="13.2" customHeight="1" s="49">
      <c r="A64" s="33" t="n">
        <v>62</v>
      </c>
      <c r="B64" s="34" t="inlineStr">
        <is>
          <t>ส!วนประกอบของสูตรเคลือบฟuลTมของยา ferrous sulfate ขอใด ถูกตอง</t>
        </is>
      </c>
      <c r="C64" s="35" t="n"/>
      <c r="D64" s="34" t="inlineStr">
        <is>
          <t>Talcum ทำหนาที่เปEนสารก!อฟuลTม</t>
        </is>
      </c>
      <c r="E64" s="34" t="inlineStr">
        <is>
          <t>Ethyl alcohol ทำหนาที่เปEน antioxidant</t>
        </is>
      </c>
      <c r="F64" s="34" t="inlineStr">
        <is>
          <t>Propylene glycol ทำหนาที่เปEน plasticizer</t>
        </is>
      </c>
      <c r="G64" s="34" t="inlineStr">
        <is>
          <t>Titanium dioxide ทำหนาที่เปEน สารก!อฟuลTม</t>
        </is>
      </c>
      <c r="H64" s="34" t="inlineStr">
        <is>
          <t>Hydroxymethylpropyl cellulose ทำหนาที่เปEนสารทึบ แสง</t>
        </is>
      </c>
      <c r="I64" s="33" t="inlineStr">
        <is>
          <t>1</t>
        </is>
      </c>
      <c r="J64" s="34"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35" t="n"/>
      <c r="L64" s="34" t="inlineStr">
        <is>
          <t>Anemia</t>
        </is>
      </c>
      <c r="M64" s="35" t="inlineStr">
        <is>
          <t>Clinic</t>
        </is>
      </c>
      <c r="N64" s="34" t="inlineStr">
        <is>
          <t>ข้อ 16 (PLE_CC1_2561_Key.md)</t>
        </is>
      </c>
      <c r="O64" s="35" t="inlineStr">
        <is>
          <t>ข้อสอบจริง</t>
        </is>
      </c>
      <c r="P64" s="35" t="inlineStr">
        <is>
          <t>ปี 2561</t>
        </is>
      </c>
    </row>
    <row r="65" ht="13.2" customHeight="1" s="49">
      <c r="A65" s="33" t="n">
        <v>63</v>
      </c>
      <c r="B65" s="34" t="inlineStr">
        <is>
          <t>การสังเคราะห์ HCTZ จงระบุว่า A คือข้อใด</t>
        </is>
      </c>
      <c r="C65" s="35" t="n"/>
      <c r="D65" s="34" t="inlineStr">
        <is>
          <t>H-CO-H</t>
        </is>
      </c>
      <c r="E65" s="34" t="inlineStr">
        <is>
          <t>H-CO-OH</t>
        </is>
      </c>
      <c r="F65" s="34" t="inlineStr">
        <is>
          <t>Cl-C-Cl</t>
        </is>
      </c>
      <c r="G65" s="34" t="inlineStr">
        <is>
          <t>C-CO-H 18 MCQ11 2/2560 By CU Rx73 MCQ11 2/2560 By CU Rx73</t>
        </is>
      </c>
      <c r="H65" s="34" t="inlineStr">
        <is>
          <t>Deferoxamine 500 mg SC</t>
        </is>
      </c>
      <c r="I65" s="33" t="inlineStr">
        <is>
          <t>1</t>
        </is>
      </c>
      <c r="J65" s="34"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35" t="n"/>
      <c r="L65" s="34" t="inlineStr">
        <is>
          <t>Anemia</t>
        </is>
      </c>
      <c r="M65" s="35" t="inlineStr">
        <is>
          <t>Clinic</t>
        </is>
      </c>
      <c r="N65" s="34" t="inlineStr">
        <is>
          <t>ข้อ 7 (PLE_CC1_2560 22 April Set 2.md)</t>
        </is>
      </c>
      <c r="O65" s="35" t="inlineStr">
        <is>
          <t>ข้อสอบจริง</t>
        </is>
      </c>
      <c r="P65" s="35" t="inlineStr">
        <is>
          <t>ปี 2560</t>
        </is>
      </c>
    </row>
    <row r="66" ht="13.2" customHeight="1" s="49">
      <c r="A66" s="33" t="n">
        <v>64</v>
      </c>
      <c r="B66" s="34" t="inlineStr">
        <is>
          <t>ข้อใดถูกเกี่ยวกับโครงสร้างยา spironolactone กับ canrenone ---------------------------→</t>
        </is>
      </c>
      <c r="C66" s="35" t="n"/>
      <c r="D66" s="34" t="inlineStr">
        <is>
          <t>ตัวยาออกฤทธิ์โดยจับกับ receptor ภายนอกของ Henle loop</t>
        </is>
      </c>
      <c r="E66" s="34" t="inlineStr">
        <is>
          <t>ถ้า lactone ring เปิดออก จะได้สารที่ มีฤทธิ์</t>
        </is>
      </c>
      <c r="F66" s="34" t="inlineStr">
        <is>
          <t>Canrenone เป็น inactive metabolite</t>
        </is>
      </c>
      <c r="G66" s="34" t="inlineStr">
        <is>
          <t>Spironolactone มีความเป็น lipophilic ต่ำกว่า canrenone</t>
        </is>
      </c>
      <c r="H66" s="34" t="inlineStr">
        <is>
          <t>Spironolactone มีฤทธิ์น้อยกว่า canrenone ห้ามนำไปทำซ้ำทุกกรณี เว้นแต่จะได้รับอนุญาต</t>
        </is>
      </c>
      <c r="I66" s="33" t="inlineStr">
        <is>
          <t>1</t>
        </is>
      </c>
      <c r="J66" s="34" t="inlineStr">
        <is>
          <t>✅ คำตอบที่ถูกต้อง: ข้อ ก. ตัวยาออกฤทธิ์โดยจับกับ receptor ภายนอกของ Henle loop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35" t="n"/>
      <c r="L66" s="34" t="inlineStr">
        <is>
          <t>Anemia</t>
        </is>
      </c>
      <c r="M66" s="35" t="inlineStr">
        <is>
          <t>Clinic</t>
        </is>
      </c>
      <c r="N66" s="34" t="inlineStr">
        <is>
          <t>ข้อ 91 (PLE_CC1_2558_Key.md)</t>
        </is>
      </c>
      <c r="O66" s="35" t="inlineStr">
        <is>
          <t>ข้อสอบจริง</t>
        </is>
      </c>
      <c r="P66" s="35" t="inlineStr">
        <is>
          <t>ปี 2558</t>
        </is>
      </c>
    </row>
    <row r="67" ht="13.2" customHeight="1" s="49">
      <c r="A67" s="33" t="n">
        <v>65</v>
      </c>
      <c r="B67" s="34" t="inlineStr">
        <is>
          <t>Ferrous sulfate กระปุกละ 100 เม็ด เป็นยาประเภทใด</t>
        </is>
      </c>
      <c r="C67" s="35" t="n"/>
      <c r="D67" s="34" t="inlineStr">
        <is>
          <t>ยาเสพติดให้โทษ ประเภทที่ 3</t>
        </is>
      </c>
      <c r="E67" s="34" t="inlineStr">
        <is>
          <t>ยาอันตราย</t>
        </is>
      </c>
      <c r="F67" s="34" t="inlineStr">
        <is>
          <t>ยาควบคุมพิเศษ</t>
        </is>
      </c>
      <c r="G67" s="34" t="inlineStr">
        <is>
          <t>วัตถุออกฤทธิ์ต่อจิตและประสาท ประเภท 3</t>
        </is>
      </c>
      <c r="H67" s="34" t="inlineStr">
        <is>
          <t>[NEED_REVIEW]</t>
        </is>
      </c>
      <c r="I67" s="33" t="inlineStr">
        <is>
          <t>1</t>
        </is>
      </c>
      <c r="J67" s="34"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35" t="n"/>
      <c r="L67" s="34" t="inlineStr">
        <is>
          <t>Anemia</t>
        </is>
      </c>
      <c r="M67" s="35" t="inlineStr">
        <is>
          <t>Clinic</t>
        </is>
      </c>
      <c r="N67" s="34" t="inlineStr">
        <is>
          <t>ข้อ 4 (LAW-CU-71.md)</t>
        </is>
      </c>
      <c r="O67" s="35" t="inlineStr">
        <is>
          <t>Mock</t>
        </is>
      </c>
      <c r="P67" s="35" t="inlineStr">
        <is>
          <t>Mock กฎหมาย CU71</t>
        </is>
      </c>
    </row>
    <row r="68" ht="13.2" customHeight="1" s="49">
      <c r="A68" s="33" t="n">
        <v>66</v>
      </c>
      <c r="B68" s="34" t="inlineStr">
        <is>
          <t>ข้อใดไม่จำเป็นต้องแนะนำผู้ป่วย เมื_x001E_อผู้ป่วยรับประทาน Ferrous sulfate (FeSO4) (1) ยานี_x001B_อาจทำให้อุจจาระเปลี_x0003_ยนเป็นสีดำได้ (2) ยานี_x001B_อาจทำให้ท้องผูกได้มากขึ_x001B_น (3) ควรหลีกเลี_x0003_ยงการรับประทานร่วมกับนม (4) การรับประทานยาหลังอาหารสามารถเพิ_x0003_มการดูดซึม (5) การรับประทานยาก่อนอาหาร อาจทำให้มีอาการ คลื_x0003_นไส้ อาเจียนได้</t>
        </is>
      </c>
      <c r="C68" s="35" t="n"/>
      <c r="D68" s="34" t="inlineStr">
        <is>
          <t>Hydroxyurea 500 mg OD</t>
        </is>
      </c>
      <c r="E68" s="34" t="inlineStr">
        <is>
          <t>Blood transfusion (Packed Red Cells)</t>
        </is>
      </c>
      <c r="F68" s="34" t="inlineStr">
        <is>
          <t>Ferrous fumarate 200 mg TID</t>
        </is>
      </c>
      <c r="G68" s="34" t="inlineStr">
        <is>
          <t>Folic acid 5 mg OD</t>
        </is>
      </c>
      <c r="H68" s="34" t="inlineStr">
        <is>
          <t>Vitamin B12 1000 mcg IM</t>
        </is>
      </c>
      <c r="I68" s="33" t="inlineStr">
        <is>
          <t>1</t>
        </is>
      </c>
      <c r="J6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แนวทางการวินิจฉัยและรักษาภาวะโลหิตจาง พ.ศ. 2564 (สมาคมโลหิตวิทยาแห่งประเทศไทย)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Anemia</t>
        </is>
      </c>
      <c r="M68" s="35" t="inlineStr">
        <is>
          <t>Clinic</t>
        </is>
      </c>
      <c r="N68" s="34" t="inlineStr">
        <is>
          <t>ข้อ 67 (PLE_CC1_2557.md)</t>
        </is>
      </c>
      <c r="O68" s="35" t="inlineStr">
        <is>
          <t>ข้อสอบจริง</t>
        </is>
      </c>
      <c r="P68" s="35" t="inlineStr">
        <is>
          <t>ปี 2557</t>
        </is>
      </c>
    </row>
    <row r="69" ht="13.2" customHeight="1" s="49">
      <c r="A69" s="33" t="n">
        <v>67</v>
      </c>
      <c r="B69" s="34" t="inlineStr">
        <is>
          <t>Ferrous sulfate</t>
        </is>
      </c>
      <c r="C69" s="35" t="n"/>
      <c r="D69" s="34" t="inlineStr">
        <is>
          <t>Folic acid 5 mg OD</t>
        </is>
      </c>
      <c r="E69" s="34" t="inlineStr">
        <is>
          <t>Vitamin B12 1000 mcg IM</t>
        </is>
      </c>
      <c r="F69" s="34" t="inlineStr">
        <is>
          <t>Deferoxamine 500 mg SC</t>
        </is>
      </c>
      <c r="G69" s="34" t="inlineStr">
        <is>
          <t>Erythropoietin 4000 units SC</t>
        </is>
      </c>
      <c r="H69" s="34" t="inlineStr">
        <is>
          <t>Ferrous sulfate 300 mg TID</t>
        </is>
      </c>
      <c r="I69" s="33" t="inlineStr">
        <is>
          <t>1</t>
        </is>
      </c>
      <c r="J6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35" t="n"/>
      <c r="L69" s="34" t="inlineStr">
        <is>
          <t>Anemia</t>
        </is>
      </c>
      <c r="M69" s="35" t="inlineStr">
        <is>
          <t>Clinic</t>
        </is>
      </c>
      <c r="N69" s="34" t="inlineStr">
        <is>
          <t>ข้อ 2 (PLE_CC1_2556.md)</t>
        </is>
      </c>
      <c r="O69" s="35" t="inlineStr">
        <is>
          <t>ข้อสอบจริง</t>
        </is>
      </c>
      <c r="P69" s="35" t="inlineStr">
        <is>
          <t>ปี 2556</t>
        </is>
      </c>
    </row>
    <row r="70" ht="13.2" customHeight="1" s="49">
      <c r="A70" s="33" t="n">
        <v>68</v>
      </c>
      <c r="B70" s="34" t="inlineStr">
        <is>
          <t>ข้อใดเป็นกลไกของHCTZ</t>
        </is>
      </c>
      <c r="C70" s="35" t="n"/>
      <c r="D70" s="34" t="inlineStr">
        <is>
          <t>Erythropoietin 4000 units SC</t>
        </is>
      </c>
      <c r="E70" s="34" t="inlineStr">
        <is>
          <t>Ferrous sulfate 300 mg TID</t>
        </is>
      </c>
      <c r="F70" s="34" t="inlineStr">
        <is>
          <t>Vitamin C 500 mg OD</t>
        </is>
      </c>
      <c r="G70" s="34" t="inlineStr">
        <is>
          <t>Pyridoxine 50 mg OD</t>
        </is>
      </c>
      <c r="H70" s="34" t="inlineStr">
        <is>
          <t>Hydroxyurea 500 mg OD</t>
        </is>
      </c>
      <c r="I70" s="33" t="inlineStr">
        <is>
          <t>1</t>
        </is>
      </c>
      <c r="J7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35" t="n"/>
      <c r="L70" s="34" t="inlineStr">
        <is>
          <t>Anemia</t>
        </is>
      </c>
      <c r="M70" s="35" t="inlineStr">
        <is>
          <t>Clinic</t>
        </is>
      </c>
      <c r="N70" s="34" t="inlineStr">
        <is>
          <t>ข้อ 9 (PLE_CC1_2556.md)</t>
        </is>
      </c>
      <c r="O70" s="35" t="inlineStr">
        <is>
          <t>ข้อสอบจริง</t>
        </is>
      </c>
      <c r="P70" s="35" t="inlineStr">
        <is>
          <t>ปี 2556</t>
        </is>
      </c>
    </row>
    <row r="71" ht="13.2" customHeight="1" s="49">
      <c r="A71" s="33" t="n">
        <v>69</v>
      </c>
      <c r="B71" s="34" t="inlineStr">
        <is>
          <t>จากโครงสร้างของยา HCTZ สามารถวิเคราะห์หาหมู่โครงสร้างได้โดยวิธีการใด</t>
        </is>
      </c>
      <c r="C71" s="35" t="n"/>
      <c r="D71" s="34" t="inlineStr">
        <is>
          <t>Finger print จาก FTIR</t>
        </is>
      </c>
      <c r="E71" s="34" t="inlineStr">
        <is>
          <t>Chromatogram จาก TLC</t>
        </is>
      </c>
      <c r="F71" s="34" t="inlineStr">
        <is>
          <t>UV</t>
        </is>
      </c>
      <c r="G71" s="34" t="inlineStr">
        <is>
          <t>..............</t>
        </is>
      </c>
      <c r="H71" s="34" t="inlineStr">
        <is>
          <t>.................</t>
        </is>
      </c>
      <c r="I71" s="33" t="inlineStr">
        <is>
          <t>1</t>
        </is>
      </c>
      <c r="J71" s="34"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35" t="n"/>
      <c r="L71" s="34" t="inlineStr">
        <is>
          <t>Anemia</t>
        </is>
      </c>
      <c r="M71" s="35" t="inlineStr">
        <is>
          <t>Clinic</t>
        </is>
      </c>
      <c r="N71" s="34" t="inlineStr">
        <is>
          <t>ข้อ 32 (PLE_CC1_2555 Day 1.md)</t>
        </is>
      </c>
      <c r="O71" s="35" t="inlineStr">
        <is>
          <t>ข้อสอบจริง</t>
        </is>
      </c>
      <c r="P71" s="35" t="inlineStr">
        <is>
          <t>ปี 2555</t>
        </is>
      </c>
    </row>
    <row r="72" ht="13.2" customHeight="1" s="49">
      <c r="A72" s="33" t="n">
        <v>70</v>
      </c>
      <c r="B72" s="34" t="inlineStr">
        <is>
          <t>ได้รับยา HCTZ เพิ่มขึ้น</t>
        </is>
      </c>
      <c r="C72" s="35" t="n"/>
      <c r="D72" s="34" t="inlineStr">
        <is>
          <t>Ferrous fumarate 200 mg TID</t>
        </is>
      </c>
      <c r="E72" s="34" t="inlineStr">
        <is>
          <t>Folic acid 5 mg OD</t>
        </is>
      </c>
      <c r="F72" s="34" t="inlineStr">
        <is>
          <t>Vitamin B12 1000 mcg IM</t>
        </is>
      </c>
      <c r="G72" s="34" t="inlineStr">
        <is>
          <t>Deferoxamine 500 mg SC</t>
        </is>
      </c>
      <c r="H72" s="34" t="inlineStr">
        <is>
          <t>Erythropoietin 4000 units SC</t>
        </is>
      </c>
      <c r="I72" s="33" t="inlineStr">
        <is>
          <t>1</t>
        </is>
      </c>
      <c r="J7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35" t="n"/>
      <c r="L72" s="34" t="inlineStr">
        <is>
          <t>Anemia</t>
        </is>
      </c>
      <c r="M72" s="35" t="inlineStr">
        <is>
          <t>Clinic</t>
        </is>
      </c>
      <c r="N72" s="34" t="inlineStr">
        <is>
          <t>ข้อ 3 (PLE_CC1_2555 Day 2.md)</t>
        </is>
      </c>
      <c r="O72" s="35" t="inlineStr">
        <is>
          <t>ข้อสอบจริง</t>
        </is>
      </c>
      <c r="P72" s="35" t="inlineStr">
        <is>
          <t>ปี 2555</t>
        </is>
      </c>
    </row>
    <row r="73" ht="13.2" customHeight="1" s="49">
      <c r="A73" s="33" t="n">
        <v>71</v>
      </c>
      <c r="B73" s="34" t="inlineStr">
        <is>
          <t>Fe รูปเกลือใดที่ให้ elemental iron มากที่สุด</t>
        </is>
      </c>
      <c r="C73" s="35" t="n"/>
      <c r="D73" s="34" t="inlineStr">
        <is>
          <t>fumarate</t>
        </is>
      </c>
      <c r="E73" s="34" t="inlineStr">
        <is>
          <t>sulfate</t>
        </is>
      </c>
      <c r="F73" s="34" t="inlineStr">
        <is>
          <t>sulfate (exsiccated)</t>
        </is>
      </c>
      <c r="G73" s="34" t="inlineStr">
        <is>
          <t>Vitamin C 500 mg OD</t>
        </is>
      </c>
      <c r="H73" s="34" t="inlineStr">
        <is>
          <t>Pyridoxine 50 mg OD</t>
        </is>
      </c>
      <c r="I73" s="33" t="inlineStr">
        <is>
          <t>1</t>
        </is>
      </c>
      <c r="J73" s="34"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35" t="n"/>
      <c r="L73" s="34" t="inlineStr">
        <is>
          <t>Anemia</t>
        </is>
      </c>
      <c r="M73" s="35" t="inlineStr">
        <is>
          <t>Clinic</t>
        </is>
      </c>
      <c r="N73" s="34" t="inlineStr">
        <is>
          <t>ข้อ 3 (PLE_CC1_2554 SET2.md)</t>
        </is>
      </c>
      <c r="O73" s="35" t="inlineStr">
        <is>
          <t>ข้อสอบจริง</t>
        </is>
      </c>
      <c r="P73" s="35" t="inlineStr">
        <is>
          <t>ปี 2554</t>
        </is>
      </c>
    </row>
    <row r="74" ht="13.2" customHeight="1" s="49">
      <c r="A74" s="33" t="n">
        <v>72</v>
      </c>
      <c r="B74" s="34"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35" t="n"/>
      <c r="D74" s="34" t="inlineStr">
        <is>
          <t>Vitamin C 500 mg OD</t>
        </is>
      </c>
      <c r="E74" s="34" t="inlineStr">
        <is>
          <t>Pyridoxine 50 mg OD</t>
        </is>
      </c>
      <c r="F74" s="34" t="inlineStr">
        <is>
          <t>Hydroxyurea 500 mg OD</t>
        </is>
      </c>
      <c r="G74" s="34" t="inlineStr">
        <is>
          <t>Blood transfusion (Packed Red Cells)</t>
        </is>
      </c>
      <c r="H74" s="34" t="inlineStr">
        <is>
          <t>Ferrous fumarate 200 mg TID</t>
        </is>
      </c>
      <c r="I74" s="33" t="inlineStr">
        <is>
          <t>1</t>
        </is>
      </c>
      <c r="J7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35" t="n"/>
      <c r="L74" s="34" t="inlineStr">
        <is>
          <t>Anemia</t>
        </is>
      </c>
      <c r="M74" s="35" t="inlineStr">
        <is>
          <t>Clinic</t>
        </is>
      </c>
      <c r="N74" s="34" t="inlineStr">
        <is>
          <t>ข้อ 6 (PLE_CC1_2554 SET2.md)</t>
        </is>
      </c>
      <c r="O74" s="35" t="inlineStr">
        <is>
          <t>ข้อสอบจริง</t>
        </is>
      </c>
      <c r="P74" s="35" t="inlineStr">
        <is>
          <t>ปี 2554</t>
        </is>
      </c>
    </row>
    <row r="75" ht="13.2" customHeight="1" s="49">
      <c r="A75" s="33" t="n">
        <v>73</v>
      </c>
      <c r="B75" s="34" t="inlineStr">
        <is>
          <t>ข้อใดไม่เกี่ยวกับการเกิดภาวะโลหิตจางในครั้งนี้</t>
        </is>
      </c>
      <c r="C75" s="35" t="n"/>
      <c r="D75" s="34" t="inlineStr">
        <is>
          <t>Blood transfusion (Packed Red Cells)</t>
        </is>
      </c>
      <c r="E75" s="34" t="inlineStr">
        <is>
          <t>Ferrous fumarate 200 mg TID</t>
        </is>
      </c>
      <c r="F75" s="34" t="inlineStr">
        <is>
          <t>Folic acid 5 mg OD</t>
        </is>
      </c>
      <c r="G75" s="34" t="inlineStr">
        <is>
          <t>Vitamin B12 1000 mcg IM</t>
        </is>
      </c>
      <c r="H75" s="34" t="inlineStr">
        <is>
          <t>Deferoxamine 500 mg SC</t>
        </is>
      </c>
      <c r="I75" s="33" t="inlineStr">
        <is>
          <t>1</t>
        </is>
      </c>
      <c r="J7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35" t="n"/>
      <c r="L75" s="34" t="inlineStr">
        <is>
          <t>Anemia</t>
        </is>
      </c>
      <c r="M75" s="35" t="inlineStr">
        <is>
          <t>Clinic</t>
        </is>
      </c>
      <c r="N75" s="34" t="inlineStr">
        <is>
          <t>ข้อ 1 (PLE_CC1_2533.md)</t>
        </is>
      </c>
      <c r="O75" s="35" t="inlineStr">
        <is>
          <t>ข้อสอบจริง</t>
        </is>
      </c>
      <c r="P75" s="35" t="inlineStr">
        <is>
          <t>ปี 2533</t>
        </is>
      </c>
    </row>
    <row r="76" ht="13.2" customHeight="1" s="49">
      <c r="A76" s="33" t="n">
        <v>74</v>
      </c>
      <c r="B76" s="34" t="inlineStr">
        <is>
          <t>ชะพลู (5) (มีเพื่อนบอกว่าชะพลู มี Ca เยอะ จะลดการดูดซึมธาตุเหล็ก)</t>
        </is>
      </c>
      <c r="C76" s="35" t="n"/>
      <c r="D76" s="34" t="inlineStr">
        <is>
          <t>Vitamin B12 1000 mcg IM</t>
        </is>
      </c>
      <c r="E76" s="34" t="inlineStr">
        <is>
          <t>Deferoxamine 500 mg SC</t>
        </is>
      </c>
      <c r="F76" s="34" t="inlineStr">
        <is>
          <t>Erythropoietin 4000 units SC</t>
        </is>
      </c>
      <c r="G76" s="34" t="inlineStr">
        <is>
          <t>Ferrous sulfate 300 mg TID</t>
        </is>
      </c>
      <c r="H76" s="34" t="inlineStr">
        <is>
          <t>Vitamin C 500 mg OD</t>
        </is>
      </c>
      <c r="I76" s="33" t="inlineStr">
        <is>
          <t>1</t>
        </is>
      </c>
      <c r="J7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35" t="n"/>
      <c r="L76" s="34" t="inlineStr">
        <is>
          <t>Anemia</t>
        </is>
      </c>
      <c r="M76" s="35" t="inlineStr">
        <is>
          <t>Clinic</t>
        </is>
      </c>
      <c r="N76" s="34" t="inlineStr">
        <is>
          <t>ข้อ 5 (PLE_CC1_2533.md)</t>
        </is>
      </c>
      <c r="O76" s="35" t="inlineStr">
        <is>
          <t>ข้อสอบจริง</t>
        </is>
      </c>
      <c r="P76" s="35" t="inlineStr">
        <is>
          <t>ปี 2533</t>
        </is>
      </c>
    </row>
    <row r="77" ht="13.2" customHeight="1" s="49">
      <c r="A77" s="33" t="n">
        <v>75</v>
      </c>
      <c r="B77" s="34" t="inlineStr">
        <is>
          <t>Progesterone ในผลิตภัณฑ์ยาคุมกำเนิดใดจัดอยู่ในกลุ่ม spironolactone derivative</t>
        </is>
      </c>
      <c r="C77" s="35" t="n"/>
      <c r="D77" s="34" t="inlineStr">
        <is>
          <t>Levonorgestrel</t>
        </is>
      </c>
      <c r="E77" s="34" t="inlineStr">
        <is>
          <t>Cyprosterone acetate</t>
        </is>
      </c>
      <c r="F77" s="34" t="inlineStr">
        <is>
          <t>Gestrodene</t>
        </is>
      </c>
      <c r="G77" s="34" t="inlineStr">
        <is>
          <t>Desogestrel</t>
        </is>
      </c>
      <c r="H77" s="34" t="inlineStr">
        <is>
          <t>Drospirenone</t>
        </is>
      </c>
      <c r="I77" s="33" t="inlineStr">
        <is>
          <t>1</t>
        </is>
      </c>
      <c r="J77" s="34"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35" t="n"/>
      <c r="L77" s="34" t="inlineStr">
        <is>
          <t>Anemia</t>
        </is>
      </c>
      <c r="M77" s="35" t="inlineStr">
        <is>
          <t>Clinic</t>
        </is>
      </c>
      <c r="N77" s="34" t="inlineStr">
        <is>
          <t>ข้อ 6 (PLE_CC1_Practice_Exam.md)</t>
        </is>
      </c>
      <c r="O77" s="35" t="inlineStr">
        <is>
          <t>Mock</t>
        </is>
      </c>
      <c r="P77" s="35" t="inlineStr">
        <is>
          <t>Mock สภาเภสัชฯ Practice</t>
        </is>
      </c>
    </row>
    <row r="78" ht="13.2" customHeight="1" s="49">
      <c r="A78" s="33" t="n">
        <v>76</v>
      </c>
      <c r="B78" s="34" t="inlineStr">
        <is>
          <t>ข้อใดไม่ใช่ยาเสริมธาตุเหล็กในรูปแบบยาฉีด</t>
        </is>
      </c>
      <c r="C78" s="35" t="n"/>
      <c r="D78" s="34" t="inlineStr">
        <is>
          <t>Iron dextran</t>
        </is>
      </c>
      <c r="E78" s="34" t="inlineStr">
        <is>
          <t>Iron sucrose complex</t>
        </is>
      </c>
      <c r="F78" s="34" t="inlineStr">
        <is>
          <t>iron sodium gluconate complex</t>
        </is>
      </c>
      <c r="G78" s="34" t="inlineStr">
        <is>
          <t>ferrous fumarate</t>
        </is>
      </c>
      <c r="H78" s="34" t="inlineStr">
        <is>
          <t>ทุกข้อเป็นยาฉีด 31.ข้อใดไม่ใช่อาการข้างเคียงจากการได้รับยาเสริมธาตุเหล็กรูปแบบยาฉีด</t>
        </is>
      </c>
      <c r="I78" s="33" t="inlineStr">
        <is>
          <t>3</t>
        </is>
      </c>
      <c r="J78" s="34"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35" t="n"/>
      <c r="L78" s="34" t="inlineStr">
        <is>
          <t>Anemia</t>
        </is>
      </c>
      <c r="M78" s="35" t="inlineStr">
        <is>
          <t>Clinic</t>
        </is>
      </c>
      <c r="N78" s="34" t="inlineStr">
        <is>
          <t>ข้อ 30 (PLE_CC1_Practice_Exam.md)</t>
        </is>
      </c>
      <c r="O78" s="35" t="inlineStr">
        <is>
          <t>Mock</t>
        </is>
      </c>
      <c r="P78" s="35" t="inlineStr">
        <is>
          <t>Mock สภาเภสัชฯ Practice</t>
        </is>
      </c>
    </row>
    <row r="79" ht="13.2" customHeight="1" s="49">
      <c r="A79" s="33" t="n">
        <v>77</v>
      </c>
      <c r="B79" s="34" t="inlineStr">
        <is>
          <t>Spironolactone ออกฤทธิ์ที่collecting tubule</t>
        </is>
      </c>
      <c r="C79" s="35" t="n"/>
      <c r="D79" s="34" t="inlineStr">
        <is>
          <t>Folic acid 5 mg OD</t>
        </is>
      </c>
      <c r="E79" s="34" t="inlineStr">
        <is>
          <t>Vitamin B12 1000 mcg IM</t>
        </is>
      </c>
      <c r="F79" s="34" t="inlineStr">
        <is>
          <t>Deferoxamine 500 mg SC</t>
        </is>
      </c>
      <c r="G79" s="34" t="inlineStr">
        <is>
          <t>Erythropoietin 4000 units SC</t>
        </is>
      </c>
      <c r="H79" s="34" t="inlineStr">
        <is>
          <t>Ferrous sulfate 300 mg TID</t>
        </is>
      </c>
      <c r="I79" s="33" t="inlineStr">
        <is>
          <t>1</t>
        </is>
      </c>
      <c r="J7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35" t="n"/>
      <c r="L79" s="34" t="inlineStr">
        <is>
          <t>Anemia</t>
        </is>
      </c>
      <c r="M79" s="35" t="inlineStr">
        <is>
          <t>Clinic</t>
        </is>
      </c>
      <c r="N79" s="34" t="inlineStr">
        <is>
          <t>ข้อ 3 (PLE_CC1_Key_Rx20_UBU.md)</t>
        </is>
      </c>
      <c r="O79" s="35" t="inlineStr">
        <is>
          <t>Mock</t>
        </is>
      </c>
      <c r="P79" s="35" t="inlineStr">
        <is>
          <t>Mock Rx20 UBU</t>
        </is>
      </c>
    </row>
    <row r="80" ht="13.2" customHeight="1" s="49">
      <c r="A80" s="33" t="n">
        <v>78</v>
      </c>
      <c r="B80" s="34" t="inlineStr">
        <is>
          <t>การได้รับยา HCTZ</t>
        </is>
      </c>
      <c r="C80" s="35" t="n"/>
      <c r="D80" s="34" t="inlineStr">
        <is>
          <t>Erythropoietin 4000 units SC</t>
        </is>
      </c>
      <c r="E80" s="34" t="inlineStr">
        <is>
          <t>Ferrous sulfate 300 mg TID</t>
        </is>
      </c>
      <c r="F80" s="34" t="inlineStr">
        <is>
          <t>Vitamin C 500 mg OD</t>
        </is>
      </c>
      <c r="G80" s="34" t="inlineStr">
        <is>
          <t>Pyridoxine 50 mg OD</t>
        </is>
      </c>
      <c r="H80" s="34" t="inlineStr">
        <is>
          <t>Hydroxyurea 500 mg OD</t>
        </is>
      </c>
      <c r="I80" s="33" t="inlineStr">
        <is>
          <t>1</t>
        </is>
      </c>
      <c r="J8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35" t="n"/>
      <c r="L80" s="34" t="inlineStr">
        <is>
          <t>Anemia</t>
        </is>
      </c>
      <c r="M80" s="35" t="inlineStr">
        <is>
          <t>Clinic</t>
        </is>
      </c>
      <c r="N80" s="34" t="inlineStr">
        <is>
          <t>ข้อ 2 (PLE_CC1_Key_Rx20_UBU.md)</t>
        </is>
      </c>
      <c r="O80" s="35" t="inlineStr">
        <is>
          <t>Mock</t>
        </is>
      </c>
      <c r="P80" s="35" t="inlineStr">
        <is>
          <t>Mock Rx20 UBU</t>
        </is>
      </c>
    </row>
    <row r="81" ht="13.2" customHeight="1" s="49">
      <c r="A81" s="33" t="n">
        <v>79</v>
      </c>
      <c r="B81" s="34" t="inlineStr">
        <is>
          <t>Spironalactone ใน AKI จะใช้ Loop diuretics</t>
        </is>
      </c>
      <c r="C81" s="35" t="n"/>
      <c r="D81" s="34" t="inlineStr">
        <is>
          <t>Pyridoxine 50 mg OD</t>
        </is>
      </c>
      <c r="E81" s="34" t="inlineStr">
        <is>
          <t>Hydroxyurea 500 mg OD</t>
        </is>
      </c>
      <c r="F81" s="34" t="inlineStr">
        <is>
          <t>Blood transfusion (Packed Red Cells)</t>
        </is>
      </c>
      <c r="G81" s="34" t="inlineStr">
        <is>
          <t>Ferrous fumarate 200 mg TID</t>
        </is>
      </c>
      <c r="H81" s="34" t="inlineStr">
        <is>
          <t>Folic acid 5 mg OD</t>
        </is>
      </c>
      <c r="I81" s="33" t="inlineStr">
        <is>
          <t>1</t>
        </is>
      </c>
      <c r="J81" s="34"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35" t="n"/>
      <c r="L81" s="34" t="inlineStr">
        <is>
          <t>Anemia</t>
        </is>
      </c>
      <c r="M81" s="35" t="inlineStr">
        <is>
          <t>Clinic</t>
        </is>
      </c>
      <c r="N81" s="34" t="inlineStr">
        <is>
          <t>ข้อ 5 (PLE_CC1_Key_Rx20_UBU.md)</t>
        </is>
      </c>
      <c r="O81" s="35" t="inlineStr">
        <is>
          <t>Mock</t>
        </is>
      </c>
      <c r="P81" s="35" t="inlineStr">
        <is>
          <t>Mock Rx20 UBU</t>
        </is>
      </c>
    </row>
    <row r="82" ht="13.2" customHeight="1" s="49">
      <c r="A82" s="33" t="n">
        <v>80</v>
      </c>
      <c r="B82" s="34" t="inlineStr">
        <is>
          <t>HCTZ ยับยั้งการดูดกลับของน้ำที่ collecting duct</t>
        </is>
      </c>
      <c r="C82" s="35" t="n"/>
      <c r="D82" s="34" t="inlineStr">
        <is>
          <t>Ferrous fumarate 200 mg TID</t>
        </is>
      </c>
      <c r="E82" s="34" t="inlineStr">
        <is>
          <t>Folic acid 5 mg OD</t>
        </is>
      </c>
      <c r="F82" s="34" t="inlineStr">
        <is>
          <t>Vitamin B12 1000 mcg IM</t>
        </is>
      </c>
      <c r="G82" s="34" t="inlineStr">
        <is>
          <t>Deferoxamine 500 mg SC</t>
        </is>
      </c>
      <c r="H82" s="34" t="inlineStr">
        <is>
          <t>Erythropoietin 4000 units SC</t>
        </is>
      </c>
      <c r="I82" s="33" t="inlineStr">
        <is>
          <t>1</t>
        </is>
      </c>
      <c r="J82" s="34"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35" t="n"/>
      <c r="L82" s="34" t="inlineStr">
        <is>
          <t>Anemia</t>
        </is>
      </c>
      <c r="M82" s="35" t="inlineStr">
        <is>
          <t>Clinic</t>
        </is>
      </c>
      <c r="N82" s="34" t="inlineStr">
        <is>
          <t>ข้อ 1 (PLE_CC1_Key_Rx20_UBU.md)</t>
        </is>
      </c>
      <c r="O82" s="35" t="inlineStr">
        <is>
          <t>Mock</t>
        </is>
      </c>
      <c r="P82" s="35" t="inlineStr">
        <is>
          <t>Mock Rx20 UBU</t>
        </is>
      </c>
    </row>
    <row r="83" ht="13.2" customHeight="1" s="49">
      <c r="A83" s="33" t="n">
        <v>81</v>
      </c>
      <c r="B83" s="34" t="inlineStr">
        <is>
          <t>ต่อมาแพทย์สั่งจ่ายยา HCTZ 25 mg 1x1 เภสัชกรควรติดตามค่าทางห้องปฏิบัติการใดของผู้ป่วย</t>
        </is>
      </c>
      <c r="C83" s="35" t="n"/>
      <c r="D83" s="34" t="inlineStr">
        <is>
          <t>Deferoxamine 500 mg SC</t>
        </is>
      </c>
      <c r="E83" s="34" t="inlineStr">
        <is>
          <t>Erythropoietin 4000 units SC</t>
        </is>
      </c>
      <c r="F83" s="34" t="inlineStr">
        <is>
          <t>Ferrous sulfate 300 mg TID</t>
        </is>
      </c>
      <c r="G83" s="34" t="inlineStr">
        <is>
          <t>Vitamin C 500 mg OD</t>
        </is>
      </c>
      <c r="H83" s="34" t="inlineStr">
        <is>
          <t>Pyridoxine 50 mg OD</t>
        </is>
      </c>
      <c r="I83" s="33" t="inlineStr">
        <is>
          <t>1</t>
        </is>
      </c>
      <c r="J83" s="34"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35" t="n"/>
      <c r="L83" s="34" t="inlineStr">
        <is>
          <t>Anemia</t>
        </is>
      </c>
      <c r="M83" s="35" t="inlineStr">
        <is>
          <t>Clinic</t>
        </is>
      </c>
      <c r="N83" s="34" t="inlineStr">
        <is>
          <t>ข้อ 4 (PLE_CC1_Key_Rx20_UBU.md)</t>
        </is>
      </c>
      <c r="O83" s="35" t="inlineStr">
        <is>
          <t>Mock</t>
        </is>
      </c>
      <c r="P83" s="35" t="inlineStr">
        <is>
          <t>Mock Rx20 UBU</t>
        </is>
      </c>
    </row>
    <row r="84" ht="13.2" customHeight="1" s="49">
      <c r="A84" s="33" t="n">
        <v>82</v>
      </c>
      <c r="B84" s="34" t="inlineStr">
        <is>
          <t>7.ยา HCTZ เป็นยาที่จัดอยู่ใน BSC class 3 หมายถึงอะไร</t>
        </is>
      </c>
      <c r="C84" s="35" t="n"/>
      <c r="D84" s="34" t="inlineStr">
        <is>
          <t>Vitamin C 500 mg OD</t>
        </is>
      </c>
      <c r="E84" s="34" t="inlineStr">
        <is>
          <t>Pyridoxine 50 mg OD</t>
        </is>
      </c>
      <c r="F84" s="34" t="inlineStr">
        <is>
          <t>Hydroxyurea 500 mg OD</t>
        </is>
      </c>
      <c r="G84" s="34" t="inlineStr">
        <is>
          <t>Blood transfusion (Packed Red Cells)</t>
        </is>
      </c>
      <c r="H84" s="34" t="inlineStr">
        <is>
          <t>Ferrous fumarate 200 mg TID</t>
        </is>
      </c>
      <c r="I84" s="33" t="inlineStr">
        <is>
          <t>1</t>
        </is>
      </c>
      <c r="J84" s="34"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35" t="n"/>
      <c r="L84" s="34" t="inlineStr">
        <is>
          <t>Anemia</t>
        </is>
      </c>
      <c r="M84" s="35" t="inlineStr">
        <is>
          <t>Clinic</t>
        </is>
      </c>
      <c r="N84" s="34" t="inlineStr">
        <is>
          <t>ข้อ 4 (PLE_CC1_Key_Rx20_UBU.md)</t>
        </is>
      </c>
      <c r="O84" s="35" t="inlineStr">
        <is>
          <t>Mock</t>
        </is>
      </c>
      <c r="P84" s="35" t="inlineStr">
        <is>
          <t>Mock Rx20 UBU</t>
        </is>
      </c>
    </row>
    <row r="85" ht="13.2" customHeight="1" s="49">
      <c r="A85" s="33" t="n">
        <v>83</v>
      </c>
      <c r="B85" s="34" t="inlineStr">
        <is>
          <t>8.ยา HCTZ เป็นยาที่ต้องควบคุมคุณภาพ ตาม USP ข้อใด</t>
        </is>
      </c>
      <c r="C85" s="35" t="n"/>
      <c r="D85" s="34" t="inlineStr">
        <is>
          <t>Blood transfusion (Packed Red Cells)</t>
        </is>
      </c>
      <c r="E85" s="34" t="inlineStr">
        <is>
          <t>Ferrous fumarate 200 mg TID</t>
        </is>
      </c>
      <c r="F85" s="34" t="inlineStr">
        <is>
          <t>Folic acid 5 mg OD</t>
        </is>
      </c>
      <c r="G85" s="34" t="inlineStr">
        <is>
          <t>Vitamin B12 1000 mcg IM</t>
        </is>
      </c>
      <c r="H85" s="34" t="inlineStr">
        <is>
          <t>Deferoxamine 500 mg SC</t>
        </is>
      </c>
      <c r="I85" s="33" t="inlineStr">
        <is>
          <t>1</t>
        </is>
      </c>
      <c r="J8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35" t="n"/>
      <c r="L85" s="34" t="inlineStr">
        <is>
          <t>Anemia</t>
        </is>
      </c>
      <c r="M85" s="35" t="inlineStr">
        <is>
          <t>Clinic</t>
        </is>
      </c>
      <c r="N85" s="34" t="inlineStr">
        <is>
          <t>ข้อ 5 (PLE_CC1_Key_Rx20_UBU.md)</t>
        </is>
      </c>
      <c r="O85" s="35" t="inlineStr">
        <is>
          <t>Mock</t>
        </is>
      </c>
      <c r="P85" s="35" t="inlineStr">
        <is>
          <t>Mock Rx20 UBU</t>
        </is>
      </c>
    </row>
    <row r="86" ht="13.2" customHeight="1" s="49">
      <c r="A86" s="33" t="n">
        <v>84</v>
      </c>
      <c r="B86" s="34" t="inlineStr">
        <is>
          <t>ปรับขนาด HCTZ ขึ้น</t>
        </is>
      </c>
      <c r="C86" s="35" t="n"/>
      <c r="D86" s="34" t="inlineStr">
        <is>
          <t>Vitamin B12 1000 mcg IM</t>
        </is>
      </c>
      <c r="E86" s="34" t="inlineStr">
        <is>
          <t>Deferoxamine 500 mg SC</t>
        </is>
      </c>
      <c r="F86" s="34" t="inlineStr">
        <is>
          <t>Erythropoietin 4000 units SC</t>
        </is>
      </c>
      <c r="G86" s="34" t="inlineStr">
        <is>
          <t>Ferrous sulfate 300 mg TID</t>
        </is>
      </c>
      <c r="H86" s="34" t="inlineStr">
        <is>
          <t>Vitamin C 500 mg OD</t>
        </is>
      </c>
      <c r="I86" s="33" t="inlineStr">
        <is>
          <t>1</t>
        </is>
      </c>
      <c r="J86" s="34"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35" t="n"/>
      <c r="L86" s="34" t="inlineStr">
        <is>
          <t>Anemia</t>
        </is>
      </c>
      <c r="M86" s="35" t="inlineStr">
        <is>
          <t>Clinic</t>
        </is>
      </c>
      <c r="N86" s="34" t="inlineStr">
        <is>
          <t>ข้อ 3 (PLE_CC1_Key_Rx20_UBU.md)</t>
        </is>
      </c>
      <c r="O86" s="35" t="inlineStr">
        <is>
          <t>Mock</t>
        </is>
      </c>
      <c r="P86" s="35" t="inlineStr">
        <is>
          <t>Mock Rx20 UBU</t>
        </is>
      </c>
    </row>
    <row r="87" ht="13.2" customHeight="1" s="49">
      <c r="A87" s="33" t="n">
        <v>85</v>
      </c>
      <c r="B87" s="34" t="inlineStr">
        <is>
          <t>ferrous sulfate</t>
        </is>
      </c>
      <c r="C87" s="35" t="n"/>
      <c r="D87" s="34" t="inlineStr">
        <is>
          <t>Ferrous sulfate 300 mg TID</t>
        </is>
      </c>
      <c r="E87" s="34" t="inlineStr">
        <is>
          <t>Vitamin C 500 mg OD</t>
        </is>
      </c>
      <c r="F87" s="34" t="inlineStr">
        <is>
          <t>Pyridoxine 50 mg OD</t>
        </is>
      </c>
      <c r="G87" s="34" t="inlineStr">
        <is>
          <t>Hydroxyurea 500 mg OD</t>
        </is>
      </c>
      <c r="H87" s="34" t="inlineStr">
        <is>
          <t>Blood transfusion (Packed Red Cells)</t>
        </is>
      </c>
      <c r="I87" s="33" t="inlineStr">
        <is>
          <t>1</t>
        </is>
      </c>
      <c r="J8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35" t="n"/>
      <c r="L87" s="34" t="inlineStr">
        <is>
          <t>Anemia</t>
        </is>
      </c>
      <c r="M87" s="35" t="inlineStr">
        <is>
          <t>Clinic</t>
        </is>
      </c>
      <c r="N87" s="34" t="inlineStr">
        <is>
          <t>ข้อ 3 (PLE_CC1_Key_Rx20_UBU.md)</t>
        </is>
      </c>
      <c r="O87" s="35" t="inlineStr">
        <is>
          <t>Mock</t>
        </is>
      </c>
      <c r="P87" s="35" t="inlineStr">
        <is>
          <t>Mock Rx20 UBU</t>
        </is>
      </c>
    </row>
    <row r="88" ht="13.2" customHeight="1" s="49">
      <c r="A88" s="33" t="n">
        <v>86</v>
      </c>
      <c r="B88" s="34" t="inlineStr">
        <is>
          <t>ferrous anhydrous sulphate ซึ่งตามคำแนะนำถ้าผู้ป่วยมี Hb&lt;10 g/dl สามารถพิจารณาให้ ESA ได้</t>
        </is>
      </c>
      <c r="C88" s="35" t="n"/>
      <c r="D88" s="34" t="inlineStr">
        <is>
          <t>Hydroxyurea 500 mg OD</t>
        </is>
      </c>
      <c r="E88" s="34" t="inlineStr">
        <is>
          <t>Blood transfusion (Packed Red Cells)</t>
        </is>
      </c>
      <c r="F88" s="34" t="inlineStr">
        <is>
          <t>Ferrous fumarate 200 mg TID</t>
        </is>
      </c>
      <c r="G88" s="34" t="inlineStr">
        <is>
          <t>Folic acid 5 mg OD</t>
        </is>
      </c>
      <c r="H88" s="34" t="inlineStr">
        <is>
          <t>Vitamin B12 1000 mcg IM</t>
        </is>
      </c>
      <c r="I88" s="33" t="inlineStr">
        <is>
          <t>5</t>
        </is>
      </c>
      <c r="J88" s="34"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35" t="n"/>
      <c r="L88" s="34" t="inlineStr">
        <is>
          <t>Anemia</t>
        </is>
      </c>
      <c r="M88" s="35" t="inlineStr">
        <is>
          <t>Clinic</t>
        </is>
      </c>
      <c r="N88" s="34" t="inlineStr">
        <is>
          <t>ข้อ 5 (PLE_CC1_Key_Rx20_UBU.md)</t>
        </is>
      </c>
      <c r="O88" s="35" t="inlineStr">
        <is>
          <t>Mock</t>
        </is>
      </c>
      <c r="P88" s="35" t="inlineStr">
        <is>
          <t>Mock Rx20 UBU</t>
        </is>
      </c>
    </row>
    <row r="89" ht="13.2" customHeight="1" s="49">
      <c r="A89" s="33" t="n">
        <v>87</v>
      </c>
      <c r="B89" s="34" t="inlineStr">
        <is>
          <t>ผู้ป่วยต้องรับการรักษาแบบใดเพื่อรักษาภาวะโลหิตจาง</t>
        </is>
      </c>
      <c r="C89" s="35" t="n"/>
      <c r="D89" s="34" t="inlineStr">
        <is>
          <t>Folic acid 5 mg OD</t>
        </is>
      </c>
      <c r="E89" s="34" t="inlineStr">
        <is>
          <t>Vitamin B12 1000 mcg IM</t>
        </is>
      </c>
      <c r="F89" s="34" t="inlineStr">
        <is>
          <t>Deferoxamine 500 mg SC</t>
        </is>
      </c>
      <c r="G89" s="34" t="inlineStr">
        <is>
          <t>Erythropoietin 4000 units SC</t>
        </is>
      </c>
      <c r="H89" s="34" t="inlineStr">
        <is>
          <t>Ferrous sulfate 300 mg TID</t>
        </is>
      </c>
      <c r="I89" s="33" t="inlineStr">
        <is>
          <t>1</t>
        </is>
      </c>
      <c r="J89" s="34"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35" t="n"/>
      <c r="L89" s="34" t="inlineStr">
        <is>
          <t>Anemia</t>
        </is>
      </c>
      <c r="M89" s="35" t="inlineStr">
        <is>
          <t>Clinic</t>
        </is>
      </c>
      <c r="N89" s="34" t="inlineStr">
        <is>
          <t>ข้อ 7 (PLE_CC1_Key_Rx20_UBU.md)</t>
        </is>
      </c>
      <c r="O89" s="35" t="inlineStr">
        <is>
          <t>Mock</t>
        </is>
      </c>
      <c r="P89" s="35" t="inlineStr">
        <is>
          <t>Mock Rx20 UBU</t>
        </is>
      </c>
    </row>
    <row r="90" ht="13.2" customHeight="1" s="49">
      <c r="A90" s="33" t="n">
        <v>88</v>
      </c>
      <c r="B90" s="34" t="inlineStr">
        <is>
          <t>เพิ่มขนาดยา HCTZ</t>
        </is>
      </c>
      <c r="C90" s="35" t="n"/>
      <c r="D90" s="34" t="inlineStr">
        <is>
          <t>Erythropoietin 4000 units SC</t>
        </is>
      </c>
      <c r="E90" s="34" t="inlineStr">
        <is>
          <t>Ferrous sulfate 300 mg TID</t>
        </is>
      </c>
      <c r="F90" s="34" t="inlineStr">
        <is>
          <t>Vitamin C 500 mg OD</t>
        </is>
      </c>
      <c r="G90" s="34" t="inlineStr">
        <is>
          <t>Pyridoxine 50 mg OD</t>
        </is>
      </c>
      <c r="H90" s="34" t="inlineStr">
        <is>
          <t>Hydroxyurea 500 mg OD</t>
        </is>
      </c>
      <c r="I90" s="33" t="inlineStr">
        <is>
          <t>1</t>
        </is>
      </c>
      <c r="J90" s="34"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35" t="n"/>
      <c r="L90" s="34" t="inlineStr">
        <is>
          <t>Anemia</t>
        </is>
      </c>
      <c r="M90" s="35" t="inlineStr">
        <is>
          <t>Clinic</t>
        </is>
      </c>
      <c r="N90" s="34" t="inlineStr">
        <is>
          <t>ข้อ 1 (PLE_CC1_Key_Rx20_UBU.md)</t>
        </is>
      </c>
      <c r="O90" s="35" t="inlineStr">
        <is>
          <t>Mock</t>
        </is>
      </c>
      <c r="P90" s="35" t="inlineStr">
        <is>
          <t>Mock Rx20 UBU</t>
        </is>
      </c>
    </row>
    <row r="91" ht="13.2" customHeight="1" s="49">
      <c r="A91" s="33" t="n">
        <v>89</v>
      </c>
      <c r="B91" s="34" t="inlineStr">
        <is>
          <t>60. สารพฤกษาเคมีที่มีผลรบกวนการดูดซึมธาตุเหล็ก</t>
        </is>
      </c>
      <c r="C91" s="35" t="n"/>
      <c r="D91" s="34" t="inlineStr">
        <is>
          <t>Pyridoxine 50 mg OD</t>
        </is>
      </c>
      <c r="E91" s="34" t="inlineStr">
        <is>
          <t>Hydroxyurea 500 mg OD</t>
        </is>
      </c>
      <c r="F91" s="34" t="inlineStr">
        <is>
          <t>Blood transfusion (Packed Red Cells)</t>
        </is>
      </c>
      <c r="G91" s="34" t="inlineStr">
        <is>
          <t>Ferrous fumarate 200 mg TID</t>
        </is>
      </c>
      <c r="H91" s="34" t="inlineStr">
        <is>
          <t>Folic acid 5 mg OD</t>
        </is>
      </c>
      <c r="I91" s="33" t="inlineStr">
        <is>
          <t>1</t>
        </is>
      </c>
      <c r="J91" s="34"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35" t="n"/>
      <c r="L91" s="34" t="inlineStr">
        <is>
          <t>Anemia</t>
        </is>
      </c>
      <c r="M91" s="35" t="inlineStr">
        <is>
          <t>Clinic</t>
        </is>
      </c>
      <c r="N91" s="34" t="inlineStr">
        <is>
          <t>ข้อ 5 (PLE_CC1_Key_Rx20_UBU.md)</t>
        </is>
      </c>
      <c r="O91" s="35" t="inlineStr">
        <is>
          <t>Mock</t>
        </is>
      </c>
      <c r="P91" s="35" t="inlineStr">
        <is>
          <t>Mock Rx20 UBU</t>
        </is>
      </c>
    </row>
    <row r="92" ht="13.2" customHeight="1" s="49">
      <c r="A92" s="33" t="n">
        <v>90</v>
      </c>
      <c r="B92" s="34" t="inlineStr">
        <is>
          <t>โรคโลหิตจางธาลัสซีเมีย เกิดจากความผิดปกติใด</t>
        </is>
      </c>
      <c r="C92" s="35" t="n"/>
      <c r="D92" s="34" t="inlineStr">
        <is>
          <t>เกิดจากการขาดฮอร_โมน Erythropoietin ทำให$การสร$างเม็ดเลือดแดงไมGสมบูรณ_</t>
        </is>
      </c>
      <c r="E92" s="34" t="inlineStr">
        <is>
          <t>เกิดจากการขาดเหล็กทำให$การสร$างเม็ดเลือดแดงไมGสมบูรณ_</t>
        </is>
      </c>
      <c r="F92" s="34" t="inlineStr">
        <is>
          <t>เกิดจากการขาด Cyanocobalamin ทำให$การสร$างเม็ดเลือดแดงไมGสมบูรณ_</t>
        </is>
      </c>
      <c r="G92" s="34" t="inlineStr">
        <is>
          <t>เกิดจากการสร$างสาย Hb ที่ผิดปกติ</t>
        </is>
      </c>
      <c r="H92" s="34" t="inlineStr">
        <is>
          <t>เกิดจากรGางกายมีภาวะพรGองเอนไซม_ G6PD Globin ของ Hb (Heme+Globin)</t>
        </is>
      </c>
      <c r="I92" s="33" t="inlineStr">
        <is>
          <t>2</t>
        </is>
      </c>
      <c r="J92" s="34"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35" t="n"/>
      <c r="L92" s="34" t="inlineStr">
        <is>
          <t>Anemia</t>
        </is>
      </c>
      <c r="M92" s="35" t="inlineStr">
        <is>
          <t>Clinic</t>
        </is>
      </c>
      <c r="N92" s="34" t="inlineStr">
        <is>
          <t>ข้อ 82 (PLE_CC1_Key_Rx20_UBU.md)</t>
        </is>
      </c>
      <c r="O92" s="35" t="inlineStr">
        <is>
          <t>Mock</t>
        </is>
      </c>
      <c r="P92" s="35" t="inlineStr">
        <is>
          <t>Mock Rx20 UBU</t>
        </is>
      </c>
    </row>
    <row r="93" ht="13.2" customHeight="1" s="49">
      <c r="A93" s="33" t="n">
        <v>91</v>
      </c>
      <c r="B93" s="34" t="inlineStr">
        <is>
          <t>การวินิจฉัยภาวะโลหิตจางธาลัสซีเมียวินิจฉัยจากอะไร</t>
        </is>
      </c>
      <c r="C93" s="35" t="n"/>
      <c r="D93" s="34" t="inlineStr">
        <is>
          <t>CBC</t>
        </is>
      </c>
      <c r="E93" s="34" t="inlineStr">
        <is>
          <t>% Iron</t>
        </is>
      </c>
      <c r="F93" s="34" t="inlineStr">
        <is>
          <t>Hb typing</t>
        </is>
      </c>
      <c r="G93" s="34" t="inlineStr">
        <is>
          <t>PBS (Peripheral blood smear)</t>
        </is>
      </c>
      <c r="H93" s="34" t="inlineStr">
        <is>
          <t>ขอแย5งนะคะ คิดว=าควรตอบ ค. Hb typing</t>
        </is>
      </c>
      <c r="I93" s="33" t="inlineStr">
        <is>
          <t>2</t>
        </is>
      </c>
      <c r="J93" s="34"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35" t="n"/>
      <c r="L93" s="34" t="inlineStr">
        <is>
          <t>Anemia</t>
        </is>
      </c>
      <c r="M93" s="35" t="inlineStr">
        <is>
          <t>Clinic</t>
        </is>
      </c>
      <c r="N93" s="34" t="inlineStr">
        <is>
          <t>ข้อ 83 (PLE_CC1_Key_Rx20_UBU.md)</t>
        </is>
      </c>
      <c r="O93" s="35" t="inlineStr">
        <is>
          <t>Mock</t>
        </is>
      </c>
      <c r="P93" s="35" t="inlineStr">
        <is>
          <t>Mock Rx20 UBU</t>
        </is>
      </c>
    </row>
    <row r="94" ht="13.2" customHeight="1" s="49">
      <c r="A94" s="33" t="n">
        <v>92</v>
      </c>
      <c r="B94" s="34" t="inlineStr">
        <is>
          <t>Desogestrel สามารถลดการบวมน้ำได้เนื่องจากเป็นอนุพันธ์ของ spironoolactone</t>
        </is>
      </c>
      <c r="C94" s="35" t="n"/>
      <c r="D94" s="34" t="inlineStr">
        <is>
          <t>Vitamin C 500 mg OD</t>
        </is>
      </c>
      <c r="E94" s="34" t="inlineStr">
        <is>
          <t>Pyridoxine 50 mg OD</t>
        </is>
      </c>
      <c r="F94" s="34" t="inlineStr">
        <is>
          <t>Hydroxyurea 500 mg OD</t>
        </is>
      </c>
      <c r="G94" s="34" t="inlineStr">
        <is>
          <t>Blood transfusion (Packed Red Cells)</t>
        </is>
      </c>
      <c r="H94" s="34" t="inlineStr">
        <is>
          <t>Ferrous fumarate 200 mg TID</t>
        </is>
      </c>
      <c r="I94" s="33" t="inlineStr">
        <is>
          <t>4</t>
        </is>
      </c>
      <c r="J94" s="34"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35" t="n"/>
      <c r="L94" s="34" t="inlineStr">
        <is>
          <t>Anemia</t>
        </is>
      </c>
      <c r="M94" s="35" t="inlineStr">
        <is>
          <t>Clinic</t>
        </is>
      </c>
      <c r="N94" s="34" t="inlineStr">
        <is>
          <t>ข้อ 3 (PLE_CC1_Key_Rx20_UBU.md)</t>
        </is>
      </c>
      <c r="O94" s="35" t="inlineStr">
        <is>
          <t>Mock</t>
        </is>
      </c>
      <c r="P94" s="35" t="inlineStr">
        <is>
          <t>Mock Rx20 UBU</t>
        </is>
      </c>
    </row>
    <row r="95" ht="13.2" customHeight="1" s="49">
      <c r="A95" s="33" t="n">
        <v>93</v>
      </c>
      <c r="B95" s="34" t="inlineStr">
        <is>
          <t>HCTZ และ spironolactone</t>
        </is>
      </c>
      <c r="C95" s="35" t="n"/>
      <c r="D95" s="34" t="inlineStr">
        <is>
          <t>Blood transfusion (Packed Red Cells)</t>
        </is>
      </c>
      <c r="E95" s="34" t="inlineStr">
        <is>
          <t>Ferrous fumarate 200 mg TID</t>
        </is>
      </c>
      <c r="F95" s="34" t="inlineStr">
        <is>
          <t>Folic acid 5 mg OD</t>
        </is>
      </c>
      <c r="G95" s="34" t="inlineStr">
        <is>
          <t>Vitamin B12 1000 mcg IM</t>
        </is>
      </c>
      <c r="H95" s="34" t="inlineStr">
        <is>
          <t>Deferoxamine 500 mg SC</t>
        </is>
      </c>
      <c r="I95" s="33" t="inlineStr">
        <is>
          <t>1</t>
        </is>
      </c>
      <c r="J95" s="34"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35" t="n"/>
      <c r="L95" s="34" t="inlineStr">
        <is>
          <t>Anemia</t>
        </is>
      </c>
      <c r="M95" s="35" t="inlineStr">
        <is>
          <t>Clinic</t>
        </is>
      </c>
      <c r="N95" s="34" t="inlineStr">
        <is>
          <t>ข้อ 2 (PLE_CC1_Key_Rx20_UBU.md)</t>
        </is>
      </c>
      <c r="O95" s="35" t="inlineStr">
        <is>
          <t>Mock</t>
        </is>
      </c>
      <c r="P95" s="35" t="inlineStr">
        <is>
          <t>Mock Rx20 UBU</t>
        </is>
      </c>
    </row>
    <row r="96" ht="13.2" customHeight="1" s="49">
      <c r="A96" s="33" t="n">
        <v>94</v>
      </c>
      <c r="B96" s="34" t="inlineStr">
        <is>
          <t>HCTZ https://www.livestrong.com/article/313917-calcium-channel-blockers-gerd/</t>
        </is>
      </c>
      <c r="C96" s="35" t="n"/>
      <c r="D96" s="34" t="inlineStr">
        <is>
          <t>Vitamin B12 1000 mcg IM</t>
        </is>
      </c>
      <c r="E96" s="34" t="inlineStr">
        <is>
          <t>Deferoxamine 500 mg SC</t>
        </is>
      </c>
      <c r="F96" s="34" t="inlineStr">
        <is>
          <t>Erythropoietin 4000 units SC</t>
        </is>
      </c>
      <c r="G96" s="34" t="inlineStr">
        <is>
          <t>Ferrous sulfate 300 mg TID</t>
        </is>
      </c>
      <c r="H96" s="34" t="inlineStr">
        <is>
          <t>Vitamin C 500 mg OD</t>
        </is>
      </c>
      <c r="I96" s="33" t="inlineStr">
        <is>
          <t>5</t>
        </is>
      </c>
      <c r="J96" s="34"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35" t="n"/>
      <c r="L96" s="34" t="inlineStr">
        <is>
          <t>Anemia</t>
        </is>
      </c>
      <c r="M96" s="35" t="inlineStr">
        <is>
          <t>Clinic</t>
        </is>
      </c>
      <c r="N96" s="34" t="inlineStr">
        <is>
          <t>ข้อ 5 (PLE_CC1_Key_Rx20_UBU.md)</t>
        </is>
      </c>
      <c r="O96" s="35" t="inlineStr">
        <is>
          <t>Mock</t>
        </is>
      </c>
      <c r="P96" s="35" t="inlineStr">
        <is>
          <t>Mock Rx20 UBU</t>
        </is>
      </c>
    </row>
    <row r="97" ht="13.2" customHeight="1" s="49">
      <c r="A97" s="33" t="n">
        <v>95</v>
      </c>
      <c r="B97" s="34" t="inlineStr">
        <is>
          <t>Ferrous sulfate 200 mg 1 tab tid 90</t>
        </is>
      </c>
      <c r="C97" s="35" t="n"/>
      <c r="D97" s="34" t="inlineStr">
        <is>
          <t>Ferrous sulfate 300 mg TID</t>
        </is>
      </c>
      <c r="E97" s="34" t="inlineStr">
        <is>
          <t>Vitamin C 500 mg OD</t>
        </is>
      </c>
      <c r="F97" s="34" t="inlineStr">
        <is>
          <t>Pyridoxine 50 mg OD</t>
        </is>
      </c>
      <c r="G97" s="34" t="inlineStr">
        <is>
          <t>Hydroxyurea 500 mg OD</t>
        </is>
      </c>
      <c r="H97" s="34" t="inlineStr">
        <is>
          <t>Blood transfusion (Packed Red Cells)</t>
        </is>
      </c>
      <c r="I97" s="33" t="inlineStr">
        <is>
          <t>1</t>
        </is>
      </c>
      <c r="J97" s="34"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35" t="n"/>
      <c r="L97" s="34" t="inlineStr">
        <is>
          <t>Anemia</t>
        </is>
      </c>
      <c r="M97" s="35" t="inlineStr">
        <is>
          <t>Clinic</t>
        </is>
      </c>
      <c r="N97" s="34" t="inlineStr">
        <is>
          <t>ข้อ 5 (PLE_CC1_Key_Rx20_UBU.md)</t>
        </is>
      </c>
      <c r="O97" s="35" t="inlineStr">
        <is>
          <t>Mock</t>
        </is>
      </c>
      <c r="P97" s="35" t="inlineStr">
        <is>
          <t>Mock Rx20 UBU</t>
        </is>
      </c>
    </row>
    <row r="98" ht="13.2" customHeight="1" s="49">
      <c r="A98" s="33" t="n">
        <v>96</v>
      </c>
      <c r="B98" s="34" t="inlineStr">
        <is>
          <t>Hb &lt; 13 หรือ Hct &lt; 41% ในผู้ชาย</t>
        </is>
      </c>
      <c r="C98" s="35" t="n"/>
      <c r="D98" s="34" t="inlineStr">
        <is>
          <t>Hydroxyurea 500 mg OD</t>
        </is>
      </c>
      <c r="E98" s="34" t="inlineStr">
        <is>
          <t>Blood transfusion (Packed Red Cells)</t>
        </is>
      </c>
      <c r="F98" s="34" t="inlineStr">
        <is>
          <t>Ferrous fumarate 200 mg TID</t>
        </is>
      </c>
      <c r="G98" s="34" t="inlineStr">
        <is>
          <t>Folic acid 5 mg OD</t>
        </is>
      </c>
      <c r="H98" s="34" t="inlineStr">
        <is>
          <t>Vitamin B12 1000 mcg IM</t>
        </is>
      </c>
      <c r="I98" s="33" t="inlineStr">
        <is>
          <t>1</t>
        </is>
      </c>
      <c r="J98" s="34"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35" t="n"/>
      <c r="L98" s="34" t="inlineStr">
        <is>
          <t>Anemia</t>
        </is>
      </c>
      <c r="M98" s="35" t="inlineStr">
        <is>
          <t>Clinic</t>
        </is>
      </c>
      <c r="N98" s="34" t="inlineStr">
        <is>
          <t>ข้อ 1 (PLE_CC1_Key_Rx20_UBU.md)</t>
        </is>
      </c>
      <c r="O98" s="35" t="inlineStr">
        <is>
          <t>Mock</t>
        </is>
      </c>
      <c r="P98" s="35" t="inlineStr">
        <is>
          <t>Mock Rx20 UBU</t>
        </is>
      </c>
    </row>
    <row r="99" ht="13.2" customHeight="1" s="49">
      <c r="A99" s="33" t="n">
        <v>97</v>
      </c>
      <c r="B99" s="34"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35" t="n"/>
      <c r="D99" s="34" t="inlineStr">
        <is>
          <t>เหนื่อย</t>
        </is>
      </c>
      <c r="E99" s="34" t="inlineStr">
        <is>
          <t>ใจสั่น</t>
        </is>
      </c>
      <c r="F99" s="34" t="inlineStr">
        <is>
          <t>ชาปลายเท้า</t>
        </is>
      </c>
      <c r="G99" s="34" t="inlineStr">
        <is>
          <t>ปวดศีรษะ</t>
        </is>
      </c>
      <c r="H99" s="34"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33" t="inlineStr">
        <is>
          <t>2</t>
        </is>
      </c>
      <c r="J99" s="34"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35" t="n"/>
      <c r="L99" s="34" t="inlineStr">
        <is>
          <t>Anemia</t>
        </is>
      </c>
      <c r="M99" s="35" t="inlineStr">
        <is>
          <t>Clinic</t>
        </is>
      </c>
      <c r="N99" s="34" t="inlineStr">
        <is>
          <t>ข้อ 4 (PLE_CC1_Key_Rx20_UBU.md)</t>
        </is>
      </c>
      <c r="O99" s="35" t="inlineStr">
        <is>
          <t>Mock</t>
        </is>
      </c>
      <c r="P99" s="35" t="inlineStr">
        <is>
          <t>Mock Rx20 UBU</t>
        </is>
      </c>
    </row>
    <row r="100" ht="13.2" customHeight="1" s="49">
      <c r="A100" t="n">
        <v>98</v>
      </c>
      <c r="B100" t="inlineStr">
        <is>
          <t>Lab ใดที่ไม่บ่งบอกภาวะ Iron deficiency anemia</t>
        </is>
      </c>
      <c r="D100" t="inlineStr">
        <is>
          <t>MCV</t>
        </is>
      </c>
      <c r="E100" t="inlineStr">
        <is>
          <t>Ferritin</t>
        </is>
      </c>
      <c r="F100" t="inlineStr">
        <is>
          <t>TSAT</t>
        </is>
      </c>
      <c r="G100" t="inlineStr">
        <is>
          <t>TIBC</t>
        </is>
      </c>
      <c r="H100" t="inlineStr">
        <is>
          <t>Reticulocyte count</t>
        </is>
      </c>
      <c r="I100" t="inlineStr">
        <is>
          <t>1</t>
        </is>
      </c>
      <c r="J100"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6 (PLE_CC1_2560 22 April Set 1.md)</t>
        </is>
      </c>
    </row>
    <row r="101" ht="13.2" customHeight="1" s="49">
      <c r="A101" t="n">
        <v>99</v>
      </c>
      <c r="B101"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D101" t="inlineStr">
        <is>
          <t>Normochromic normocytic anemia</t>
        </is>
      </c>
      <c r="E101" t="inlineStr">
        <is>
          <t>Normochromic microcytic anemia</t>
        </is>
      </c>
      <c r="F101" t="inlineStr">
        <is>
          <t>Hypochromic normocytic anemia</t>
        </is>
      </c>
      <c r="G101" t="inlineStr">
        <is>
          <t>Hypochromic microcytic anemia</t>
        </is>
      </c>
      <c r="H101" t="inlineStr">
        <is>
          <t>Hyperchromic macrocytic anemia</t>
        </is>
      </c>
      <c r="I101" t="inlineStr">
        <is>
          <t>1</t>
        </is>
      </c>
      <c r="J101"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1" t="inlineStr">
        <is>
          <t>Hypertension</t>
        </is>
      </c>
      <c r="M101" t="inlineStr">
        <is>
          <t>Clinic</t>
        </is>
      </c>
      <c r="N101" t="inlineStr">
        <is>
          <t>ข้อ 31 (Pharmtutor_2024_Set2.md)</t>
        </is>
      </c>
    </row>
    <row r="102" ht="13.2" customHeight="1" s="49">
      <c r="A102" t="n">
        <v>100</v>
      </c>
      <c r="B102" t="inlineStr">
        <is>
          <t>โรคทางระบบเลือด</t>
        </is>
      </c>
      <c r="D102" t="inlineStr">
        <is>
          <t>ข้อใดไม่ใช่ปัญหาของผู้ป่วยรายนี้</t>
        </is>
      </c>
      <c r="E102" t="inlineStr">
        <is>
          <t>Uncontrolled hypertension</t>
        </is>
      </c>
      <c r="F102" t="inlineStr">
        <is>
          <t>Anemia</t>
        </is>
      </c>
      <c r="G102" t="inlineStr">
        <is>
          <t>Acidosis</t>
        </is>
      </c>
      <c r="H102" t="inlineStr">
        <is>
          <t>Hyperkalemia</t>
        </is>
      </c>
      <c r="I102" t="inlineStr">
        <is>
          <t>1</t>
        </is>
      </c>
      <c r="J102"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12 (PLE_CC1_Practice_Exam.md)</t>
        </is>
      </c>
    </row>
    <row r="103" ht="13.2" customHeight="1" s="49">
      <c r="A103" t="n">
        <v>101</v>
      </c>
      <c r="B103" t="inlineStr">
        <is>
          <t>แพทย_สั่งยา Deferoxamine ให$ผู$ป&amp;วยในขนาด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จงหาอัตราเร็วในการบริหารยาให$แกGผู$ป&amp;วย</t>
        </is>
      </c>
      <c r="D103" t="inlineStr">
        <is>
          <t>0.60 ml/hr</t>
        </is>
      </c>
      <c r="E103" t="inlineStr">
        <is>
          <t>0.75 ml/hr</t>
        </is>
      </c>
      <c r="F103" t="inlineStr">
        <is>
          <t>0.80 ml/hr</t>
        </is>
      </c>
      <c r="G103" t="inlineStr">
        <is>
          <t>0.85 ml/hr</t>
        </is>
      </c>
      <c r="H103" t="inlineStr">
        <is>
          <t>0.90 ml/hr</t>
        </is>
      </c>
      <c r="I103" t="inlineStr">
        <is>
          <t>2</t>
        </is>
      </c>
      <c r="J103"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ผู$ป&amp;วยหนัก 50 kg ดังนั้นในหนึ่งวันผู$ป&amp;วยควรได$รับยา 40x50 = 2000 mg โดยวิธีการ IV drip 10 ชม. คิดเปญนแตGละชั่วโมงผู$ป&amp;วยจะได$รับยา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85 (PLE_CC1_Key_Rx20_UBU.md)</t>
        </is>
      </c>
    </row>
    <row r="104" ht="13.2" customHeight="1" s="49">
      <c r="A104" t="n">
        <v>102</v>
      </c>
      <c r="B104" t="inlineStr">
        <is>
          <t>หลังจากผู$ป&amp;วยได$รับยา Deferoxamine แล$วผู$ป&amp;วยมีป[สสาวะเปญนสีชมพูแดง ลักษณะดังกลGาวเกิดจากสาเหตุใด</t>
        </is>
      </c>
      <c r="D104" t="inlineStr">
        <is>
          <t>เปญนภาวะโรคของผู$ป&amp;วยอยูGแล$ว</t>
        </is>
      </c>
      <c r="E104" t="inlineStr">
        <is>
          <t>เปญนสีของ Deferoxamine ที่ขับออกมาทางป[สสาวะ</t>
        </is>
      </c>
      <c r="F104" t="inlineStr">
        <is>
          <t>เปญนสีของ Deferoxamine-Fe complex ที่ขับออกมาทางป[สสาวะ</t>
        </is>
      </c>
      <c r="G104" t="inlineStr">
        <is>
          <t>Amlodipine 5 mg OD</t>
        </is>
      </c>
      <c r="H104" t="inlineStr">
        <is>
          <t>Losartan 50 mg OD</t>
        </is>
      </c>
      <c r="I104" t="inlineStr">
        <is>
          <t>2</t>
        </is>
      </c>
      <c r="J104"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(เปญนภาวะโรคของผู$ป&amp;วยอยูGแล$ว):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4" t="inlineStr">
        <is>
          <t>Hypertension</t>
        </is>
      </c>
      <c r="M104" t="inlineStr">
        <is>
          <t>Clinic</t>
        </is>
      </c>
      <c r="N104" t="inlineStr">
        <is>
          <t>ข้อ 86 (PLE_CC1_Key_Rx20_UBU.md)</t>
        </is>
      </c>
    </row>
    <row r="105" ht="13.2" customHeight="1" s="49">
      <c r="A105" t="n">
        <v>103</v>
      </c>
      <c r="B105" t="inlineStr">
        <is>
          <t>จากโครงสร$างของ Deferoxamine หมูGฟ[งก_ชันใดที่เข$าจับกับเหล็ก</t>
        </is>
      </c>
      <c r="D105" t="inlineStr">
        <is>
          <t>Nitro carbamate</t>
        </is>
      </c>
      <c r="E105" t="inlineStr">
        <is>
          <t>Nitro-carbonyl</t>
        </is>
      </c>
      <c r="F105" t="inlineStr">
        <is>
          <t>Enalapril 10 mg BID</t>
        </is>
      </c>
      <c r="G105" t="inlineStr">
        <is>
          <t>Hydrochlorothiazide 25 mg OD</t>
        </is>
      </c>
      <c r="H105" t="inlineStr">
        <is>
          <t>…Carbamate</t>
        </is>
      </c>
      <c r="I105" t="inlineStr">
        <is>
          <t>2</t>
        </is>
      </c>
      <c r="J105"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5" t="inlineStr">
        <is>
          <t>Hypertension</t>
        </is>
      </c>
      <c r="M105" t="inlineStr">
        <is>
          <t>Clinic</t>
        </is>
      </c>
      <c r="N105" t="inlineStr">
        <is>
          <t>ข้อ 87 (PLE_CC1_Key_Rx20_UBU.md)</t>
        </is>
      </c>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Q121"/>
  <sheetViews>
    <sheetView workbookViewId="0">
      <pane ySplit="2" topLeftCell="A108" activePane="bottomLeft" state="frozen"/>
      <selection pane="bottomLeft" activeCell="A3" sqref="A3:P121"/>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35" t="n"/>
      <c r="D3" s="34" t="inlineStr">
        <is>
          <t>HRIG คู่กับ tetanus วัคซีน</t>
        </is>
      </c>
      <c r="E3" s="34" t="inlineStr">
        <is>
          <t>ERIG คู่กับ tetanus วัคซีน</t>
        </is>
      </c>
      <c r="F3" s="34" t="inlineStr">
        <is>
          <t>HRIG คู่กับ pertussis วัคซีน</t>
        </is>
      </c>
      <c r="G3" s="34" t="inlineStr">
        <is>
          <t>HRIG คู่กับ ERIG</t>
        </is>
      </c>
      <c r="H3" s="34" t="inlineStr">
        <is>
          <t>ไม่ต้องฉีดเพิ่มแล้ว</t>
        </is>
      </c>
      <c r="I3" s="33" t="inlineStr">
        <is>
          <t>1</t>
        </is>
      </c>
      <c r="J3" s="34"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35" t="n"/>
      <c r="L3" s="34" t="inlineStr">
        <is>
          <t>EPI Vaccines</t>
        </is>
      </c>
      <c r="M3" s="35" t="inlineStr">
        <is>
          <t>Clinic</t>
        </is>
      </c>
      <c r="N3" s="34" t="inlineStr">
        <is>
          <t>ข้อ 1 Pharma Plus เล่มม่วง (เฉลยข้อ ก ข)</t>
        </is>
      </c>
      <c r="O3" s="35" t="inlineStr">
        <is>
          <t>Mock</t>
        </is>
      </c>
      <c r="P3" s="35" t="inlineStr">
        <is>
          <t>Pharma Plus เล่มม่วง</t>
        </is>
      </c>
    </row>
    <row r="4" ht="13.2" customHeight="1" s="49">
      <c r="A4" s="33" t="n">
        <v>2</v>
      </c>
      <c r="B4" s="34" t="inlineStr">
        <is>
          <t>วัคซีนพิษสุนัขบ้าเป็นเชื้อชนิดใด</t>
        </is>
      </c>
      <c r="C4" s="35" t="n"/>
      <c r="D4" s="34" t="inlineStr">
        <is>
          <t>Live attenuated vaccine</t>
        </is>
      </c>
      <c r="E4" s="34" t="inlineStr">
        <is>
          <t>Toxoids</t>
        </is>
      </c>
      <c r="F4" s="34" t="inlineStr">
        <is>
          <t>Killed vaccine</t>
        </is>
      </c>
      <c r="G4" s="34" t="inlineStr">
        <is>
          <t>Subunit</t>
        </is>
      </c>
      <c r="H4" s="34" t="inlineStr">
        <is>
          <t>Immunoglobulin</t>
        </is>
      </c>
      <c r="I4" s="33" t="inlineStr">
        <is>
          <t>1</t>
        </is>
      </c>
      <c r="J4" s="34"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35" t="n"/>
      <c r="L4" s="34" t="inlineStr">
        <is>
          <t>EPI Vaccines</t>
        </is>
      </c>
      <c r="M4" s="35" t="inlineStr">
        <is>
          <t>Clinic</t>
        </is>
      </c>
      <c r="N4" s="34" t="inlineStr">
        <is>
          <t>ข้อ 2 Pharma Plus เล่มม่วง (เฉลยข้อ ก)</t>
        </is>
      </c>
      <c r="O4" s="35" t="inlineStr">
        <is>
          <t>Mock</t>
        </is>
      </c>
      <c r="P4" s="35" t="inlineStr">
        <is>
          <t>Pharma Plus เล่มม่วง</t>
        </is>
      </c>
    </row>
    <row r="5" ht="13.2" customHeight="1" s="49">
      <c r="A5" s="33" t="n">
        <v>3</v>
      </c>
      <c r="B5" s="34" t="inlineStr">
        <is>
          <t>แม่ต้องพาลูกมาฉีดกี่ครั้ง</t>
        </is>
      </c>
      <c r="C5" s="35" t="n"/>
      <c r="D5" s="34" t="inlineStr">
        <is>
          <t>Montelukast 10 mg HS</t>
        </is>
      </c>
      <c r="E5" s="34" t="inlineStr">
        <is>
          <t>Hydroxyzine 25 mg HS</t>
        </is>
      </c>
      <c r="F5" s="34" t="inlineStr">
        <is>
          <t>Diphenhydramine 25 mg IV</t>
        </is>
      </c>
      <c r="G5" s="34" t="inlineStr">
        <is>
          <t>Cetirizine 10 mg OD</t>
        </is>
      </c>
      <c r="H5" s="34" t="inlineStr">
        <is>
          <t>Loratadine 10 mg OD</t>
        </is>
      </c>
      <c r="I5" s="33" t="inlineStr">
        <is>
          <t>4</t>
        </is>
      </c>
      <c r="J5" s="34"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5" t="n"/>
      <c r="L5" s="34" t="inlineStr">
        <is>
          <t>EPI Vaccines</t>
        </is>
      </c>
      <c r="M5" s="35" t="inlineStr">
        <is>
          <t>Clinic</t>
        </is>
      </c>
      <c r="N5" s="34" t="inlineStr">
        <is>
          <t>ข้อ 3 Pharma Plus เล่มม่วง (เฉลยข้อ ง)</t>
        </is>
      </c>
      <c r="O5" s="35" t="inlineStr">
        <is>
          <t>Mock</t>
        </is>
      </c>
      <c r="P5" s="35" t="inlineStr">
        <is>
          <t>Pharma Plus เล่มม่วง</t>
        </is>
      </c>
    </row>
    <row r="6" ht="13.2" customHeight="1" s="49">
      <c r="A6" s="33" t="n">
        <v>4</v>
      </c>
      <c r="B6" s="34" t="inlineStr">
        <is>
          <t>ถ้าครั้งที่ 2 ของการฉีดวัคซีน เด็กไม่สามารถมาตามตารางนัดได้ ข้อใดสามารถทำได้เพื่อให้เด็กมีภูมิคุ้มกันอยู่</t>
        </is>
      </c>
      <c r="C6" s="35" t="n"/>
      <c r="D6" s="34" t="inlineStr">
        <is>
          <t>ให้มารับการฉีดวัคซีนก่อนกำหนด 1 วัน</t>
        </is>
      </c>
      <c r="E6" s="34" t="inlineStr">
        <is>
          <t>ให้มารับการฉีดวัคซีนครั้งที่ 3 แทน</t>
        </is>
      </c>
      <c r="F6" s="34" t="inlineStr">
        <is>
          <t>เริ่มต้นการฉีดวัคซีนใหม่</t>
        </is>
      </c>
      <c r="G6" s="34" t="inlineStr">
        <is>
          <t>ให้มารับการฉีดวัคซีนหลังกำหนดให้เร็วที่สุด</t>
        </is>
      </c>
      <c r="H6" s="34" t="inlineStr">
        <is>
          <t>ให้มารับการฉีดวัคซีนหลังกำหนด 5 วัน</t>
        </is>
      </c>
      <c r="I6" s="33" t="inlineStr">
        <is>
          <t>4</t>
        </is>
      </c>
      <c r="J6" s="34"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ตามหลักการให้วัคซีนสากล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35" t="n"/>
      <c r="L6" s="34" t="inlineStr">
        <is>
          <t>EPI Vaccines</t>
        </is>
      </c>
      <c r="M6" s="35" t="inlineStr">
        <is>
          <t>Clinic</t>
        </is>
      </c>
      <c r="N6" s="34" t="inlineStr">
        <is>
          <t>ข้อ 4 Pharma Plus เล่มม่วง (เฉลยข้อ ง)</t>
        </is>
      </c>
      <c r="O6" s="35" t="inlineStr">
        <is>
          <t>Mock</t>
        </is>
      </c>
      <c r="P6" s="35" t="inlineStr">
        <is>
          <t>Pharma Plus เล่มม่วง</t>
        </is>
      </c>
    </row>
    <row r="7" ht="13.2" customHeight="1" s="49">
      <c r="A7" s="33" t="n">
        <v>5</v>
      </c>
      <c r="B7" s="34"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35" t="n"/>
      <c r="D7" s="34" t="inlineStr">
        <is>
          <t>ฉีดใหม่ทั้งชุด 5 เข็ม</t>
        </is>
      </c>
      <c r="E7" s="34" t="inlineStr">
        <is>
          <t>ไม่ต้องฉีดวัคซีน</t>
        </is>
      </c>
      <c r="F7" s="34" t="inlineStr">
        <is>
          <t>ฉีดซ้ำใหม่เพียงหนึ่งเข็ม</t>
        </is>
      </c>
      <c r="G7" s="34" t="inlineStr">
        <is>
          <t>ฉีดวัคซีนอีกสองเข็ม</t>
        </is>
      </c>
      <c r="H7" s="34" t="inlineStr">
        <is>
          <t>แล้วแต่กรณี</t>
        </is>
      </c>
      <c r="I7" s="33" t="inlineStr">
        <is>
          <t>3</t>
        </is>
      </c>
      <c r="J7" s="34"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5" t="n"/>
      <c r="L7" s="34" t="inlineStr">
        <is>
          <t>EPI Vaccines</t>
        </is>
      </c>
      <c r="M7" s="35" t="inlineStr">
        <is>
          <t>Clinic</t>
        </is>
      </c>
      <c r="N7" s="34" t="inlineStr">
        <is>
          <t>ข้อ 5 Pharma Plus เล่มม่วง (เฉลยข้อ ค)</t>
        </is>
      </c>
      <c r="O7" s="35" t="inlineStr">
        <is>
          <t>Mock</t>
        </is>
      </c>
      <c r="P7" s="35" t="inlineStr">
        <is>
          <t>Pharma Plus เล่มม่วง</t>
        </is>
      </c>
    </row>
    <row r="8" ht="13.2" customHeight="1" s="49">
      <c r="A8" s="33" t="n">
        <v>6</v>
      </c>
      <c r="B8" s="34" t="inlineStr">
        <is>
          <t>ข้อใดผิดเกี่ยวกับชีววัตถุ</t>
        </is>
      </c>
      <c r="C8" s="35" t="n"/>
      <c r="D8" s="34" t="inlineStr">
        <is>
          <t>เป็นวัตถุที่สังเคราะห์ทางเคมีได้ง่าย</t>
        </is>
      </c>
      <c r="E8" s="34" t="inlineStr">
        <is>
          <t>ตัวอย่างของชีววัตถุ คือ antitoxins , bacterial vaccines , blood products , hormone extracts</t>
        </is>
      </c>
      <c r="F8" s="34" t="inlineStr">
        <is>
          <t>Insulin จัดเป็นชีววัตถุ</t>
        </is>
      </c>
      <c r="G8" s="34" t="inlineStr">
        <is>
          <t>วัตถุที่ได้จากสิ่งมีชีวิตและใช้สำหรับป้องกันหรือรักษาโรค</t>
        </is>
      </c>
      <c r="H8" s="34" t="inlineStr">
        <is>
          <t>ไม่มีข้อผิด</t>
        </is>
      </c>
      <c r="I8" s="33" t="inlineStr">
        <is>
          <t>1</t>
        </is>
      </c>
      <c r="J8" s="34"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35" t="n"/>
      <c r="L8" s="34" t="inlineStr">
        <is>
          <t>Allergic rhinitis</t>
        </is>
      </c>
      <c r="M8" s="35" t="inlineStr">
        <is>
          <t>Clinic</t>
        </is>
      </c>
      <c r="N8" s="34" t="inlineStr">
        <is>
          <t>ข้อ 6 Pharma Plus เล่มม่วง (เฉลยข้อ ก)</t>
        </is>
      </c>
      <c r="O8" s="35" t="inlineStr">
        <is>
          <t>Mock</t>
        </is>
      </c>
      <c r="P8" s="35" t="inlineStr">
        <is>
          <t>Pharma Plus เล่มม่วง</t>
        </is>
      </c>
    </row>
    <row r="9" ht="13.2" customHeight="1" s="49">
      <c r="A9" s="33" t="n">
        <v>7</v>
      </c>
      <c r="B9" s="34" t="inlineStr">
        <is>
          <t>วัตถุประสงค์ในการเติม adjuvant คือข้อใด</t>
        </is>
      </c>
      <c r="C9" s="35" t="n"/>
      <c r="D9" s="34" t="inlineStr">
        <is>
          <t>เพื่อเพิ่มการละลาย</t>
        </is>
      </c>
      <c r="E9" s="34" t="inlineStr">
        <is>
          <t>ทำให้ไวรัสอ่อนฤทธิ์ลง</t>
        </is>
      </c>
      <c r="F9" s="34" t="inlineStr">
        <is>
          <t>เพื่อเพิ่มความคงตัว</t>
        </is>
      </c>
      <c r="G9" s="34" t="inlineStr">
        <is>
          <t>เพื่อเป็นสารต้านจุลชีพ</t>
        </is>
      </c>
      <c r="H9" s="34" t="inlineStr">
        <is>
          <t>เพื่อเพิ่มการตอบสนองต่อภูมิคุ้มกัน</t>
        </is>
      </c>
      <c r="I9" s="33" t="inlineStr">
        <is>
          <t>5</t>
        </is>
      </c>
      <c r="J9" s="34"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5" t="n"/>
      <c r="L9" s="34" t="inlineStr">
        <is>
          <t>EPI Vaccines</t>
        </is>
      </c>
      <c r="M9" s="35" t="inlineStr">
        <is>
          <t>Clinic</t>
        </is>
      </c>
      <c r="N9" s="34" t="inlineStr">
        <is>
          <t>ข้อ 7 Pharma Plus เล่มม่วง (เฉลยข้อ จ)</t>
        </is>
      </c>
      <c r="O9" s="35" t="inlineStr">
        <is>
          <t>Mock</t>
        </is>
      </c>
      <c r="P9" s="35" t="inlineStr">
        <is>
          <t>Pharma Plus เล่มม่วง</t>
        </is>
      </c>
    </row>
    <row r="10" ht="13.2" customHeight="1" s="49">
      <c r="A10" s="33" t="n">
        <v>8</v>
      </c>
      <c r="B10" s="34" t="inlineStr">
        <is>
          <t>หากท่านเป็นเภสัชกรณ์ ท่านจะเก็บวัคซีนใดในช่องแช่แข็ง เพื่อเพิ่มอายุยาให้นานขึ้น</t>
        </is>
      </c>
      <c r="C10" s="35" t="n"/>
      <c r="D10" s="34" t="inlineStr">
        <is>
          <t>DTP</t>
        </is>
      </c>
      <c r="E10" s="34" t="inlineStr">
        <is>
          <t>OPV</t>
        </is>
      </c>
      <c r="F10" s="34" t="inlineStr">
        <is>
          <t>HBV</t>
        </is>
      </c>
      <c r="G10" s="34" t="inlineStr">
        <is>
          <t>Typhoid vaccine</t>
        </is>
      </c>
      <c r="H10" s="34" t="inlineStr">
        <is>
          <t>Rabies vaccine</t>
        </is>
      </c>
      <c r="I10" s="33" t="inlineStr">
        <is>
          <t>2</t>
        </is>
      </c>
      <c r="J10" s="34"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5" t="n"/>
      <c r="L10" s="34" t="inlineStr">
        <is>
          <t>EPI Vaccines</t>
        </is>
      </c>
      <c r="M10" s="35" t="inlineStr">
        <is>
          <t>Clinic</t>
        </is>
      </c>
      <c r="N10" s="34" t="inlineStr">
        <is>
          <t>ข้อ 8 Pharma Plus เล่มม่วง (เฉลยข้อ ข)</t>
        </is>
      </c>
      <c r="O10" s="35" t="inlineStr">
        <is>
          <t>Mock</t>
        </is>
      </c>
      <c r="P10" s="35" t="inlineStr">
        <is>
          <t>Pharma Plus เล่มม่วง</t>
        </is>
      </c>
    </row>
    <row r="11" ht="13.2" customHeight="1" s="49">
      <c r="A11" s="33" t="n">
        <v>9</v>
      </c>
      <c r="B11" s="34" t="inlineStr">
        <is>
          <t>ข้อใดไม่ใช่ live-attenuated vaccine</t>
        </is>
      </c>
      <c r="C11" s="35" t="n"/>
      <c r="D11" s="34" t="inlineStr">
        <is>
          <t>BCG</t>
        </is>
      </c>
      <c r="E11" s="34" t="inlineStr">
        <is>
          <t>MMR</t>
        </is>
      </c>
      <c r="F11" s="34" t="inlineStr">
        <is>
          <t>DTP</t>
        </is>
      </c>
      <c r="G11" s="34" t="inlineStr">
        <is>
          <t>Varicella vaccine</t>
        </is>
      </c>
      <c r="H11" s="34" t="inlineStr">
        <is>
          <t>Polio</t>
        </is>
      </c>
      <c r="I11" s="33" t="inlineStr">
        <is>
          <t>3</t>
        </is>
      </c>
      <c r="J11" s="34"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35" t="n"/>
      <c r="L11" s="34" t="inlineStr">
        <is>
          <t>Hypersensitivity</t>
        </is>
      </c>
      <c r="M11" s="35" t="inlineStr">
        <is>
          <t>Clinic</t>
        </is>
      </c>
      <c r="N11" s="34" t="inlineStr">
        <is>
          <t>ข้อ 9 Pharma Plus เล่มม่วง (เฉลยข้อ ค)</t>
        </is>
      </c>
      <c r="O11" s="35" t="inlineStr">
        <is>
          <t>Mock</t>
        </is>
      </c>
      <c r="P11" s="35" t="inlineStr">
        <is>
          <t>Pharma Plus เล่มม่วง</t>
        </is>
      </c>
    </row>
    <row r="12" ht="13.2" customHeight="1" s="49">
      <c r="A12" s="33" t="n">
        <v>10</v>
      </c>
      <c r="B12" s="34" t="inlineStr">
        <is>
          <t>วัคซีนใดไม่ได้อยู่ในโปรแกรมเสริมสร้างภูมิคุ้มกัน</t>
        </is>
      </c>
      <c r="C12" s="35" t="n"/>
      <c r="D12" s="34" t="inlineStr">
        <is>
          <t>หัด</t>
        </is>
      </c>
      <c r="E12" s="34" t="inlineStr">
        <is>
          <t>คางทูม</t>
        </is>
      </c>
      <c r="F12" s="34" t="inlineStr">
        <is>
          <t>โปลิโอ</t>
        </is>
      </c>
      <c r="G12" s="34" t="inlineStr">
        <is>
          <t>อีสุกอีใส</t>
        </is>
      </c>
      <c r="H12" s="34" t="inlineStr">
        <is>
          <t>บาดทะยัก</t>
        </is>
      </c>
      <c r="I12" s="33" t="inlineStr">
        <is>
          <t>4</t>
        </is>
      </c>
      <c r="J12" s="34"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5" t="n"/>
      <c r="L12" s="34" t="inlineStr">
        <is>
          <t>EPI Vaccines</t>
        </is>
      </c>
      <c r="M12" s="35" t="inlineStr">
        <is>
          <t>Clinic</t>
        </is>
      </c>
      <c r="N12" s="34" t="inlineStr">
        <is>
          <t>ข้อ 10 Pharma Plus เล่มม่วง (เฉลยข้อ ง)</t>
        </is>
      </c>
      <c r="O12" s="35" t="inlineStr">
        <is>
          <t>Mock</t>
        </is>
      </c>
      <c r="P12" s="35" t="inlineStr">
        <is>
          <t>Pharma Plus เล่มม่วง</t>
        </is>
      </c>
    </row>
    <row r="13" ht="13.2" customHeight="1" s="49">
      <c r="A13" s="33" t="n">
        <v>11</v>
      </c>
      <c r="B13"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35" t="n"/>
      <c r="D13" s="34" t="inlineStr">
        <is>
          <t>BCG และ HBV</t>
        </is>
      </c>
      <c r="E13" s="34" t="inlineStr">
        <is>
          <t>BCG และ OPV</t>
        </is>
      </c>
      <c r="F13" s="34" t="inlineStr">
        <is>
          <t>OPV และ MMR</t>
        </is>
      </c>
      <c r="G13" s="34" t="inlineStr">
        <is>
          <t>HBV และ MMR</t>
        </is>
      </c>
      <c r="H13" s="34" t="inlineStr">
        <is>
          <t>DTP และ OPV</t>
        </is>
      </c>
      <c r="I13" s="33" t="inlineStr">
        <is>
          <t>1</t>
        </is>
      </c>
      <c r="J13" s="34"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5" t="n"/>
      <c r="L13" s="34" t="inlineStr">
        <is>
          <t>EPI Vaccines</t>
        </is>
      </c>
      <c r="M13" s="35" t="inlineStr">
        <is>
          <t>Clinic</t>
        </is>
      </c>
      <c r="N13" s="34" t="inlineStr">
        <is>
          <t>ข้อ 11 Pharma Plus เล่มม่วง (เฉลยข้อ ก)</t>
        </is>
      </c>
      <c r="O13" s="35" t="inlineStr">
        <is>
          <t>Mock</t>
        </is>
      </c>
      <c r="P13" s="35" t="inlineStr">
        <is>
          <t>Pharma Plus เล่มม่วง</t>
        </is>
      </c>
    </row>
    <row r="14" ht="13.2" customHeight="1" s="49">
      <c r="A14" s="33" t="n">
        <v>12</v>
      </c>
      <c r="B14" s="34"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35" t="n"/>
      <c r="D14" s="34" t="inlineStr">
        <is>
          <t>IPV vaccine</t>
        </is>
      </c>
      <c r="E14" s="34" t="inlineStr">
        <is>
          <t>MMR vaccine</t>
        </is>
      </c>
      <c r="F14" s="34" t="inlineStr">
        <is>
          <t>HBV vaccine</t>
        </is>
      </c>
      <c r="G14" s="34" t="inlineStr">
        <is>
          <t>Haemophilus influenzae B vaccine</t>
        </is>
      </c>
      <c r="H14" s="34" t="inlineStr">
        <is>
          <t>Japanese encephalitis vaccine</t>
        </is>
      </c>
      <c r="I14" s="33" t="inlineStr">
        <is>
          <t>2</t>
        </is>
      </c>
      <c r="J14" s="34"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5" t="n"/>
      <c r="L14" s="34" t="inlineStr">
        <is>
          <t>EPI Vaccines</t>
        </is>
      </c>
      <c r="M14" s="35" t="inlineStr">
        <is>
          <t>Clinic</t>
        </is>
      </c>
      <c r="N14" s="34" t="inlineStr">
        <is>
          <t>ข้อ 12 Pharma Plus เล่มม่วง (เฉลยข้อ ข)</t>
        </is>
      </c>
      <c r="O14" s="35" t="inlineStr">
        <is>
          <t>Mock</t>
        </is>
      </c>
      <c r="P14" s="35" t="inlineStr">
        <is>
          <t>Pharma Plus เล่มม่วง</t>
        </is>
      </c>
    </row>
    <row r="15" ht="13.2" customHeight="1" s="49">
      <c r="A15" s="33" t="n">
        <v>13</v>
      </c>
      <c r="B15" s="34" t="inlineStr">
        <is>
          <t>ควรฉีดวัคซีนที่กล้ามเนื้อชนิดใด</t>
        </is>
      </c>
      <c r="C15" s="35" t="n"/>
      <c r="D15" s="34" t="inlineStr">
        <is>
          <t>Deltoid</t>
        </is>
      </c>
      <c r="E15" s="34" t="inlineStr">
        <is>
          <t>Gluteus maximus</t>
        </is>
      </c>
      <c r="F15" s="34" t="inlineStr">
        <is>
          <t>Gluteus medis</t>
        </is>
      </c>
      <c r="G15" s="34" t="inlineStr">
        <is>
          <t>Gastrocnemius</t>
        </is>
      </c>
      <c r="H15" s="34" t="inlineStr">
        <is>
          <t>Anterolateral</t>
        </is>
      </c>
      <c r="I15" s="33" t="inlineStr">
        <is>
          <t>1</t>
        </is>
      </c>
      <c r="J15" s="34"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5" t="n"/>
      <c r="L15" s="34" t="inlineStr">
        <is>
          <t>EPI Vaccines</t>
        </is>
      </c>
      <c r="M15" s="35" t="inlineStr">
        <is>
          <t>Clinic</t>
        </is>
      </c>
      <c r="N15" s="34" t="inlineStr">
        <is>
          <t>ข้อ 13 Pharma Plus เล่มม่วง (เฉลยข้อ ก)</t>
        </is>
      </c>
      <c r="O15" s="35" t="inlineStr">
        <is>
          <t>Mock</t>
        </is>
      </c>
      <c r="P15" s="35" t="inlineStr">
        <is>
          <t>Pharma Plus เล่มม่วง</t>
        </is>
      </c>
    </row>
    <row r="16" ht="13.2" customHeight="1" s="49">
      <c r="A16" s="33" t="n">
        <v>14</v>
      </c>
      <c r="B16" s="34" t="inlineStr">
        <is>
          <t>การฉีดวัคซีนกระตุ้นเข็มแรก จะมี antibody ชนิดใดเริ่มสร้างตัวแรก</t>
        </is>
      </c>
      <c r="C16" s="35" t="n"/>
      <c r="D16" s="34" t="inlineStr">
        <is>
          <t>Immunoglobulin A</t>
        </is>
      </c>
      <c r="E16" s="34" t="inlineStr">
        <is>
          <t>Immunoglobulin D</t>
        </is>
      </c>
      <c r="F16" s="34" t="inlineStr">
        <is>
          <t>Immunoglobulin E</t>
        </is>
      </c>
      <c r="G16" s="34" t="inlineStr">
        <is>
          <t>Immunoglobulin G</t>
        </is>
      </c>
      <c r="H16" s="34" t="inlineStr">
        <is>
          <t>Immunoglobulin M</t>
        </is>
      </c>
      <c r="I16" s="33" t="inlineStr">
        <is>
          <t>5</t>
        </is>
      </c>
      <c r="J16" s="34"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EPI Vaccines</t>
        </is>
      </c>
      <c r="M16" s="35" t="inlineStr">
        <is>
          <t>Clinic</t>
        </is>
      </c>
      <c r="N16" s="34" t="inlineStr">
        <is>
          <t>ข้อ 14 Pharma Plus เล่มม่วง (เฉลยข้อ จ)</t>
        </is>
      </c>
      <c r="O16" s="35" t="inlineStr">
        <is>
          <t>Mock</t>
        </is>
      </c>
      <c r="P16" s="35" t="inlineStr">
        <is>
          <t>Pharma Plus เล่มม่วง</t>
        </is>
      </c>
    </row>
    <row r="17" ht="13.2" customHeight="1" s="49">
      <c r="A17" s="33" t="n">
        <v>15</v>
      </c>
      <c r="B17" s="34" t="inlineStr">
        <is>
          <t>ข้อใดผิดเกี่ยวกับการให้วัคซีนในเด็ก</t>
        </is>
      </c>
      <c r="C17" s="35" t="n"/>
      <c r="D17" s="34" t="inlineStr">
        <is>
          <t>วัคซีนที่มีชีวิตสามารถให้พร้อมกันในวันเดียวกันได้</t>
        </is>
      </c>
      <c r="E17" s="34" t="inlineStr">
        <is>
          <t>ถ้าฉีดวัคซีนในวันนัดไม่ได้ ให้มาก่อนจะได้กว่ามาฉีดช้ากว่ากำหนด</t>
        </is>
      </c>
      <c r="F17" s="34" t="inlineStr">
        <is>
          <t>วัคซีนชนิดกินเป็น IgA</t>
        </is>
      </c>
      <c r="G17" s="34" t="inlineStr">
        <is>
          <t>ถ้าเด็กเป็นไข้สูงยังไม่ฉีดวัคซีนให้ แต่ถ้าเป็นหวัด ไอ สามารถให้วัคซีนได้</t>
        </is>
      </c>
      <c r="H17" s="34" t="inlineStr">
        <is>
          <t>[NEED_REVIEW]</t>
        </is>
      </c>
      <c r="I17" s="33" t="inlineStr">
        <is>
          <t>2</t>
        </is>
      </c>
      <c r="J17" s="34"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ส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EPI Vaccines</t>
        </is>
      </c>
      <c r="M17" s="35" t="inlineStr">
        <is>
          <t>Clinic</t>
        </is>
      </c>
      <c r="N17" s="34" t="inlineStr">
        <is>
          <t>ข้อ 15 Pharma Plus เล่มม่วง (เฉลยข้อ ข ค)</t>
        </is>
      </c>
      <c r="O17" s="35" t="inlineStr">
        <is>
          <t>Mock</t>
        </is>
      </c>
      <c r="P17" s="35" t="inlineStr">
        <is>
          <t>Pharma Plus เล่มม่วง</t>
        </is>
      </c>
    </row>
    <row r="18" ht="13.2" customHeight="1" s="49">
      <c r="A18" s="33" t="n">
        <v>16</v>
      </c>
      <c r="B18" s="34"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35" t="n"/>
      <c r="D18" s="34" t="inlineStr">
        <is>
          <t>ทำความสะอาดด้วย alcohol 70% วันละ 2 ครั้ง</t>
        </is>
      </c>
      <c r="E18" s="34" t="inlineStr">
        <is>
          <t>ไม่ต้องใส่ยาหรือปิดแผล ให้เช็ดด้วยสำลีชุบน้ำสะอาดก็เพียงพอ</t>
        </is>
      </c>
      <c r="F18" s="34" t="inlineStr">
        <is>
          <t>ใช้เข็มสะอาดเจาะฝีให้แตก แล้วทาด้วย povidone iodine วันละ 2 ครั้ง</t>
        </is>
      </c>
      <c r="G18" s="34" t="inlineStr">
        <is>
          <t>เมื่อฝีแตกให้เอาพาสเตอร์ปิดแผลไว้ เพื่อป้องกันแผลสกปรกและติดเชื้อ</t>
        </is>
      </c>
      <c r="H18" s="34" t="inlineStr">
        <is>
          <t>จ่ายยา cloxacillin syrup เพื่อรักษาฝี โดยให้รับประทานเป็นเวลา 1 สัปดาห์</t>
        </is>
      </c>
      <c r="I18" s="33" t="inlineStr">
        <is>
          <t>2</t>
        </is>
      </c>
      <c r="J18" s="34"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EPI Vaccines</t>
        </is>
      </c>
      <c r="M18" s="35" t="inlineStr">
        <is>
          <t>Clinic</t>
        </is>
      </c>
      <c r="N18" s="34" t="inlineStr">
        <is>
          <t>ข้อ 16 Pharma Plus เล่มม่วง (เฉลยข้อ ข)</t>
        </is>
      </c>
      <c r="O18" s="35" t="inlineStr">
        <is>
          <t>Mock</t>
        </is>
      </c>
      <c r="P18" s="35" t="inlineStr">
        <is>
          <t>Pharma Plus เล่มม่วง</t>
        </is>
      </c>
    </row>
    <row r="19" ht="13.2" customHeight="1" s="49">
      <c r="A19" s="33" t="n">
        <v>17</v>
      </c>
      <c r="B19" s="34"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35" t="n"/>
      <c r="D19" s="34" t="inlineStr">
        <is>
          <t>ต้องตั้งต้นฉีดเข็มที่ 1 ใหม่ เพราะเลยเวลานัดแล้ว</t>
        </is>
      </c>
      <c r="E19" s="34" t="inlineStr">
        <is>
          <t>ต้องตั้งต้นฉีดเข็มที่ 1 ใหม่ และเป็นวัคซีนคนละบริษัท</t>
        </is>
      </c>
      <c r="F19" s="34" t="inlineStr">
        <is>
          <t>สามารถฉีดเข็มที่ 2 ต่อได้เลย แต่ต้องไปฉีดที่โรงพยาบาลเดิมเพื่อที่จะได้รับวัคซีนของบริษัทเดิม</t>
        </is>
      </c>
      <c r="G19" s="34" t="inlineStr">
        <is>
          <t>สามารถฉีดเข็มที่ 2 ต่อได้เลย และวัคซีนคนละบริษัทสามารถใช้แทนกันได้</t>
        </is>
      </c>
      <c r="H19" s="34" t="inlineStr">
        <is>
          <t>ให้งดฉีดเข็มที่ 2 ไปเลย และให้ไปฉีดเข็มที่ 3 ตอนบุตรชายอายุ 6 เดือน</t>
        </is>
      </c>
      <c r="I19" s="33" t="inlineStr">
        <is>
          <t>4</t>
        </is>
      </c>
      <c r="J19" s="34"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35" t="n"/>
      <c r="L19" s="34" t="inlineStr">
        <is>
          <t>EPI Vaccines</t>
        </is>
      </c>
      <c r="M19" s="35" t="inlineStr">
        <is>
          <t>Clinic</t>
        </is>
      </c>
      <c r="N19" s="34" t="inlineStr">
        <is>
          <t>ข้อ 17 Pharma Plus เล่มม่วง (เฉลยข้อ ง)</t>
        </is>
      </c>
      <c r="O19" s="35" t="inlineStr">
        <is>
          <t>Mock</t>
        </is>
      </c>
      <c r="P19" s="35" t="inlineStr">
        <is>
          <t>Pharma Plus เล่มม่วง</t>
        </is>
      </c>
    </row>
    <row r="20" ht="13.2" customHeight="1" s="49">
      <c r="A20" s="33" t="n">
        <v>18</v>
      </c>
      <c r="B20" s="34" t="inlineStr">
        <is>
          <t>วัคซีนชนิดใดมีวิธีการบริหารโดยให้ทางปาก</t>
        </is>
      </c>
      <c r="C20" s="35" t="n"/>
      <c r="D20" s="34" t="inlineStr">
        <is>
          <t>DTP</t>
        </is>
      </c>
      <c r="E20" s="34" t="inlineStr">
        <is>
          <t>HBV</t>
        </is>
      </c>
      <c r="F20" s="34" t="inlineStr">
        <is>
          <t>Hib</t>
        </is>
      </c>
      <c r="G20" s="34" t="inlineStr">
        <is>
          <t>OPV</t>
        </is>
      </c>
      <c r="H20" s="34" t="inlineStr">
        <is>
          <t>Influenza vaccine</t>
        </is>
      </c>
      <c r="I20" s="33" t="inlineStr">
        <is>
          <t>4</t>
        </is>
      </c>
      <c r="J20" s="34"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5" t="n"/>
      <c r="L20" s="34" t="inlineStr">
        <is>
          <t>EPI Vaccines</t>
        </is>
      </c>
      <c r="M20" s="35" t="inlineStr">
        <is>
          <t>Clinic</t>
        </is>
      </c>
      <c r="N20" s="34" t="inlineStr">
        <is>
          <t>ข้อ 18 Pharma Plus เล่มม่วง (เฉลยข้อ ง)</t>
        </is>
      </c>
      <c r="O20" s="35" t="inlineStr">
        <is>
          <t>Mock</t>
        </is>
      </c>
      <c r="P20" s="35" t="inlineStr">
        <is>
          <t>Pharma Plus เล่มม่วง</t>
        </is>
      </c>
    </row>
    <row r="21" ht="13.2" customHeight="1" s="49">
      <c r="A21" s="33" t="n">
        <v>19</v>
      </c>
      <c r="B21" s="34" t="inlineStr">
        <is>
          <t>วัคซีนชนิดใดที่เมื่อได้รับแล้วจะมีโอกาสเป็นไข้น้อยที่สุด</t>
        </is>
      </c>
      <c r="C21" s="35" t="n"/>
      <c r="D21" s="34" t="inlineStr">
        <is>
          <t>OPV</t>
        </is>
      </c>
      <c r="E21" s="34" t="inlineStr">
        <is>
          <t>MMR</t>
        </is>
      </c>
      <c r="F21" s="34" t="inlineStr">
        <is>
          <t>Tetanus toxoid</t>
        </is>
      </c>
      <c r="G21" s="34" t="inlineStr">
        <is>
          <t>Rabies vaccines</t>
        </is>
      </c>
      <c r="H21" s="34" t="inlineStr">
        <is>
          <t>Phenol killed typhoid vaccine</t>
        </is>
      </c>
      <c r="I21" s="33" t="inlineStr">
        <is>
          <t>1</t>
        </is>
      </c>
      <c r="J21" s="34"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5" t="n"/>
      <c r="L21" s="34" t="inlineStr">
        <is>
          <t>EPI Vaccines</t>
        </is>
      </c>
      <c r="M21" s="35" t="inlineStr">
        <is>
          <t>Clinic</t>
        </is>
      </c>
      <c r="N21" s="34" t="inlineStr">
        <is>
          <t>ข้อ 19 Pharma Plus เล่มม่วง (เฉลยข้อ ก)</t>
        </is>
      </c>
      <c r="O21" s="35" t="inlineStr">
        <is>
          <t>Mock</t>
        </is>
      </c>
      <c r="P21" s="35" t="inlineStr">
        <is>
          <t>Pharma Plus เล่มม่วง</t>
        </is>
      </c>
    </row>
    <row r="22" ht="13.2" customHeight="1" s="49">
      <c r="A22" s="33" t="n">
        <v>20</v>
      </c>
      <c r="B22" s="34" t="inlineStr">
        <is>
          <t>ผู้ป่วยภูมิคุ้มกันบกพร่องไม่ควรใช้วัคซีนใด</t>
        </is>
      </c>
      <c r="C22" s="35" t="n"/>
      <c r="D22" s="34" t="inlineStr">
        <is>
          <t>MMR</t>
        </is>
      </c>
      <c r="E22" s="34" t="inlineStr">
        <is>
          <t>Tetanus toxoid</t>
        </is>
      </c>
      <c r="F22" s="34" t="inlineStr">
        <is>
          <t>Inactivated polio vaccine</t>
        </is>
      </c>
      <c r="G22" s="34" t="inlineStr">
        <is>
          <t>Acellular pertussis vaccine</t>
        </is>
      </c>
      <c r="H22" s="34" t="inlineStr">
        <is>
          <t>Phenol killed typhoid vaccine</t>
        </is>
      </c>
      <c r="I22" s="33" t="inlineStr">
        <is>
          <t>1</t>
        </is>
      </c>
      <c r="J22" s="34"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EPI Vaccines</t>
        </is>
      </c>
      <c r="M22" s="35" t="inlineStr">
        <is>
          <t>Clinic</t>
        </is>
      </c>
      <c r="N22" s="34" t="inlineStr">
        <is>
          <t>ข้อ 20 Pharma Plus เล่มม่วง (เฉลยข้อ ก)</t>
        </is>
      </c>
      <c r="O22" s="35" t="inlineStr">
        <is>
          <t>Mock</t>
        </is>
      </c>
      <c r="P22" s="35" t="inlineStr">
        <is>
          <t>Pharma Plus เล่มม่วง</t>
        </is>
      </c>
    </row>
    <row r="23" ht="13.2" customHeight="1" s="49">
      <c r="A23" s="33" t="n">
        <v>21</v>
      </c>
      <c r="B23" s="34" t="inlineStr">
        <is>
          <t>วัคซีนส่วนใหญ่ได้มาจากเชื้อไวรัสยกเว้นข้อใด</t>
        </is>
      </c>
      <c r="C23" s="35" t="n"/>
      <c r="D23" s="34" t="inlineStr">
        <is>
          <t>JE</t>
        </is>
      </c>
      <c r="E23" s="34" t="inlineStr">
        <is>
          <t>BCG</t>
        </is>
      </c>
      <c r="F23" s="34" t="inlineStr">
        <is>
          <t>HBV</t>
        </is>
      </c>
      <c r="G23" s="34" t="inlineStr">
        <is>
          <t>MMR</t>
        </is>
      </c>
      <c r="H23" s="34" t="inlineStr">
        <is>
          <t>OPV</t>
        </is>
      </c>
      <c r="I23" s="33" t="inlineStr">
        <is>
          <t>2</t>
        </is>
      </c>
      <c r="J23" s="34"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EPI Vaccines</t>
        </is>
      </c>
      <c r="M23" s="35" t="inlineStr">
        <is>
          <t>Clinic</t>
        </is>
      </c>
      <c r="N23" s="34" t="inlineStr">
        <is>
          <t>ข้อ 21 Pharma Plus เล่มม่วง (เฉลยข้อ ข)</t>
        </is>
      </c>
      <c r="O23" s="35" t="inlineStr">
        <is>
          <t>Mock</t>
        </is>
      </c>
      <c r="P23" s="35" t="inlineStr">
        <is>
          <t>Pharma Plus เล่มม่วง</t>
        </is>
      </c>
    </row>
    <row r="24" ht="13.2" customHeight="1" s="49">
      <c r="A24" s="33" t="n">
        <v>22</v>
      </c>
      <c r="B24" s="34"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35" t="n"/>
      <c r="D24" s="34" t="inlineStr">
        <is>
          <t>สอบถามประวัติการแพ้ยา</t>
        </is>
      </c>
      <c r="E24" s="34" t="inlineStr">
        <is>
          <t>สอบถามโรคประจำตัว</t>
        </is>
      </c>
      <c r="F24" s="34" t="inlineStr">
        <is>
          <t>สอบถามประวัติการได้รับวัคซีน</t>
        </is>
      </c>
      <c r="G24" s="34" t="inlineStr">
        <is>
          <t>สอบถามการได้สัมผัสสัตว์ปีกที่มีชีวิต</t>
        </is>
      </c>
      <c r="H24" s="34" t="inlineStr">
        <is>
          <t>สอบถามเกี่ยวกับใกล้ชิดที่มีอาการผื่นแดง</t>
        </is>
      </c>
      <c r="I24" s="33" t="inlineStr">
        <is>
          <t>1</t>
        </is>
      </c>
      <c r="J24" s="34"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35" t="n"/>
      <c r="L24" s="34" t="inlineStr">
        <is>
          <t>Allergic rhinitis</t>
        </is>
      </c>
      <c r="M24" s="35" t="inlineStr">
        <is>
          <t>Clinic</t>
        </is>
      </c>
      <c r="N24" s="34" t="inlineStr">
        <is>
          <t>ข้อ 22 Pharma Plus เล่มม่วง (เฉลยข้อ )</t>
        </is>
      </c>
      <c r="O24" s="35" t="inlineStr">
        <is>
          <t>Mock</t>
        </is>
      </c>
      <c r="P24" s="35" t="inlineStr">
        <is>
          <t>Pharma Plus เล่มม่วง</t>
        </is>
      </c>
    </row>
    <row r="25" ht="13.2" customHeight="1" s="49">
      <c r="A25" s="33" t="n">
        <v>23</v>
      </c>
      <c r="B25" s="34"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35" t="n"/>
      <c r="D25" s="34" t="inlineStr">
        <is>
          <t>หวัดนก</t>
        </is>
      </c>
      <c r="E25" s="34" t="inlineStr">
        <is>
          <t>หัด</t>
        </is>
      </c>
      <c r="F25" s="34" t="inlineStr">
        <is>
          <t>อีสุกอีใส</t>
        </is>
      </c>
      <c r="G25" s="34" t="inlineStr">
        <is>
          <t>โรคภูมิคุ้มกันบกพร่อง</t>
        </is>
      </c>
      <c r="H25" s="34" t="inlineStr">
        <is>
          <t>โรคภูมิแพ้</t>
        </is>
      </c>
      <c r="I25" s="33" t="inlineStr">
        <is>
          <t>2</t>
        </is>
      </c>
      <c r="J25" s="34"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5" t="n"/>
      <c r="L25" s="34" t="inlineStr">
        <is>
          <t>Systemic lupus</t>
        </is>
      </c>
      <c r="M25" s="35" t="inlineStr">
        <is>
          <t>Clinic</t>
        </is>
      </c>
      <c r="N25" s="34" t="inlineStr">
        <is>
          <t>ข้อ 23 Pharma Plus เล่มม่วง (เฉลยข้อ ข)</t>
        </is>
      </c>
      <c r="O25" s="35" t="inlineStr">
        <is>
          <t>Mock</t>
        </is>
      </c>
      <c r="P25" s="35" t="inlineStr">
        <is>
          <t>Pharma Plus เล่มม่วง</t>
        </is>
      </c>
    </row>
    <row r="26" ht="13.2" customHeight="1" s="49">
      <c r="A26" s="33" t="n">
        <v>24</v>
      </c>
      <c r="B26" s="34" t="inlineStr">
        <is>
          <t>ท่านคิดว่า จะแก้ปัญหานี้ได้อย่างไรให้เกิดผลดีที่สุด</t>
        </is>
      </c>
      <c r="C26" s="35" t="n"/>
      <c r="D26" s="34" t="inlineStr">
        <is>
          <t>ไม่ต้องตกใจ เป็นอาการข้างเคียงของวัคซีน</t>
        </is>
      </c>
      <c r="E26" s="34" t="inlineStr">
        <is>
          <t>จ่ายยาลดไข้ ถ้าไข้ไม่ลด ให้มาพบที่ร้านยาอีกครั้ง</t>
        </is>
      </c>
      <c r="F26" s="34" t="inlineStr">
        <is>
          <t>ให้เช็ดตัวเด็กเป็นระยะ ๆ ถ้าไข้ไม่ลดลง นำส่ง ร.พ.</t>
        </is>
      </c>
      <c r="G26" s="34" t="inlineStr">
        <is>
          <t>ให้เช็ดตัวเด็กเป็นระยะ ๆ จ่ายยาลดไข้ และโทรรายงานแพทย์หรือพยาบาล ปรึกษาและบันทึกประวัติการแพ้วัคซีน</t>
        </is>
      </c>
      <c r="H26" s="34" t="inlineStr">
        <is>
          <t>จ่ายยาลดไข้และให้เช็ดตัวเด็กเป็นระยะ ๆ อาการจะดีขึ้น</t>
        </is>
      </c>
      <c r="I26" s="33" t="inlineStr">
        <is>
          <t>5</t>
        </is>
      </c>
      <c r="J26" s="34"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35" t="n"/>
      <c r="L26" s="34" t="inlineStr">
        <is>
          <t>Allergic rhinitis</t>
        </is>
      </c>
      <c r="M26" s="35" t="inlineStr">
        <is>
          <t>Clinic</t>
        </is>
      </c>
      <c r="N26" s="34" t="inlineStr">
        <is>
          <t>ข้อ 24 Pharma Plus เล่มม่วง (เฉลยข้อ จ)</t>
        </is>
      </c>
      <c r="O26" s="35" t="inlineStr">
        <is>
          <t>Mock</t>
        </is>
      </c>
      <c r="P26" s="35" t="inlineStr">
        <is>
          <t>Pharma Plus เล่มม่วง</t>
        </is>
      </c>
    </row>
    <row r="27" ht="13.2" customHeight="1" s="49">
      <c r="A27" s="33" t="n">
        <v>25</v>
      </c>
      <c r="B27" s="34" t="inlineStr">
        <is>
          <t>DTP และ MMR vaccine มีความแตกต่างกันทั้งประเภทของจุลินทรีย์ที่ใช้เตรียม ประเภทของวัคซีน ข้อใดไม่ถูกต้อง</t>
        </is>
      </c>
      <c r="C27" s="35" t="n"/>
      <c r="D27" s="34" t="inlineStr">
        <is>
          <t>DTP vaccine เตรียมจากไวรัส ส่วน MMR vaccine เตรียมจากแบคทีเรีย</t>
        </is>
      </c>
      <c r="E27" s="34" t="inlineStr">
        <is>
          <t>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t>
        </is>
      </c>
      <c r="F27" s="34" t="inlineStr">
        <is>
          <t>DTP vaccine เป็น inactivated vaccine ส่วน MMR เป็น live-attenuated vaccine</t>
        </is>
      </c>
      <c r="G27" s="34" t="inlineStr">
        <is>
          <t>DTP vaccine เป็น toxoid ทั้งหมด ส่วน MMR vaccine เป็น subunit vaccine ทั้งหมด</t>
        </is>
      </c>
      <c r="H27" s="34" t="inlineStr">
        <is>
          <t>DTP vaccine เป็น subunit vaccine ส่วน MMR vaccine เป็น toxoid</t>
        </is>
      </c>
      <c r="I27" s="33" t="inlineStr">
        <is>
          <t>1</t>
        </is>
      </c>
      <c r="J27" s="34" t="inlineStr">
        <is>
          <t>✅ คำตอบที่ถูกต้อง: ข้อ ก. DTP vaccine เตรียมจากไวรัส ส่วน MMR vaccine เตรียมจากแบคทีเรีย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vaccine เตรียมจากไวรัส ส่วน MMR vaccine เตรียมจากแบคทีเรีย DTP ประกอบด้วย Diphtheria toxoid, Tetanus toxoid และ Pertussis (acellular/whole cell ซึ่งเป็น subunit/inactivated) ส่วน MMR ประกอบด้วย Live-attenuated virus สำหรับ Measles, Mumps, Rubella ดังนั้นตัวเลือก ก. จึงผิดชัดเจนเพราะ DTP ป้องกันโรคจากแบคทีเรีย
🔍 ข้ออื่นผิดเพราะอะไร:
• ข้อ ข. (DTP vaccine ผลิตโดยนำจุลินทรีย์เลี้ยงในสภาวะที่ทำให้จุลินทรีย์อ่อนฤทธิ์ลงจนไม่สามารถก่อโรคได้ ส่วน MMR vaccine ผลิตโดยทำให้จุลินทรีย์หมดฤทธิ์ด้วยสารเคมีหรือ/และความร้อน): เป็น Live attenuated vaccine รวมหัด-คางทูม-หัดเยอรมัน ให้เข็มที่ 1 ที่อายุ 9-12 เดือน และเข็มที่ 2 ที่ 18 เดือน (contraindication ในหญิงตั้งครรภ์)
• ข้อ ค. (DTP vaccine เป็น inactivated vaccine ส่วน MMR เป็น live-attenuated vaccine): เป็น Live attenuated vaccine รวมหัด-คางทูม-หัดเยอรมัน ให้เข็มที่ 1 ที่อายุ 9-12 เดือน และเข็มที่ 2 ที่ 18 เดือน (contraindication ในหญิงตั้งครรภ์)
• ข้อ ง. (DTP vaccine เป็น toxoid ทั้งหมด ส่วน MMR vaccine เป็น subunit vaccine ทั้งหมด): เป็น Live attenuated vaccine รวมหัด-คางทูม-หัดเยอรมัน ให้เข็มที่ 1 ที่อายุ 9-12 เดือน และเข็มที่ 2 ที่ 18 เดือน (contraindication ในหญิงตั้งครรภ์)
• ข้อ จ. (DTP vaccine เป็น subunit vaccine ส่วน MMR vaccine เป็น toxoid): เป็น Live attenuated vaccine รวมหัด-คางทูม-หัดเยอรมัน ให้เข็มที่ 1 ที่อายุ 9-12 เดือน และเข็มที่ 2 ที่ 18 เดือน (contraindication ในหญิงตั้งครรภ์)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5" t="n"/>
      <c r="L27" s="34" t="inlineStr">
        <is>
          <t>EPI Vaccines</t>
        </is>
      </c>
      <c r="M27" s="35" t="inlineStr">
        <is>
          <t>Clinic</t>
        </is>
      </c>
      <c r="N27" s="34" t="inlineStr">
        <is>
          <t>ข้อ 25 Pharma Plus เล่มม่วง (เฉลยข้อ ก ข)</t>
        </is>
      </c>
      <c r="O27" s="35" t="inlineStr">
        <is>
          <t>Mock</t>
        </is>
      </c>
      <c r="P27" s="35" t="inlineStr">
        <is>
          <t>Pharma Plus เล่มม่วง</t>
        </is>
      </c>
    </row>
    <row r="28" ht="13.2" customHeight="1" s="49">
      <c r="A28" s="33" t="n">
        <v>26</v>
      </c>
      <c r="B28" s="34" t="inlineStr">
        <is>
          <t>ในโปรแกรมสร้างภูมิคุ้มกัน วัคซีนบางประเภทเป็น live-attenuated vaccine มีข้อดีกว่าวัคซีนประเภทอื่นอย่างไร</t>
        </is>
      </c>
      <c r="C28" s="35" t="n"/>
      <c r="D28" s="34" t="inlineStr">
        <is>
          <t>ปลอดภัยมากกว่า</t>
        </is>
      </c>
      <c r="E28" s="34" t="inlineStr">
        <is>
          <t>กระตุ้นภูมิคุ้มกันระยะยาว</t>
        </is>
      </c>
      <c r="F28" s="34" t="inlineStr">
        <is>
          <t>อาการข้างเคียงน้อยกว่า</t>
        </is>
      </c>
      <c r="G28" s="34" t="inlineStr">
        <is>
          <t>เป็นภูมิคุ้มกันสำเร็จรูป คือภูมิคุ้มกันทันที</t>
        </is>
      </c>
      <c r="H28" s="34" t="inlineStr">
        <is>
          <t>กระตุ้นภูมิคุ้มกันเร็วกว่า</t>
        </is>
      </c>
      <c r="I28" s="33" t="inlineStr">
        <is>
          <t>2</t>
        </is>
      </c>
      <c r="J28" s="34"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5" t="n"/>
      <c r="L28" s="34" t="inlineStr">
        <is>
          <t>Hypersensitivity</t>
        </is>
      </c>
      <c r="M28" s="35" t="inlineStr">
        <is>
          <t>Clinic</t>
        </is>
      </c>
      <c r="N28" s="34" t="inlineStr">
        <is>
          <t>ข้อ 26 Pharma Plus เล่มม่วง (เฉลยข้อ ข)</t>
        </is>
      </c>
      <c r="O28" s="35" t="inlineStr">
        <is>
          <t>Mock</t>
        </is>
      </c>
      <c r="P28" s="35" t="inlineStr">
        <is>
          <t>Pharma Plus เล่มม่วง</t>
        </is>
      </c>
    </row>
    <row r="29" ht="13.2" customHeight="1" s="49">
      <c r="A29" s="33" t="n">
        <v>27</v>
      </c>
      <c r="B29" s="34" t="inlineStr">
        <is>
          <t>ในโปรแกรมสร้างภูมิคุ้มกันไม่ครอบคลุมวัคซีนป้องกันโรคใด</t>
        </is>
      </c>
      <c r="C29" s="35" t="n"/>
      <c r="D29" s="34" t="inlineStr">
        <is>
          <t>หัด</t>
        </is>
      </c>
      <c r="E29" s="34" t="inlineStr">
        <is>
          <t>โปลิโอ</t>
        </is>
      </c>
      <c r="F29" s="34" t="inlineStr">
        <is>
          <t>อีสุกอีใส</t>
        </is>
      </c>
      <c r="G29" s="34" t="inlineStr">
        <is>
          <t>บาดทะยัก</t>
        </is>
      </c>
      <c r="H29" s="34" t="inlineStr">
        <is>
          <t>คางทูม</t>
        </is>
      </c>
      <c r="I29" s="33" t="inlineStr">
        <is>
          <t>3</t>
        </is>
      </c>
      <c r="J29" s="34"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5" t="n"/>
      <c r="L29" s="34" t="inlineStr">
        <is>
          <t>EPI Vaccines</t>
        </is>
      </c>
      <c r="M29" s="35" t="inlineStr">
        <is>
          <t>Clinic</t>
        </is>
      </c>
      <c r="N29" s="34" t="inlineStr">
        <is>
          <t>ข้อ 27 Pharma Plus เล่มม่วง (เฉลยข้อ ค)</t>
        </is>
      </c>
      <c r="O29" s="35" t="inlineStr">
        <is>
          <t>Mock</t>
        </is>
      </c>
      <c r="P29" s="35" t="inlineStr">
        <is>
          <t>Pharma Plus เล่มม่วง</t>
        </is>
      </c>
    </row>
    <row r="30" ht="13.2" customHeight="1" s="49">
      <c r="A30" s="33" t="n">
        <v>28</v>
      </c>
      <c r="B30" s="34"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35" t="n"/>
      <c r="D30" s="34" t="inlineStr">
        <is>
          <t>Chlorphenamine maleate tablet</t>
        </is>
      </c>
      <c r="E30" s="34" t="inlineStr">
        <is>
          <t>Hydroxyzine HCl tablet</t>
        </is>
      </c>
      <c r="F30" s="34" t="inlineStr">
        <is>
          <t>Neomycin/bacitracin ointment</t>
        </is>
      </c>
      <c r="G30" s="34" t="inlineStr">
        <is>
          <t>Calamine lotion</t>
        </is>
      </c>
      <c r="H30" s="34" t="inlineStr">
        <is>
          <t>Prednisolone cream</t>
        </is>
      </c>
      <c r="I30" s="33" t="inlineStr">
        <is>
          <t>5</t>
        </is>
      </c>
      <c r="J30" s="34"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35" t="n"/>
      <c r="L30" s="34" t="inlineStr">
        <is>
          <t>Allergic rhinitis</t>
        </is>
      </c>
      <c r="M30" s="35" t="inlineStr">
        <is>
          <t>Clinic</t>
        </is>
      </c>
      <c r="N30" s="34" t="inlineStr">
        <is>
          <t>ข้อ 28 Pharma Plus เล่มม่วง (เฉลยข้อ จ)</t>
        </is>
      </c>
      <c r="O30" s="35" t="inlineStr">
        <is>
          <t>Mock</t>
        </is>
      </c>
      <c r="P30" s="35" t="inlineStr">
        <is>
          <t>Pharma Plus เล่มม่วง</t>
        </is>
      </c>
    </row>
    <row r="31" ht="13.2" customHeight="1" s="49">
      <c r="A31" s="33" t="n">
        <v>29</v>
      </c>
      <c r="B31" s="34"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35" t="n"/>
      <c r="D31" s="34" t="inlineStr">
        <is>
          <t>ประวัติการสูบบุหรี่เพราะสาร hydrazine ในบุหรี่กระตุ้นอาการ Lupus ได้</t>
        </is>
      </c>
      <c r="E31" s="34" t="inlineStr">
        <is>
          <t>การใช้ sunscreen SPF 15 ขึ้นไปก่อนออกแดด</t>
        </is>
      </c>
      <c r="F31" s="34" t="inlineStr">
        <is>
          <t>ประวัติความเจ็บป่วยด้วยโรคติดเชื้อในอดีต</t>
        </is>
      </c>
      <c r="G31" s="34" t="inlineStr">
        <is>
          <t>ประวัติการใช้ยาเพราะยาบางตัว เช่น hydralazine chlorpropamide หรือยาในกลุ่ม anticonvulsant สามารถกระตุ้นการเกิด lupus ได้</t>
        </is>
      </c>
      <c r="H31" s="34" t="inlineStr">
        <is>
          <t>ประวัติการได้รับเลือดในอดีต</t>
        </is>
      </c>
      <c r="I31" s="33" t="inlineStr">
        <is>
          <t>5</t>
        </is>
      </c>
      <c r="J31" s="34" t="inlineStr">
        <is>
          <t>✅ คำตอบที่ถูกต้อง: ข้อ ง. ผื่นแดงรูปปีกผีเสื้อที่ใบหน้า (Malar rash / Butterfly rash)
💡 Background: โรคแพ้ภูมิตัวเอง Systemic Lupus Erythematosus (SLE) เป็นโรคภูมิต้านตนเองที่มีความผิดปกติหลายระบบ
🎯 ทำไมข้อนี้ถึงถูก: หญิงวัยเจริญพันธุ์ที่มาด้วยอาการผื่นแดงนูนบริเวณสันจมูกและแก้มทั้งสองข้างโดยเว้นร่องแก้ม (Nasolabial fold) เรียกว่า Malar rash หรือ Butterfly rash ซึ่งเป็นอาการแสดงจำเพาะตามเกณฑ์การวินิจฉัย SLE (ACR/EULAR criteria)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
📖 Guideline อ้างอิง: แนวทางเวชปฏิบัติการดูแลรักษาผู้ป่วยโรคลูปัส (Systemic Lupus Erythematosus) ในประเทศไทย พ.ศ. 2562 (สมาคมรูมาติสซั่มแห่งประเทศไทย)
📌 จุดจำก่อนสอบ: Malar rash (Butterfly rash) ใน SLE เป็นผื่นแดงข้ามสันจมูกและโหนกแก้ม แต่เว้น Nasolabial fold เสมอ</t>
        </is>
      </c>
      <c r="K31" s="35" t="n"/>
      <c r="L31" s="34" t="inlineStr">
        <is>
          <t>Systemic lupus</t>
        </is>
      </c>
      <c r="M31" s="35" t="inlineStr">
        <is>
          <t>Clinic</t>
        </is>
      </c>
      <c r="N31" s="34" t="inlineStr">
        <is>
          <t>ข้อ 29 Pharma Plus เล่มม่วง (เฉลยข้อ จ)</t>
        </is>
      </c>
      <c r="O31" s="35" t="inlineStr">
        <is>
          <t>Mock</t>
        </is>
      </c>
      <c r="P31" s="35" t="inlineStr">
        <is>
          <t>Pharma Plus เล่มม่วง</t>
        </is>
      </c>
    </row>
    <row r="32" ht="13.2" customHeight="1" s="49">
      <c r="A32" s="33" t="n">
        <v>30</v>
      </c>
      <c r="B32" s="34"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35" t="n"/>
      <c r="D32" s="34" t="inlineStr">
        <is>
          <t>Ocular examination</t>
        </is>
      </c>
      <c r="E32" s="34" t="inlineStr">
        <is>
          <t>Chest x-ray</t>
        </is>
      </c>
      <c r="F32" s="34" t="inlineStr">
        <is>
          <t>Liver function test</t>
        </is>
      </c>
      <c r="G32" s="34" t="inlineStr">
        <is>
          <t>Urinalysis</t>
        </is>
      </c>
      <c r="H32" s="34" t="inlineStr">
        <is>
          <t>EKG</t>
        </is>
      </c>
      <c r="I32" s="33" t="inlineStr">
        <is>
          <t>1</t>
        </is>
      </c>
      <c r="J32" s="34" t="inlineStr">
        <is>
          <t>✅ คำตอบที่ถูกต้อง: ข้อ ข. Hydroxychloroquine (HCQ)
💡 Background: การรักษาพื้นฐานในผู้ป่วยโรคลูปัส (SLE) ทุกรายที่ไม่มีข้อห้ามใช้
🎯 ทำไมข้อนี้ถึงถูก: Hydroxychloroquine เป็นยาหลัก (Core therapy / Anchor drug) ที่ผู้ป่วย SLE ทุกรายควรได้รับในระยะยาว ช่วยลดการกำเริบของโรค (Flares) ลดความเสี่ยงต่อการเกิดลิ่มเลือดอุดตัน และลดอัตราการเสียชีวิตอย่างมีนัยสำคัญ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
📖 Guideline อ้างอิง: EULAR recommendations for the management of systemic lupus erythematosus (2023 update)
📌 จุดจำก่อนสอบ: ผู้ป่วย SLE ทุกรายควรได้รับ Hydroxychloroquine (HCQ) เว้นแต่มีข้อห้ามใช้ เพื่อป้องกัน Flares และลดอัตราการเสียชีวิต</t>
        </is>
      </c>
      <c r="K32" s="35" t="n"/>
      <c r="L32" s="34" t="inlineStr">
        <is>
          <t>Systemic lupus</t>
        </is>
      </c>
      <c r="M32" s="35" t="inlineStr">
        <is>
          <t>Clinic</t>
        </is>
      </c>
      <c r="N32" s="34" t="inlineStr">
        <is>
          <t>ข้อ 30 Pharma Plus เล่มม่วง (เฉลยข้อ ก)</t>
        </is>
      </c>
      <c r="O32" s="35" t="inlineStr">
        <is>
          <t>Mock</t>
        </is>
      </c>
      <c r="P32" s="35" t="inlineStr">
        <is>
          <t>Pharma Plus เล่มม่วง</t>
        </is>
      </c>
    </row>
    <row r="33" ht="13.2" customHeight="1" s="49">
      <c r="A33" s="33" t="n">
        <v>31</v>
      </c>
      <c r="B33" s="34"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35" t="n"/>
      <c r="D33" s="34" t="inlineStr">
        <is>
          <t>Ioniazid</t>
        </is>
      </c>
      <c r="E33" s="34" t="inlineStr">
        <is>
          <t>Rifampicin</t>
        </is>
      </c>
      <c r="F33" s="34" t="inlineStr">
        <is>
          <t>Pyrazinamide</t>
        </is>
      </c>
      <c r="G33" s="34" t="inlineStr">
        <is>
          <t>Ethambutol</t>
        </is>
      </c>
      <c r="H33" s="34" t="inlineStr">
        <is>
          <t>Pyrazinamide ร่วมกับ ethambutol</t>
        </is>
      </c>
      <c r="I33" s="33" t="inlineStr">
        <is>
          <t>1</t>
        </is>
      </c>
      <c r="J33" s="34"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35" t="n"/>
      <c r="L33" s="34" t="inlineStr">
        <is>
          <t>Systemic lupus</t>
        </is>
      </c>
      <c r="M33" s="35" t="inlineStr">
        <is>
          <t>Clinic</t>
        </is>
      </c>
      <c r="N33" s="34" t="inlineStr">
        <is>
          <t>ข้อ 31 Pharma Plus เล่มม่วง (เฉลยข้อ ก)</t>
        </is>
      </c>
      <c r="O33" s="35" t="inlineStr">
        <is>
          <t>Mock</t>
        </is>
      </c>
      <c r="P33" s="35" t="inlineStr">
        <is>
          <t>Pharma Plus เล่มม่วง</t>
        </is>
      </c>
    </row>
    <row r="34" ht="13.2" customHeight="1" s="49">
      <c r="A34" s="33" t="n">
        <v>32</v>
      </c>
      <c r="B34" s="34" t="inlineStr">
        <is>
          <t>แพทย์สั่งจ่าย prednisolone แต่โรงพยาบาลมียา dexamethasone เท่านั้นในฐานะเภสัชกรทำอย่างไร</t>
        </is>
      </c>
      <c r="C34" s="35" t="n"/>
      <c r="D34" s="34" t="inlineStr">
        <is>
          <t>ให้ยา dexamethasone แทนได้เพราะยาทั้งสองตัวเป็น steroid ประเภท short acting steroid เหมือนกัน</t>
        </is>
      </c>
      <c r="E34" s="34" t="inlineStr">
        <is>
          <t>ให้ยา dexamethasone แทนได้เพราะยาทั้งสองตัวเป็น steroid ประเภท long acting steroid เหมือนกัน</t>
        </is>
      </c>
      <c r="F34" s="34" t="inlineStr">
        <is>
          <t>ต้องคำนวณ equivalent dose ของยาทั้งสองตัวก่อนทำการเปลี่ยนยาเนื่องจากยาทั้งสองตัวมี potency ต่างกัน</t>
        </is>
      </c>
      <c r="G34" s="34" t="inlineStr">
        <is>
          <t>ไม่สามารถให้ยาแทนกันได้เพราะ prednisolone เป็น glucocorticoid แต่ dexamethasone เป็น mineralocorticoid</t>
        </is>
      </c>
      <c r="H34" s="34" t="inlineStr">
        <is>
          <t>ไม่สามารถให้ยาแทนกันได้และควรแจ้งให้แพทย์ทราบ</t>
        </is>
      </c>
      <c r="I34" s="33" t="inlineStr">
        <is>
          <t>3</t>
        </is>
      </c>
      <c r="J34" s="34" t="inlineStr">
        <is>
          <t>✅ คำตอบที่ถูกต้อง: ข้อ ค. ยาเม็ด Dexamethasone 0.5 mg จำนวน 3 เม็ด วันละ 1 ครั้ง
💡 Background: การเทียบเคียงขนาดยาคอร์ติโคสเตียรอยด์ (Glucocorticoid equivalent dose) เมื่อเกิดปัญหายาขาดคราว
🎯 ทำไมข้อนี้ถึงถูก: เทียบความแรงของสเตียรอยด์: Prednisolone 5 mg มีความแรงต้านการอักเสบเทียบเท่ากับ Dexamethasone 0.75 mg ดังนั้นหากต้องการขนาดยาเทียบเท่า Prednisolone 10 mg จะต้องใช้ Dexamethasone = 1.5 mg ซึ่งเท่ากับยาเม็ด Dexamethasone 0.5 mg จำนวน 3 เม็ด
🔍 ข้ออื่นผิดเพราะอะไร:
- ข้อ ก. Dexamethasone 0.5 mg 1 เม็ด: ได้ขนาดเพียง 0.5 mg (เทียบเท่า Prednisolone เพียง 3.3 mg) ซึ่งขนาดยาต่ำเกินไป
- ข้อ ข. Hydrocortisone 10 mg: Hydrocortisone 20 mg เทียบเท่า Prednisolone 5 mg ดังนั้น 10 mg จะเทียบเท่าเพียง 2.5 mg ขนาดยาต่ำไปมาก
- ข้อ ง. Dexamethasone 4 mg 1 เม็ด: ขนาดยาสูงเกินไปมาก (เทียบเท่า Prednisolone ถึงเกือบ 27 mg)
- ข้อ จ. Methylprednisolone 16 mg: Methylprednisolone 4 mg เทียบเท่า Prednisolone 5 mg ดังนั้น 16 mg จะเทียบเท่ากับ 20 mg ซึ่งสูงเกินไปเท่าตัว
📖 Guideline อ้างอิง: Goodman &amp; Gilman's: The Pharmacological Basis of Therapeutics (14th Edition)
📌 จุดจำก่อนสอบ: อัตราส่วนความแรงสเตียรอยด์: Hydrocortisone 20 mg = Prednisolone 5 mg = Methylprednisolone 4 mg = Triamcinolone 4 mg = Dexamethasone 0.75 mg</t>
        </is>
      </c>
      <c r="K34" s="35" t="n"/>
      <c r="L34" s="34" t="inlineStr">
        <is>
          <t>Systemic lupus</t>
        </is>
      </c>
      <c r="M34" s="35" t="inlineStr">
        <is>
          <t>Clinic</t>
        </is>
      </c>
      <c r="N34" s="34" t="inlineStr">
        <is>
          <t>ข้อ 32 Pharma Plus เล่มม่วง (เฉลยข้อ ค)</t>
        </is>
      </c>
      <c r="O34" s="35" t="inlineStr">
        <is>
          <t>Mock</t>
        </is>
      </c>
      <c r="P34" s="35" t="inlineStr">
        <is>
          <t>Pharma Plus เล่มม่วง</t>
        </is>
      </c>
    </row>
    <row r="35" ht="13.2" customHeight="1" s="49">
      <c r="A35" s="33" t="n">
        <v>33</v>
      </c>
      <c r="B35" s="34" t="inlineStr">
        <is>
          <t>ยากดภูมิคุ้มกัน (immunosuppression) มีประโยชน์กับภาวะยกเว้น</t>
        </is>
      </c>
      <c r="C35" s="35" t="n"/>
      <c r="D35" s="34" t="inlineStr">
        <is>
          <t>การเปลี่ยนถ่ายอวัยวะ</t>
        </is>
      </c>
      <c r="E35" s="34" t="inlineStr">
        <is>
          <t>Rh hemolytic disease ในเด็กแรกเกิด</t>
        </is>
      </c>
      <c r="F35" s="34" t="inlineStr">
        <is>
          <t>Rheumatoid arthritis</t>
        </is>
      </c>
      <c r="G35" s="34" t="inlineStr">
        <is>
          <t>มะเร็ง</t>
        </is>
      </c>
      <c r="H35" s="34" t="inlineStr">
        <is>
          <t>SLE</t>
        </is>
      </c>
      <c r="I35" s="33" t="inlineStr">
        <is>
          <t>2</t>
        </is>
      </c>
      <c r="J35" s="34"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35" t="n"/>
      <c r="L35" s="34" t="inlineStr">
        <is>
          <t>Allergic rhinitis</t>
        </is>
      </c>
      <c r="M35" s="35" t="inlineStr">
        <is>
          <t>Clinic</t>
        </is>
      </c>
      <c r="N35" s="34" t="inlineStr">
        <is>
          <t>ข้อ 33 Pharma Plus เล่มม่วง (เฉลยข้อ ข)</t>
        </is>
      </c>
      <c r="O35" s="35" t="inlineStr">
        <is>
          <t>Mock</t>
        </is>
      </c>
      <c r="P35" s="35" t="inlineStr">
        <is>
          <t>Pharma Plus เล่มม่วง</t>
        </is>
      </c>
    </row>
    <row r="36" ht="13.2" customHeight="1" s="49">
      <c r="A36" s="33" t="n">
        <v>34</v>
      </c>
      <c r="B36" s="34"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35" t="n"/>
      <c r="D36" s="34" t="inlineStr">
        <is>
          <t>ให้ยาขนาด 24 ชม. ทุกวัน วันละครั้ง</t>
        </is>
      </c>
      <c r="E36" s="34" t="inlineStr">
        <is>
          <t>ให้ยาขนาด 24 ชม. แบ่งให้ 2 ครั้ง ทุกวัน</t>
        </is>
      </c>
      <c r="F36" s="34" t="inlineStr">
        <is>
          <t>ให้ยาขนาด 24 ชม. วันเว้นวัน วันละครั้ง</t>
        </is>
      </c>
      <c r="G36" s="34" t="inlineStr">
        <is>
          <t>ให้ยาขนาด 48 ชม. วันเว้นวัน วันละครั้ง</t>
        </is>
      </c>
      <c r="H36" s="34" t="inlineStr">
        <is>
          <t>ให้ยาขนาด 48 ชม. วันเว้นวัน แบ่งให้ 2 ครั้ง</t>
        </is>
      </c>
      <c r="I36" s="33" t="inlineStr">
        <is>
          <t>1</t>
        </is>
      </c>
      <c r="J36" s="34" t="inlineStr">
        <is>
          <t>✅ คำตอบที่ถูกต้อง: ข้อ ง. ตรวจจอประสาทตา (Ophthalmologic examination / Fundoscopy)
💡 Background: ความปลอดภัยและการติดตามอาการไม่พึงประสงค์ระยะยาวจากการใช้ยา Hydroxychloroquine (HCQ)
🎯 ทำไมข้อนี้ถึงถูก: Hydroxychloroquine มีความเสี่ยงสำคัญต่อการเกิดภาวะเป็นพิษต่อจอประสาทตา (Retinopathy / Bull's eye maculopathy) ซึ่งอาจทำให้สูญเสียการมองเห็นอย่างถาวรหากตรวจพบช้า จึงต้องตรวจจอประสาทตาก่อนเริ่มยาและติดตามอย่างน้อยปีละครั้งหลังจากใช้ยาครบ 5 ปี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
📖 Guideline อ้างอิง: Recommendations on Screening for Chloroquine and Hydroxychloroquine Retinopathy (American Academy of Ophthalmology, AAO 2016 Revision)
📌 จุดจำก่อนสอบ: Hydroxychloroquine (HCQ) ต้องตรวจคัดกรอง Retinopathy (จอประสาทตา) เพื่อป้องกัน Bull's eye maculopathy</t>
        </is>
      </c>
      <c r="K36" s="35" t="n"/>
      <c r="L36" s="34" t="inlineStr">
        <is>
          <t>Systemic lupus</t>
        </is>
      </c>
      <c r="M36" s="35" t="inlineStr">
        <is>
          <t>Clinic</t>
        </is>
      </c>
      <c r="N36" s="34" t="inlineStr">
        <is>
          <t>ข้อ 34 Pharma Plus เล่มม่วง (เฉลยข้อ )</t>
        </is>
      </c>
      <c r="O36" s="35" t="inlineStr">
        <is>
          <t>Mock</t>
        </is>
      </c>
      <c r="P36" s="35" t="inlineStr">
        <is>
          <t>Pharma Plus เล่มม่วง</t>
        </is>
      </c>
    </row>
    <row r="37" ht="13.2" customHeight="1" s="49">
      <c r="A37" s="33" t="n">
        <v>35</v>
      </c>
      <c r="B37" s="34" t="inlineStr">
        <is>
          <t>การให้ prednisolone ให้ผู้ป่วย SLE เพื่ออะไร</t>
        </is>
      </c>
      <c r="C37" s="35" t="n"/>
      <c r="D37" s="34" t="inlineStr">
        <is>
          <t>ลดปฏิกิริยา antibody immune complex</t>
        </is>
      </c>
      <c r="E37" s="34" t="inlineStr">
        <is>
          <t>ลดการทำลายของ LE cell</t>
        </is>
      </c>
      <c r="F37" s="34" t="inlineStr">
        <is>
          <t>ยับยั้งการจับ antigen กับ antibody</t>
        </is>
      </c>
      <c r="G37" s="34" t="inlineStr">
        <is>
          <t>ลดการสร้าง antibody</t>
        </is>
      </c>
      <c r="H37" s="34" t="inlineStr">
        <is>
          <t>ยับยั้ง histamine กับ bradykinin</t>
        </is>
      </c>
      <c r="I37" s="33" t="inlineStr">
        <is>
          <t>4</t>
        </is>
      </c>
      <c r="J37" s="34" t="inlineStr">
        <is>
          <t>✅ คำตอบที่ถูกต้อง: ข้อ ข. ลดการอักเสบและควบคุมภาวะภูมิคุ้มกันกำเริบเฉียบพลัน (Induction of remission)
💡 Background: บทบาทของยาสเตียรอยด์ชนิดรับประทานในการรักษาโรคลูปัส (SLE)
🎯 ทำไมข้อนี้ถึงถูก: Prednisolone เป็นยากดภูมิคุ้มกันและต้านการอักเสบที่ออกฤทธิ์เร็ว เหมาะสำหรับใช้ควบคุมอาการกำเริบเฉียบพลันของ SLE (Induction therapy) จากนั้นเมื่ออาการสงบจะค่อยๆ ปรับลดขนาดยาลง (Tapering) เพื่อลดผลข้างเคียงระยะยาว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
📖 Guideline อ้างอิง: แนวทางเวชปฏิบัติการดูแลรักษาผู้ป่วยโรคลูปัสในประเทศไทย พ.ศ. 2562
📌 จุดจำก่อนสอบ: สเตียรอยด์ใน SLE ใช้ควบคุมการอักเสบเฉียบพลัน (Induction) จากนั้นต้อง Tapering ลงเสมอเพื่อหลีกเลี่ยง ADRs ระยะยาว</t>
        </is>
      </c>
      <c r="K37" s="35" t="n"/>
      <c r="L37" s="34" t="inlineStr">
        <is>
          <t>Systemic lupus</t>
        </is>
      </c>
      <c r="M37" s="35" t="inlineStr">
        <is>
          <t>Clinic</t>
        </is>
      </c>
      <c r="N37" s="34" t="inlineStr">
        <is>
          <t>ข้อ 35 Pharma Plus เล่มม่วง (เฉลยข้อ ง)</t>
        </is>
      </c>
      <c r="O37" s="35" t="inlineStr">
        <is>
          <t>Mock</t>
        </is>
      </c>
      <c r="P37" s="35" t="inlineStr">
        <is>
          <t>Pharma Plus เล่มม่วง</t>
        </is>
      </c>
    </row>
    <row r="38" ht="13.2" customHeight="1" s="49">
      <c r="A38" s="33" t="n">
        <v>36</v>
      </c>
      <c r="B38" s="34" t="inlineStr">
        <is>
          <t>ยากดภูมิคุ้มกัน (immunosuppressive) สามารถนำมาใช้ประโยชน์ในด้านใด</t>
        </is>
      </c>
      <c r="C38" s="35" t="n"/>
      <c r="D38" s="34" t="inlineStr">
        <is>
          <t>AIDs</t>
        </is>
      </c>
      <c r="E38" s="34" t="inlineStr">
        <is>
          <t>COPD</t>
        </is>
      </c>
      <c r="F38" s="34" t="inlineStr">
        <is>
          <t>TB</t>
        </is>
      </c>
      <c r="G38" s="34" t="inlineStr">
        <is>
          <t>Leprosy</t>
        </is>
      </c>
      <c r="H38" s="34" t="inlineStr">
        <is>
          <t>Organ tissue transplantation</t>
        </is>
      </c>
      <c r="I38" s="33" t="inlineStr">
        <is>
          <t>5</t>
        </is>
      </c>
      <c r="J38" s="34"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35" t="n"/>
      <c r="L38" s="34" t="inlineStr">
        <is>
          <t>Allergic rhinitis</t>
        </is>
      </c>
      <c r="M38" s="35" t="inlineStr">
        <is>
          <t>Clinic</t>
        </is>
      </c>
      <c r="N38" s="34" t="inlineStr">
        <is>
          <t>ข้อ 36 Pharma Plus เล่มม่วง (เฉลยข้อ จ)</t>
        </is>
      </c>
      <c r="O38" s="35" t="inlineStr">
        <is>
          <t>Mock</t>
        </is>
      </c>
      <c r="P38" s="35" t="inlineStr">
        <is>
          <t>Pharma Plus เล่มม่วง</t>
        </is>
      </c>
    </row>
    <row r="39" ht="13.2" customHeight="1" s="49">
      <c r="A39" s="33" t="n">
        <v>37</v>
      </c>
      <c r="B39" s="34" t="inlineStr">
        <is>
          <t>Cyclosporine ยากดภูมิคุ้มกันข้อใดถูกต้อง</t>
        </is>
      </c>
      <c r="C39" s="35" t="n"/>
      <c r="D39" s="34" t="inlineStr">
        <is>
          <t>ออกฤทธิ์กดการทำงานของ B-cell อย่างเฉพาะเจาะจง</t>
        </is>
      </c>
      <c r="E39" s="34" t="inlineStr">
        <is>
          <t>ค่าของ pharmacokinetic profile สม่ำเสมอในผู้ป่วยทุกราย</t>
        </is>
      </c>
      <c r="F39" s="34" t="inlineStr">
        <is>
          <t>มีฤทธิ์ต่อตับและไตน้อย</t>
        </is>
      </c>
      <c r="G39" s="34" t="inlineStr">
        <is>
          <t>ประสิทธิภาพในการปลูกถ่ายอวัยวะ</t>
        </is>
      </c>
      <c r="H39" s="34" t="inlineStr">
        <is>
          <t>ถูกทุกข้อ</t>
        </is>
      </c>
      <c r="I39" s="33" t="inlineStr">
        <is>
          <t>4</t>
        </is>
      </c>
      <c r="J39" s="34"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35" t="n"/>
      <c r="L39" s="34" t="inlineStr">
        <is>
          <t>Allergic rhinitis</t>
        </is>
      </c>
      <c r="M39" s="35" t="inlineStr">
        <is>
          <t>Clinic</t>
        </is>
      </c>
      <c r="N39" s="34" t="inlineStr">
        <is>
          <t>ข้อ 37 Pharma Plus เล่มม่วง (เฉลยข้อ ง)</t>
        </is>
      </c>
      <c r="O39" s="35" t="inlineStr">
        <is>
          <t>Mock</t>
        </is>
      </c>
      <c r="P39" s="35" t="inlineStr">
        <is>
          <t>Pharma Plus เล่มม่วง</t>
        </is>
      </c>
    </row>
    <row r="40" ht="13.2" customHeight="1" s="49">
      <c r="A40" s="33" t="n">
        <v>38</v>
      </c>
      <c r="B40" s="34" t="inlineStr">
        <is>
          <t>ข้อใดเป็นผลข้างเคียงของ corticosteroid ยกเว้น</t>
        </is>
      </c>
      <c r="C40" s="35" t="n"/>
      <c r="D40" s="34" t="inlineStr">
        <is>
          <t>Suppression of pituitary-adrenaline</t>
        </is>
      </c>
      <c r="E40" s="34" t="inlineStr">
        <is>
          <t>Increase susceptibility to infection</t>
        </is>
      </c>
      <c r="F40" s="34" t="inlineStr">
        <is>
          <t>Peptic ulceration</t>
        </is>
      </c>
      <c r="G40" s="34" t="inlineStr">
        <is>
          <t>Muscle hypertrophy</t>
        </is>
      </c>
      <c r="H40" s="34" t="inlineStr">
        <is>
          <t>Physiological disturbances</t>
        </is>
      </c>
      <c r="I40" s="33" t="inlineStr">
        <is>
          <t>4</t>
        </is>
      </c>
      <c r="J40" s="34"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35" t="n"/>
      <c r="L40" s="34" t="inlineStr">
        <is>
          <t>Allergic rhinitis</t>
        </is>
      </c>
      <c r="M40" s="35" t="inlineStr">
        <is>
          <t>Clinic</t>
        </is>
      </c>
      <c r="N40" s="34" t="inlineStr">
        <is>
          <t>ข้อ 38 Pharma Plus เล่มม่วง (เฉลยข้อ ง)</t>
        </is>
      </c>
      <c r="O40" s="35" t="inlineStr">
        <is>
          <t>Mock</t>
        </is>
      </c>
      <c r="P40" s="35" t="inlineStr">
        <is>
          <t>Pharma Plus เล่มม่วง</t>
        </is>
      </c>
    </row>
    <row r="41" ht="13.2" customHeight="1" s="49">
      <c r="A41" s="33" t="n">
        <v>39</v>
      </c>
      <c r="B41" s="34"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35" t="n"/>
      <c r="D41" s="34" t="inlineStr">
        <is>
          <t>มีน้ำมูก</t>
        </is>
      </c>
      <c r="E41" s="34" t="inlineStr">
        <is>
          <t>ปวดข้อ</t>
        </is>
      </c>
      <c r="F41" s="34" t="inlineStr">
        <is>
          <t>มีไข้</t>
        </is>
      </c>
      <c r="G41" s="34" t="inlineStr">
        <is>
          <t>น้ำหนักลด</t>
        </is>
      </c>
      <c r="H41" s="34" t="inlineStr">
        <is>
          <t>ผีเสื้อที่หน้า</t>
        </is>
      </c>
      <c r="I41" s="33" t="inlineStr">
        <is>
          <t>1</t>
        </is>
      </c>
      <c r="J41" s="34"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35" t="n"/>
      <c r="L41" s="34" t="inlineStr">
        <is>
          <t>Allergic rhinitis</t>
        </is>
      </c>
      <c r="M41" s="35" t="inlineStr">
        <is>
          <t>Clinic</t>
        </is>
      </c>
      <c r="N41" s="34" t="inlineStr">
        <is>
          <t>ข้อ 39 Pharma Plus เล่มม่วง (เฉลยข้อ ก)</t>
        </is>
      </c>
      <c r="O41" s="35" t="inlineStr">
        <is>
          <t>Mock</t>
        </is>
      </c>
      <c r="P41" s="35" t="inlineStr">
        <is>
          <t>Pharma Plus เล่มม่วง</t>
        </is>
      </c>
    </row>
    <row r="42" ht="13.2" customHeight="1" s="49">
      <c r="A42" s="33" t="n">
        <v>40</v>
      </c>
      <c r="B42" s="34" t="inlineStr">
        <is>
          <t>ถ้าต้องการใช้ยารักษาโรคในกรณีเฉียบพลันใช้ยา</t>
        </is>
      </c>
      <c r="C42" s="35" t="n"/>
      <c r="D42" s="34" t="inlineStr">
        <is>
          <t>Indomethacin</t>
        </is>
      </c>
      <c r="E42" s="34" t="inlineStr">
        <is>
          <t>Ibuprofen</t>
        </is>
      </c>
      <c r="F42" s="34" t="inlineStr">
        <is>
          <t>Diclofenac or Piroxicam</t>
        </is>
      </c>
      <c r="G42" s="34" t="inlineStr">
        <is>
          <t>Aspirin</t>
        </is>
      </c>
      <c r="H42" s="34" t="inlineStr">
        <is>
          <t>Methylprednisolone</t>
        </is>
      </c>
      <c r="I42" s="33" t="inlineStr">
        <is>
          <t>5</t>
        </is>
      </c>
      <c r="J42" s="34" t="inlineStr">
        <is>
          <t>✅ คำตอบที่ถูกต้อง: ข้อ ก. Adrenaline (Epinephrine) 1:1,000 ขนาด 0.3-0.5 mg ฉีดเข้ากล้ามเนื้อ (Intramuscular: IM) ทันที
💡 Background: ภาวะแพ้รุนแรงเฉียบพลัน Anaphylaxis เป็นภาวะฉุกเฉินทางการแพทย์ที่คุกคามต่อชีวิต
🎯 ทำไมข้อนี้ถึงถูก: Adrenaline (Epinephrine) IM บริเวณต้นขาด้านข้าง (Anterolateral thigh) เป็นยาทางเลือกแรก (First-line drug) ที่ต้องให้ทันทีโดยไม่ต้องรอช้า ช่วยกระตุ้น alpha-1 (เพิ่มความดันโลหิต ลดบวมในทางเดินหายใจ) และ beta-2 (ขยายหลอดลม ลดการหลั่งสารก่อภูมิแพ้จาก mast cells)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
📖 Guideline อ้างอิง: แนวทางเวชปฏิบัติการดูแลรักษาภาวะแพ้รุนแรง (Anaphylaxis) ในประเทศไทย พ.ศ. 2564 (สมาคมโรคภูมิแพ้ โรคหืด และวิทยาภูมิคุ้มกันแห่งประเทศไทย)
📌 จุดจำก่อนสอบ: First-line ใน Anaphylaxis คือ Adrenaline 1:1,000 (1 mg/mL) ขนาด 0.01 mg/kg (ผู้ใหญ่ 0.3-0.5 mg) ฉีด IM ที่ต้นขาด้านข้างทันที</t>
        </is>
      </c>
      <c r="K42" s="35" t="n"/>
      <c r="L42" s="34" t="inlineStr">
        <is>
          <t>Systemic lupus</t>
        </is>
      </c>
      <c r="M42" s="35" t="inlineStr">
        <is>
          <t>Clinic</t>
        </is>
      </c>
      <c r="N42" s="34" t="inlineStr">
        <is>
          <t>ข้อ 40 Pharma Plus เล่มม่วง (เฉลยข้อ จ)</t>
        </is>
      </c>
      <c r="O42" s="35" t="inlineStr">
        <is>
          <t>Mock</t>
        </is>
      </c>
      <c r="P42" s="35" t="inlineStr">
        <is>
          <t>Pharma Plus เล่มม่วง</t>
        </is>
      </c>
    </row>
    <row r="43" ht="13.2" customHeight="1" s="49">
      <c r="A43" s="33" t="n">
        <v>41</v>
      </c>
      <c r="B43" s="34"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35" t="n"/>
      <c r="D43" s="34" t="inlineStr">
        <is>
          <t>Allergic rhinitis-mild intermittent</t>
        </is>
      </c>
      <c r="E43" s="34" t="inlineStr">
        <is>
          <t>Allergic rhinitis-mod-severe intermittent</t>
        </is>
      </c>
      <c r="F43" s="34" t="inlineStr">
        <is>
          <t>Allergic rhinitis-mod-severe persistent</t>
        </is>
      </c>
      <c r="G43" s="34" t="inlineStr">
        <is>
          <t>Allergic Asthma-mild persistent</t>
        </is>
      </c>
      <c r="H43" s="34" t="inlineStr">
        <is>
          <t>Allergic asthma-mod-severe intermittent</t>
        </is>
      </c>
      <c r="I43" s="33" t="inlineStr">
        <is>
          <t>1</t>
        </is>
      </c>
      <c r="J43" s="34"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สากล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35" t="n"/>
      <c r="L43" s="34" t="inlineStr">
        <is>
          <t>Allergic rhinitis</t>
        </is>
      </c>
      <c r="M43" s="35" t="inlineStr">
        <is>
          <t>Clinic</t>
        </is>
      </c>
      <c r="N43" s="34" t="inlineStr">
        <is>
          <t>Mock PLE-CC 1 ข้อ 41</t>
        </is>
      </c>
      <c r="O43" s="35" t="inlineStr">
        <is>
          <t>Mock</t>
        </is>
      </c>
      <c r="P43" s="35" t="inlineStr">
        <is>
          <t>Mock RxCU83</t>
        </is>
      </c>
      <c r="Q43" s="2" t="n"/>
    </row>
    <row r="44" ht="13.2" customHeight="1" s="49">
      <c r="A44" s="33" t="n">
        <v>42</v>
      </c>
      <c r="B44" s="34" t="inlineStr">
        <is>
          <t>ควรให้ยาอะไรตามการรักษาอาการภูมิแพ้กำเริบในประเทศไทย พ.ศ.2565</t>
        </is>
      </c>
      <c r="C44" s="35" t="n"/>
      <c r="D44" s="34" t="inlineStr">
        <is>
          <t>CPM 4 mg ตามเดิม</t>
        </is>
      </c>
      <c r="E44" s="34" t="inlineStr">
        <is>
          <t>หยุด CPM และใช้ Fexofenadine 180 mg 1 เม็ดก่อน เมื่อมีอาการ</t>
        </is>
      </c>
      <c r="F44" s="34" t="inlineStr">
        <is>
          <t>Fexo 180 mg 1 เม็ดก่อนนอน ต่อเนื่อง 2 สัปดาห์</t>
        </is>
      </c>
      <c r="G44" s="34" t="inlineStr">
        <is>
          <t>Montelukast 10 mg วันละ 1 เม็ด ประเมินอีกครั้ง 2 สัปดาห์</t>
        </is>
      </c>
      <c r="H44" s="34" t="inlineStr">
        <is>
          <t>Mometasone พ่นจมูกเช้า-เย็น ประเมินอีกครั้ง 2 สัปดาห๋"</t>
        </is>
      </c>
      <c r="I44" s="33" t="inlineStr">
        <is>
          <t>3</t>
        </is>
      </c>
      <c r="J44" s="34"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35" t="n"/>
      <c r="L44" s="34" t="inlineStr">
        <is>
          <t>Allergic rhinitis</t>
        </is>
      </c>
      <c r="M44" s="35" t="inlineStr">
        <is>
          <t>Clinic</t>
        </is>
      </c>
      <c r="N44" s="34" t="inlineStr">
        <is>
          <t>Mock PLE-CC 1 ข้อ 42</t>
        </is>
      </c>
      <c r="O44" s="35" t="inlineStr">
        <is>
          <t>Mock</t>
        </is>
      </c>
      <c r="P44" s="35" t="inlineStr">
        <is>
          <t>Mock RxCU83</t>
        </is>
      </c>
      <c r="Q44" s="2" t="n"/>
    </row>
    <row r="45" ht="13.2" customHeight="1" s="49">
      <c r="A45" s="33" t="n">
        <v>43</v>
      </c>
      <c r="B45" s="34" t="inlineStr">
        <is>
          <t>ผลข้างเคียงของการใช้ยา oxymetazoline ติดต่อกันหลายวัน</t>
        </is>
      </c>
      <c r="C45" s="35" t="n"/>
      <c r="D45" s="34" t="inlineStr">
        <is>
          <t>Glaucoma</t>
        </is>
      </c>
      <c r="E45" s="34" t="inlineStr">
        <is>
          <t>Epistaxis</t>
        </is>
      </c>
      <c r="F45" s="34" t="inlineStr">
        <is>
          <t>Rebound congestion</t>
        </is>
      </c>
      <c r="G45" s="34" t="inlineStr">
        <is>
          <t>HPA axis suppression</t>
        </is>
      </c>
      <c r="H45" s="34" t="inlineStr">
        <is>
          <t>nasal septal perforation</t>
        </is>
      </c>
      <c r="I45" s="33" t="inlineStr">
        <is>
          <t>1</t>
        </is>
      </c>
      <c r="J45" s="34"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35" t="n"/>
      <c r="L45" s="34" t="inlineStr">
        <is>
          <t>Allergic rhinitis</t>
        </is>
      </c>
      <c r="M45" s="35" t="inlineStr">
        <is>
          <t>Clinic</t>
        </is>
      </c>
      <c r="N45" s="34" t="inlineStr">
        <is>
          <t>Mock PLE-CC 1 ข้อ 43</t>
        </is>
      </c>
      <c r="O45" s="35" t="inlineStr">
        <is>
          <t>Mock</t>
        </is>
      </c>
      <c r="P45" s="35" t="inlineStr">
        <is>
          <t>Mock RxCU83</t>
        </is>
      </c>
      <c r="Q45" s="2" t="n"/>
    </row>
    <row r="46" ht="13.2" customHeight="1" s="49">
      <c r="A46" s="33" t="n">
        <v>44</v>
      </c>
      <c r="B46" s="34" t="inlineStr">
        <is>
          <t>กลไกการออกฤทธิ์ของยาแก้คัดจมูก oxymetazoline</t>
        </is>
      </c>
      <c r="C46" s="35" t="n"/>
      <c r="D46" s="34" t="inlineStr">
        <is>
          <t>Alpha1,Alpha2 agonist</t>
        </is>
      </c>
      <c r="E46" s="34" t="inlineStr">
        <is>
          <t>Beta1 agonist</t>
        </is>
      </c>
      <c r="F46" s="34" t="inlineStr">
        <is>
          <t>Muscarinic agonist</t>
        </is>
      </c>
      <c r="G46" s="34" t="inlineStr">
        <is>
          <t>Acetylcholinesterase inhibitor</t>
        </is>
      </c>
      <c r="H46" s="34" t="inlineStr">
        <is>
          <t>Neuromuscular blocker</t>
        </is>
      </c>
      <c r="I46" s="33" t="inlineStr">
        <is>
          <t>1</t>
        </is>
      </c>
      <c r="J46" s="34"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35" t="n"/>
      <c r="L46" s="34" t="inlineStr">
        <is>
          <t>Allergic rhinitis</t>
        </is>
      </c>
      <c r="M46" s="35" t="inlineStr">
        <is>
          <t>Clinic</t>
        </is>
      </c>
      <c r="N46" s="34" t="inlineStr">
        <is>
          <t>Mock PLE-CC 1 ข้อ 44</t>
        </is>
      </c>
      <c r="O46" s="35" t="inlineStr">
        <is>
          <t>Mock</t>
        </is>
      </c>
      <c r="P46" s="35" t="inlineStr">
        <is>
          <t>Mock RxCU83</t>
        </is>
      </c>
      <c r="Q46" s="2" t="n"/>
    </row>
    <row r="47" ht="13.2" customHeight="1" s="49">
      <c r="A47" s="33" t="n">
        <v>45</v>
      </c>
      <c r="B47" s="34" t="inlineStr">
        <is>
          <t>CPM เป็น first gen antihistamine ห้ามใช้ในผู้ป่วยโรคใด</t>
        </is>
      </c>
      <c r="C47" s="35" t="n"/>
      <c r="D47" s="34" t="inlineStr">
        <is>
          <t>กลั้นปัสสาวะไม่อยู่</t>
        </is>
      </c>
      <c r="E47" s="34" t="inlineStr">
        <is>
          <t>หอบหืด</t>
        </is>
      </c>
      <c r="F47" s="34" t="inlineStr">
        <is>
          <t>ต่อมลูกหมากโต</t>
        </is>
      </c>
      <c r="G47" s="34" t="inlineStr">
        <is>
          <t>หัวใจเต้นผิดจังหวะ</t>
        </is>
      </c>
      <c r="H47" s="34" t="inlineStr">
        <is>
          <t>ใช้ยาปฏิชีวนะ (erythromycin,fluconazole)</t>
        </is>
      </c>
      <c r="I47" s="33" t="inlineStr">
        <is>
          <t>1</t>
        </is>
      </c>
      <c r="J47" s="34"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35" t="n"/>
      <c r="L47" s="34" t="inlineStr">
        <is>
          <t>Allergic rhinitis</t>
        </is>
      </c>
      <c r="M47" s="35" t="inlineStr">
        <is>
          <t>Clinic</t>
        </is>
      </c>
      <c r="N47" s="34" t="inlineStr">
        <is>
          <t>Mock PLE-CC 1 ข้อ 45</t>
        </is>
      </c>
      <c r="O47" s="35" t="inlineStr">
        <is>
          <t>Mock</t>
        </is>
      </c>
      <c r="P47" s="35" t="inlineStr">
        <is>
          <t>Mock RxCU83</t>
        </is>
      </c>
      <c r="Q47" s="2" t="n"/>
    </row>
    <row r="48" ht="13.2" customHeight="1" s="49">
      <c r="A48" s="33" t="n">
        <v>46</v>
      </c>
      <c r="B48" s="34" t="inlineStr">
        <is>
          <t>อาหารหรือปัจจัยใดกระตุ้นให้เกิด allergic rhinitis ได้</t>
        </is>
      </c>
      <c r="C48" s="35" t="n"/>
      <c r="D48" s="34" t="inlineStr">
        <is>
          <t>เครื่องดื่มแอลกอฮอล์</t>
        </is>
      </c>
      <c r="E48" s="34" t="inlineStr">
        <is>
          <t>อาหารที่มีสารกันบูด sulfite เช่น ไวน์ อาหารแปรรูป</t>
        </is>
      </c>
      <c r="F48" s="34" t="inlineStr">
        <is>
          <t>อาหารที่มีรสจัดหรือเผ็ดที่กระตุ้นอาการคัดจมูก</t>
        </is>
      </c>
      <c r="G48" s="34" t="inlineStr">
        <is>
          <t>สูบบุหรี่และควันบุหรี่</t>
        </is>
      </c>
      <c r="H48" s="34" t="inlineStr">
        <is>
          <t>ถูกทุกข้อ</t>
        </is>
      </c>
      <c r="I48" s="33" t="inlineStr">
        <is>
          <t>3</t>
        </is>
      </c>
      <c r="J48" s="34"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35" t="n"/>
      <c r="L48" s="34" t="inlineStr">
        <is>
          <t>Allergic rhinitis</t>
        </is>
      </c>
      <c r="M48" s="35" t="inlineStr">
        <is>
          <t>Clinic</t>
        </is>
      </c>
      <c r="N48" s="34" t="inlineStr">
        <is>
          <t>Mock PLE-CC 1 ข้อ 50</t>
        </is>
      </c>
      <c r="O48" s="35" t="inlineStr">
        <is>
          <t>Mock</t>
        </is>
      </c>
      <c r="P48" s="35" t="inlineStr">
        <is>
          <t>Mock RxCU83</t>
        </is>
      </c>
      <c r="Q48" s="2" t="n"/>
    </row>
    <row r="49" ht="13.2" customHeight="1" s="49">
      <c r="A49" s="33" t="n">
        <v>47</v>
      </c>
      <c r="B49"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35" t="n"/>
      <c r="D49" s="34" t="inlineStr">
        <is>
          <t>[NEED_REVIEW]</t>
        </is>
      </c>
      <c r="E49" s="34" t="inlineStr">
        <is>
          <t>ขายได้เพราะเป็นยาอันตรายตามกฎหมาย</t>
        </is>
      </c>
      <c r="F49" s="34" t="inlineStr">
        <is>
          <t>ขายไม่ได้เพราะปริมาณเกินกฎหมายกำหนดไว้</t>
        </is>
      </c>
      <c r="G49" s="34" t="inlineStr">
        <is>
          <t>ขายไม่ได้เพราะไม่ได้คำนึงถึงความปลอดภัยผู้มาซื้อ</t>
        </is>
      </c>
      <c r="H49" s="34" t="inlineStr">
        <is>
          <t>ขายไม่ได้เพราะไม่มีใบสั่งซื้อจากแพทย์</t>
        </is>
      </c>
      <c r="I49" s="33" t="inlineStr">
        <is>
          <t>1</t>
        </is>
      </c>
      <c r="J49" s="34" t="inlineStr">
        <is>
          <t>✅ คำตอบที่ถูกต้อง: ข้อ ก. ขายได้เพราะเป็นยาสามัญประจำบ้าน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35" t="n"/>
      <c r="L49" s="34" t="inlineStr">
        <is>
          <t>Allergic rhinitis</t>
        </is>
      </c>
      <c r="M49" s="35" t="inlineStr">
        <is>
          <t>Clinic</t>
        </is>
      </c>
      <c r="N49" s="34" t="inlineStr">
        <is>
          <t>PLE_CC1_2567_Key ข้อ 11</t>
        </is>
      </c>
      <c r="O49" s="35" t="inlineStr">
        <is>
          <t>ข้อสอบจริง</t>
        </is>
      </c>
      <c r="P49" s="35" t="inlineStr">
        <is>
          <t>ปี 2567</t>
        </is>
      </c>
      <c r="Q49" s="2" t="n"/>
    </row>
    <row r="50" ht="13.2" customHeight="1" s="49">
      <c r="A50" s="33" t="n">
        <v>48</v>
      </c>
      <c r="B50" s="34"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35" t="n"/>
      <c r="D50" s="34" t="inlineStr">
        <is>
          <t>[NEED_REVIEW]</t>
        </is>
      </c>
      <c r="E50" s="34" t="inlineStr">
        <is>
          <t>ขายได้เพราะเป็นยาอันตรายตามกฎหมาย</t>
        </is>
      </c>
      <c r="F50" s="34" t="inlineStr">
        <is>
          <t>ขายไม่ได้เพราะปริมาณเกินกฎหมายกำหนดไว้</t>
        </is>
      </c>
      <c r="G50" s="34" t="inlineStr">
        <is>
          <t>ขายไม่ได้เพราะไม่ได้คำนึงถึงความปลอดภัยผู้มาซื้อ</t>
        </is>
      </c>
      <c r="H50" s="34" t="inlineStr">
        <is>
          <t>ขายไม่ได้เพราะไม่มีใบสั่งซื้อจากแพทย์</t>
        </is>
      </c>
      <c r="I50" s="33" t="inlineStr">
        <is>
          <t>1</t>
        </is>
      </c>
      <c r="J50" s="34"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35" t="n"/>
      <c r="L50" s="34" t="inlineStr">
        <is>
          <t>Allergic rhinitis</t>
        </is>
      </c>
      <c r="M50" s="35" t="inlineStr">
        <is>
          <t>Clinic</t>
        </is>
      </c>
      <c r="N50" s="34" t="inlineStr">
        <is>
          <t>PLE_CC1_2567_Set1_Key ข้อ 11</t>
        </is>
      </c>
      <c r="O50" s="35" t="inlineStr">
        <is>
          <t>ข้อสอบจริง</t>
        </is>
      </c>
      <c r="P50" s="35" t="inlineStr">
        <is>
          <t>ปี 2567</t>
        </is>
      </c>
      <c r="Q50" s="2" t="n"/>
    </row>
    <row r="51" ht="13.2" customHeight="1" s="49">
      <c r="A51" s="33" t="n">
        <v>49</v>
      </c>
      <c r="B51" s="34"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kดเ"นยาlนตรายmnบ 32</t>
        </is>
      </c>
      <c r="C51" s="35" t="n"/>
      <c r="D51" s="34" t="inlineStr">
        <is>
          <t>Fluticasone furoate nasal spray</t>
        </is>
      </c>
      <c r="E51" s="34" t="inlineStr">
        <is>
          <t>Budesonide nasal spray</t>
        </is>
      </c>
      <c r="F51" s="34" t="inlineStr">
        <is>
          <t>Epinephrine 0.3 mg IM stat</t>
        </is>
      </c>
      <c r="G51" s="34" t="inlineStr">
        <is>
          <t>Dexamethasone 4 mg IV</t>
        </is>
      </c>
      <c r="H51" s="34" t="inlineStr">
        <is>
          <t>Bromocriptine</t>
        </is>
      </c>
      <c r="I51" s="33" t="inlineStr">
        <is>
          <t>1</t>
        </is>
      </c>
      <c r="J51" s="34" t="inlineStr">
        <is>
          <t>✅ คำตอบที่ถูกต้อง: ข้อ ก.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35" t="n"/>
      <c r="L51" s="34" t="inlineStr">
        <is>
          <t>Allergic rhinitis</t>
        </is>
      </c>
      <c r="M51" s="35" t="inlineStr">
        <is>
          <t>Clinic</t>
        </is>
      </c>
      <c r="N51" s="34" t="inlineStr">
        <is>
          <t>PLE_CC1_2567_Set1_Key ข้อ 14</t>
        </is>
      </c>
      <c r="O51" s="35" t="inlineStr">
        <is>
          <t>ข้อสอบจริง</t>
        </is>
      </c>
      <c r="P51" s="35" t="inlineStr">
        <is>
          <t>ปี 2567</t>
        </is>
      </c>
      <c r="Q51" s="2" t="n"/>
    </row>
    <row r="52" ht="13.2" customHeight="1" s="49">
      <c r="A52" s="33" t="n">
        <v>50</v>
      </c>
      <c r="B52" s="34" t="inlineStr">
        <is>
          <t>คุณครูมาขอซื้อ CPM 4 มก. 5 กระปุก กระปุกละ 100 เม็ด เนื่องจากกำลังจะเปิดเรียน เภสัชกรขายให้ เภสัช กรผิดหรือไม่</t>
        </is>
      </c>
      <c r="C52" s="35" t="n"/>
      <c r="D52" s="34" t="inlineStr">
        <is>
          <t>Allergic rhinitis</t>
        </is>
      </c>
      <c r="E52" s="34" t="inlineStr">
        <is>
          <t>Dexamethasone 4 mg IV</t>
        </is>
      </c>
      <c r="F52" s="34" t="inlineStr">
        <is>
          <t>Prednisolone 20 mg OD</t>
        </is>
      </c>
      <c r="G52" s="34" t="inlineStr">
        <is>
          <t>Montelukast 10 mg HS</t>
        </is>
      </c>
      <c r="H52" s="34" t="inlineStr">
        <is>
          <t>Hydroxyzine 25 mg HS</t>
        </is>
      </c>
      <c r="I52" s="33" t="inlineStr">
        <is>
          <t>1</t>
        </is>
      </c>
      <c r="J5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35" t="n"/>
      <c r="L52" s="34" t="inlineStr">
        <is>
          <t>Allergic rhinitis</t>
        </is>
      </c>
      <c r="M52" s="35" t="inlineStr">
        <is>
          <t>Clinic</t>
        </is>
      </c>
      <c r="N52" s="34" t="inlineStr">
        <is>
          <t>PLE_CC1_2567_Set1_Key ข้อ 47</t>
        </is>
      </c>
      <c r="O52" s="35" t="inlineStr">
        <is>
          <t>ข้อสอบจริง</t>
        </is>
      </c>
      <c r="P52" s="35" t="inlineStr">
        <is>
          <t>ปี 2567</t>
        </is>
      </c>
    </row>
    <row r="53" ht="13.2" customHeight="1" s="49">
      <c r="A53" s="33" t="n">
        <v>51</v>
      </c>
      <c r="B53" s="34" t="inlineStr">
        <is>
          <t>ข้อใดเป็นเกณฑ์ในการวินิจฉัยว่าผู้ป่วยคนนี้เป็นโรคไตเรื้อรัง CPM UACR = 282 ☆</t>
        </is>
      </c>
      <c r="C53" s="35" t="n"/>
      <c r="D53" s="34" t="inlineStr">
        <is>
          <t>Allergic rhinitis</t>
        </is>
      </c>
      <c r="E53" s="34" t="inlineStr">
        <is>
          <t>Hydroxyzine 25 mg HS</t>
        </is>
      </c>
      <c r="F53" s="34" t="inlineStr">
        <is>
          <t>Diphenhydramine 25 mg IV</t>
        </is>
      </c>
      <c r="G53" s="34" t="inlineStr">
        <is>
          <t>Cetirizine 10 mg OD</t>
        </is>
      </c>
      <c r="H53" s="34" t="inlineStr">
        <is>
          <t>Loratadine 10 mg OD</t>
        </is>
      </c>
      <c r="I53" s="33" t="inlineStr">
        <is>
          <t>1</t>
        </is>
      </c>
      <c r="J5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35" t="n"/>
      <c r="L53" s="34" t="inlineStr">
        <is>
          <t>Allergic rhinitis</t>
        </is>
      </c>
      <c r="M53" s="35" t="inlineStr">
        <is>
          <t>Clinic</t>
        </is>
      </c>
      <c r="N53" s="34" t="inlineStr">
        <is>
          <t>PLE_CC1_2567_Set1_Key ข้อ 50</t>
        </is>
      </c>
      <c r="O53" s="35" t="inlineStr">
        <is>
          <t>ข้อสอบจริง</t>
        </is>
      </c>
      <c r="P53" s="35" t="inlineStr">
        <is>
          <t>ปี 2567</t>
        </is>
      </c>
    </row>
    <row r="54" ht="13.2" customHeight="1" s="49">
      <c r="A54" s="33" t="n">
        <v>52</v>
      </c>
      <c r="B54" s="34"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35" t="n"/>
      <c r="D54" s="34" t="inlineStr">
        <is>
          <t>Sildenafil</t>
        </is>
      </c>
      <c r="E54" s="34" t="inlineStr">
        <is>
          <t>Alprazolam</t>
        </is>
      </c>
      <c r="F54" s="34" t="inlineStr">
        <is>
          <t>Tramadol</t>
        </is>
      </c>
      <c r="G54" s="34" t="inlineStr">
        <is>
          <t>Dexamethasone</t>
        </is>
      </c>
      <c r="H54" s="34" t="inlineStr">
        <is>
          <t>Prednisolone eดfา combine 3นเอา synergistic effect เลยHกfา gก เหhผลjงkอ:lวยR Na mUงไnอยากเ^มขนาด HCTZ</t>
        </is>
      </c>
      <c r="I54" s="33" t="inlineStr">
        <is>
          <t>1</t>
        </is>
      </c>
      <c r="J54" s="34" t="inlineStr">
        <is>
          <t>✅ คำตอบที่ถูกต้อง: ข้อ ก. Sildenafil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35" t="n"/>
      <c r="L54" s="34" t="inlineStr">
        <is>
          <t>Hypersensitivity</t>
        </is>
      </c>
      <c r="M54" s="35" t="inlineStr">
        <is>
          <t>Clinic</t>
        </is>
      </c>
      <c r="N54" s="34" t="inlineStr">
        <is>
          <t>PLE_CC1_2567_Set1_Key ข้อ 81</t>
        </is>
      </c>
      <c r="O54" s="35" t="inlineStr">
        <is>
          <t>ข้อสอบจริง</t>
        </is>
      </c>
      <c r="P54" s="35" t="inlineStr">
        <is>
          <t>ปี 2567</t>
        </is>
      </c>
      <c r="Q54" s="2" t="n"/>
    </row>
    <row r="55" ht="13.2" customHeight="1" s="49">
      <c r="A55" s="33" t="n">
        <v>53</v>
      </c>
      <c r="B55" s="34" t="inlineStr">
        <is>
          <t>CPM 10 เม็ด?????</t>
        </is>
      </c>
      <c r="C55" s="35" t="n"/>
      <c r="D55" s="34" t="inlineStr">
        <is>
          <t>Allergic rhinitis</t>
        </is>
      </c>
      <c r="E55" s="34" t="inlineStr">
        <is>
          <t>Fluticasone furoate nasal spray</t>
        </is>
      </c>
      <c r="F55" s="34" t="inlineStr">
        <is>
          <t>Budesonide nasal spray</t>
        </is>
      </c>
      <c r="G55" s="34" t="inlineStr">
        <is>
          <t>Epinephrine 0.3 mg IM stat</t>
        </is>
      </c>
      <c r="H55" s="34" t="inlineStr">
        <is>
          <t>Dexamethasone 4 mg IV</t>
        </is>
      </c>
      <c r="I55" s="33" t="inlineStr">
        <is>
          <t>1</t>
        </is>
      </c>
      <c r="J55"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35" t="n"/>
      <c r="L55" s="34" t="inlineStr">
        <is>
          <t>Allergic rhinitis</t>
        </is>
      </c>
      <c r="M55" s="35" t="inlineStr">
        <is>
          <t>Clinic</t>
        </is>
      </c>
      <c r="N55" s="34" t="inlineStr">
        <is>
          <t>PLE-CC1 ปี 2566 Day 2 ข้อ 2</t>
        </is>
      </c>
      <c r="O55" s="35" t="inlineStr">
        <is>
          <t>ข้อสอบจริง</t>
        </is>
      </c>
      <c r="P55" s="35" t="inlineStr">
        <is>
          <t>ปี 2566</t>
        </is>
      </c>
    </row>
    <row r="56" ht="13.2" customHeight="1" s="49">
      <c r="A56" s="33" t="n">
        <v>54</v>
      </c>
      <c r="B56" s="34"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35" t="n"/>
      <c r="D56" s="34" t="inlineStr">
        <is>
          <t>Allergic rhinitis</t>
        </is>
      </c>
      <c r="E56" s="34" t="inlineStr">
        <is>
          <t>Dexamethasone 4 mg IV</t>
        </is>
      </c>
      <c r="F56" s="34" t="inlineStr">
        <is>
          <t>Prednisolone 20 mg OD</t>
        </is>
      </c>
      <c r="G56" s="34" t="inlineStr">
        <is>
          <t>Montelukast 10 mg HS</t>
        </is>
      </c>
      <c r="H56" s="34" t="inlineStr">
        <is>
          <t>Hydroxyzine 25 mg HS</t>
        </is>
      </c>
      <c r="I56" s="33" t="inlineStr">
        <is>
          <t>1</t>
        </is>
      </c>
      <c r="J56"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35" t="n"/>
      <c r="L56" s="34" t="inlineStr">
        <is>
          <t>Allergic rhinitis</t>
        </is>
      </c>
      <c r="M56" s="35" t="inlineStr">
        <is>
          <t>Clinic</t>
        </is>
      </c>
      <c r="N56" s="34" t="inlineStr">
        <is>
          <t>PLE-CC1 ปี 2566 Day 2 ข้อ 68</t>
        </is>
      </c>
      <c r="O56" s="35" t="inlineStr">
        <is>
          <t>ข้อสอบจริง</t>
        </is>
      </c>
      <c r="P56" s="35" t="inlineStr">
        <is>
          <t>ปี 2566</t>
        </is>
      </c>
    </row>
    <row r="57" ht="13.2" customHeight="1" s="49">
      <c r="A57" s="33" t="n">
        <v>55</v>
      </c>
      <c r="B57" s="34" t="inlineStr">
        <is>
          <t>มารดาเป็นภูมิแพ้</t>
        </is>
      </c>
      <c r="C57" s="35" t="n"/>
      <c r="D57" s="34" t="inlineStr">
        <is>
          <t>Allergic rhinitis</t>
        </is>
      </c>
      <c r="E57" s="34" t="inlineStr">
        <is>
          <t>Hydroxyzine 25 mg HS</t>
        </is>
      </c>
      <c r="F57" s="34" t="inlineStr">
        <is>
          <t>Diphenhydramine 25 mg IV</t>
        </is>
      </c>
      <c r="G57" s="34" t="inlineStr">
        <is>
          <t>Cetirizine 10 mg OD</t>
        </is>
      </c>
      <c r="H57" s="34" t="inlineStr">
        <is>
          <t>Loratadine 10 mg OD</t>
        </is>
      </c>
      <c r="I57" s="33" t="inlineStr">
        <is>
          <t>1</t>
        </is>
      </c>
      <c r="J57"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35" t="n"/>
      <c r="L57" s="34" t="inlineStr">
        <is>
          <t>Allergic rhinitis</t>
        </is>
      </c>
      <c r="M57" s="35" t="inlineStr">
        <is>
          <t>Clinic</t>
        </is>
      </c>
      <c r="N57" s="34" t="inlineStr">
        <is>
          <t>PLE-CC1 ปี 2566 Day 2 ข้อ 5</t>
        </is>
      </c>
      <c r="O57" s="35" t="inlineStr">
        <is>
          <t>ข้อสอบจริง</t>
        </is>
      </c>
      <c r="P57" s="35" t="inlineStr">
        <is>
          <t>ปี 2566</t>
        </is>
      </c>
    </row>
    <row r="58" ht="13.2" customHeight="1" s="49">
      <c r="A58" s="33" t="n">
        <v>56</v>
      </c>
      <c r="B58" s="34" t="inlineStr">
        <is>
          <t>(ชื่อยาantihistamine) nasal spray</t>
        </is>
      </c>
      <c r="C58" s="35" t="n"/>
      <c r="D58" s="34" t="inlineStr">
        <is>
          <t>Allergic rhinitis</t>
        </is>
      </c>
      <c r="E58" s="34" t="inlineStr">
        <is>
          <t>Loratadine 10 mg OD</t>
        </is>
      </c>
      <c r="F58" s="34" t="inlineStr">
        <is>
          <t>Fexofenadine 180 mg OD</t>
        </is>
      </c>
      <c r="G58" s="34" t="inlineStr">
        <is>
          <t>Chlorpheniramine 4 mg TID</t>
        </is>
      </c>
      <c r="H58" s="34" t="inlineStr">
        <is>
          <t>Fluticasone furoate nasal spray</t>
        </is>
      </c>
      <c r="I58" s="33" t="inlineStr">
        <is>
          <t>1</t>
        </is>
      </c>
      <c r="J58"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35" t="n"/>
      <c r="L58" s="34" t="inlineStr">
        <is>
          <t>Allergic rhinitis</t>
        </is>
      </c>
      <c r="M58" s="35" t="inlineStr">
        <is>
          <t>Clinic</t>
        </is>
      </c>
      <c r="N58" s="34" t="inlineStr">
        <is>
          <t>PLE-CC1 ปี 2566 Day 2 ข้อ 2</t>
        </is>
      </c>
      <c r="O58" s="35" t="inlineStr">
        <is>
          <t>ข้อสอบจริง</t>
        </is>
      </c>
      <c r="P58" s="35" t="inlineStr">
        <is>
          <t>ปี 2566</t>
        </is>
      </c>
    </row>
    <row r="59" ht="13.2" customHeight="1" s="49">
      <c r="A59" s="33" t="n">
        <v>57</v>
      </c>
      <c r="B59" s="34" t="inlineStr">
        <is>
          <t>Antihistamine =ง&gt;ตรเ?ยวและ&gt;ตรผสม เฉพาะFปแบบยาH รายการยา antihistamine ตามแนบIายประกาศJKงL</t>
        </is>
      </c>
      <c r="C59" s="35" t="n"/>
      <c r="D59" s="34" t="inlineStr">
        <is>
          <t>Tramadol เดี่ยวและผสม</t>
        </is>
      </c>
      <c r="E59" s="34" t="inlineStr">
        <is>
          <t>Dextromethorphan เดี่ยวและผสม</t>
        </is>
      </c>
      <c r="F59" s="34" t="inlineStr">
        <is>
          <t>CPM เดี่ยวและผสม เฉพาะยาน้ำ</t>
        </is>
      </c>
      <c r="G59" s="34" t="inlineStr">
        <is>
          <t>Cetirizine เดี่ยวและผสม เฉพาะยาน้ำ</t>
        </is>
      </c>
      <c r="H59" s="34" t="inlineStr">
        <is>
          <t>Diphenhydramine เดี่ยวและผสม เฉพาะยาน้ำ</t>
        </is>
      </c>
      <c r="I59" s="33" t="inlineStr">
        <is>
          <t>1</t>
        </is>
      </c>
      <c r="J59" s="34" t="inlineStr">
        <is>
          <t>✅ คำตอบที่ถูกต้อง: ข้อ ก. Tramadol เดี่ยวและผสม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35" t="n"/>
      <c r="L59" s="34" t="inlineStr">
        <is>
          <t>Allergic rhinitis</t>
        </is>
      </c>
      <c r="M59" s="35" t="inlineStr">
        <is>
          <t>Clinic</t>
        </is>
      </c>
      <c r="N59" s="34" t="inlineStr">
        <is>
          <t>PLE_CC1_2565_Day1_Key ข้อ 3</t>
        </is>
      </c>
      <c r="O59" s="35" t="inlineStr">
        <is>
          <t>ข้อสอบจริง</t>
        </is>
      </c>
      <c r="P59" s="35" t="inlineStr">
        <is>
          <t>ปี 2565</t>
        </is>
      </c>
      <c r="Q59" s="2" t="n"/>
    </row>
    <row r="60" ht="13.2" customHeight="1" s="49">
      <c r="A60" s="33" t="n">
        <v>58</v>
      </c>
      <c r="B60" s="34" t="inlineStr">
        <is>
          <t>โครงสรางส;วนใดของ loratadine ที่ทำใหยามีความ selective ต;อ histamine 1 receptor N = 5.54 x (4/0.1)^2 N = 8,864 !งไ$%อยก)า 8,000 +ง,น.อ)า/านเกณ2 H1 เ"น Gq receptor $ง G protein จะ( 7 transmembrane โครงส-างของ Antihistamine จะเ1าไป4บ receptor 6ง7 - tertiary amine 4บ8แห;ง 3 &gt;&gt; D - imidazole ring ห&gt; C</t>
        </is>
      </c>
      <c r="C60" s="35" t="n"/>
      <c r="D60" s="34" t="inlineStr">
        <is>
          <t>Dexamethasone 4 mg IV</t>
        </is>
      </c>
      <c r="E60" s="34" t="inlineStr">
        <is>
          <t>Prednisolone 20 mg OD</t>
        </is>
      </c>
      <c r="F60" s="34" t="inlineStr">
        <is>
          <t>Montelukast 10 mg HS</t>
        </is>
      </c>
      <c r="G60" s="34" t="inlineStr">
        <is>
          <t>Hydroxyzine 25 mg HS</t>
        </is>
      </c>
      <c r="H60" s="34" t="inlineStr">
        <is>
          <t>A และ C C เ"น Pyridine ring ไAใC imidazole แD EดGา;าจะเ"น8แห;ง4บ HางIงจากKป7 (เส=ม) ?ห@บ H2 receptor (Slide medchem)</t>
        </is>
      </c>
      <c r="I60" s="33" t="inlineStr">
        <is>
          <t>2</t>
        </is>
      </c>
      <c r="J60" s="34" t="inlineStr">
        <is>
          <t>✅ คำตอบที่ถูกต้อง: ข้อ ข. Prednisolone 20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เ"น Pyridine ring ไAใC imidazole แD EดGา;าจะเ"น8แห;ง4บ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35" t="n"/>
      <c r="L60" s="34" t="inlineStr">
        <is>
          <t>Allergic rhinitis</t>
        </is>
      </c>
      <c r="M60" s="35" t="inlineStr">
        <is>
          <t>Clinic</t>
        </is>
      </c>
      <c r="N60" s="34" t="inlineStr">
        <is>
          <t>PLE_CC1_2565_Day1_Key ข้อ 88</t>
        </is>
      </c>
      <c r="O60" s="35" t="inlineStr">
        <is>
          <t>ข้อสอบจริง</t>
        </is>
      </c>
      <c r="P60" s="35" t="inlineStr">
        <is>
          <t>ปี 2565</t>
        </is>
      </c>
      <c r="Q60" s="2" t="n"/>
    </row>
    <row r="61" ht="13.2" customHeight="1" s="49">
      <c r="A61" s="33" t="n">
        <v>59</v>
      </c>
      <c r="B61" s="34" t="inlineStr">
        <is>
          <t>Allergic rhinitis</t>
        </is>
      </c>
      <c r="C61" s="35" t="n"/>
      <c r="D61" s="34" t="inlineStr">
        <is>
          <t>Allergic rhinitis</t>
        </is>
      </c>
      <c r="E61" s="34" t="inlineStr">
        <is>
          <t>Hydroxyzine 25 mg HS</t>
        </is>
      </c>
      <c r="F61" s="34" t="inlineStr">
        <is>
          <t>Diphenhydramine 25 mg IV</t>
        </is>
      </c>
      <c r="G61" s="34" t="inlineStr">
        <is>
          <t>Cetirizine 10 mg OD</t>
        </is>
      </c>
      <c r="H61" s="34" t="inlineStr">
        <is>
          <t>Loratadine 10 mg OD</t>
        </is>
      </c>
      <c r="I61" s="33" t="inlineStr">
        <is>
          <t>1</t>
        </is>
      </c>
      <c r="J61"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5" t="n"/>
      <c r="L61" s="34" t="inlineStr">
        <is>
          <t>Allergic rhinitis</t>
        </is>
      </c>
      <c r="M61" s="35" t="inlineStr">
        <is>
          <t>Clinic</t>
        </is>
      </c>
      <c r="N61" s="34" t="inlineStr">
        <is>
          <t>PLE_CC1_2565_Day1_Key ข้อ 10</t>
        </is>
      </c>
      <c r="O61" s="35" t="inlineStr">
        <is>
          <t>ข้อสอบจริง</t>
        </is>
      </c>
      <c r="P61" s="35" t="inlineStr">
        <is>
          <t>ปี 2565</t>
        </is>
      </c>
    </row>
    <row r="62" ht="13.2" customHeight="1" s="49">
      <c r="A62" s="33" t="n">
        <v>60</v>
      </c>
      <c r="B62" s="34" t="inlineStr">
        <is>
          <t>common cold คัดจมูก จะให้ใช้อะไรดี</t>
        </is>
      </c>
      <c r="C62" s="35" t="n"/>
      <c r="D62" s="34" t="inlineStr">
        <is>
          <t>Allergic rhinitis</t>
        </is>
      </c>
      <c r="E62" s="34" t="inlineStr">
        <is>
          <t>oxymetazoline / b) CPM tablet / c) loratadine tablet</t>
        </is>
      </c>
      <c r="F62" s="34" t="inlineStr">
        <is>
          <t>Fexofenadine 180 mg OD</t>
        </is>
      </c>
      <c r="G62" s="34" t="inlineStr">
        <is>
          <t>Chlorpheniramine 4 mg TID</t>
        </is>
      </c>
      <c r="H62" s="34" t="inlineStr">
        <is>
          <t>Fluticasone furoate nasal spray</t>
        </is>
      </c>
      <c r="I62" s="33" t="inlineStr">
        <is>
          <t>1</t>
        </is>
      </c>
      <c r="J62"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5" t="n"/>
      <c r="L62" s="34" t="inlineStr">
        <is>
          <t>Allergic rhinitis</t>
        </is>
      </c>
      <c r="M62" s="35" t="inlineStr">
        <is>
          <t>Clinic</t>
        </is>
      </c>
      <c r="N62" s="34" t="inlineStr">
        <is>
          <t>PLE_CC1_2564_All_Key ข้อ 10</t>
        </is>
      </c>
      <c r="O62" s="35" t="inlineStr">
        <is>
          <t>ข้อสอบจริง</t>
        </is>
      </c>
      <c r="P62" s="35" t="inlineStr">
        <is>
          <t>ปี 2564</t>
        </is>
      </c>
    </row>
    <row r="63" ht="13.2" customHeight="1" s="49">
      <c r="A63" s="33" t="n">
        <v>61</v>
      </c>
      <c r="B63" s="34" t="inlineStr">
        <is>
          <t>common cold จะแนะนำยังไงดี</t>
        </is>
      </c>
      <c r="C63" s="35" t="n"/>
      <c r="D63" s="34" t="inlineStr">
        <is>
          <t>Allergic rhinitis</t>
        </is>
      </c>
      <c r="E63" s="34" t="inlineStr">
        <is>
          <t>พักผ่อนให้เพียงพอ ร่วมกับการใช้ยาบรรเทาอาการ เช่น การใช้ยาลดไข้แก้ปวด</t>
        </is>
      </c>
      <c r="F63" s="34" t="inlineStr">
        <is>
          <t>Budesonide nasal spray</t>
        </is>
      </c>
      <c r="G63" s="34" t="inlineStr">
        <is>
          <t>Epinephrine 0.3 mg IM stat</t>
        </is>
      </c>
      <c r="H63" s="34" t="inlineStr">
        <is>
          <t>Dexamethasone 4 mg IV</t>
        </is>
      </c>
      <c r="I63" s="33" t="inlineStr">
        <is>
          <t>1</t>
        </is>
      </c>
      <c r="J63" s="34"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35" t="n"/>
      <c r="L63" s="34" t="inlineStr">
        <is>
          <t>Allergic rhinitis</t>
        </is>
      </c>
      <c r="M63" s="35" t="inlineStr">
        <is>
          <t>Clinic</t>
        </is>
      </c>
      <c r="N63" s="34" t="inlineStr">
        <is>
          <t>PLE_CC1_2564_All_Key ข้อ 11</t>
        </is>
      </c>
      <c r="O63" s="35" t="inlineStr">
        <is>
          <t>ข้อสอบจริง</t>
        </is>
      </c>
      <c r="P63" s="35" t="inlineStr">
        <is>
          <t>ปี 2564</t>
        </is>
      </c>
    </row>
    <row r="64" ht="13.2" customHeight="1" s="49">
      <c r="A64" s="33" t="n">
        <v>62</v>
      </c>
      <c r="B64" s="34" t="inlineStr">
        <is>
          <t>จากอาการดังกล.าวผู(ปcวยเป5น allergic rhinitis แบบใดและมีความ รุนแรงระดับใด</t>
        </is>
      </c>
      <c r="C64" s="35" t="n"/>
      <c r="D64" s="34" t="inlineStr">
        <is>
          <t>Persistent, mild</t>
        </is>
      </c>
      <c r="E64" s="34" t="inlineStr">
        <is>
          <t>Intermittent, mild</t>
        </is>
      </c>
      <c r="F64" s="34" t="inlineStr">
        <is>
          <t>Intermittent, very severe</t>
        </is>
      </c>
      <c r="G64" s="34" t="inlineStr">
        <is>
          <t>Persistent, moderate-severe</t>
        </is>
      </c>
      <c r="H64" s="34" t="inlineStr">
        <is>
          <t>Intermittent, moderate-severe</t>
        </is>
      </c>
      <c r="I64" s="33" t="inlineStr">
        <is>
          <t>1</t>
        </is>
      </c>
      <c r="J64" s="34"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35" t="n"/>
      <c r="L64" s="34" t="inlineStr">
        <is>
          <t>Allergic rhinitis</t>
        </is>
      </c>
      <c r="M64" s="35" t="inlineStr">
        <is>
          <t>Clinic</t>
        </is>
      </c>
      <c r="N64" s="34" t="inlineStr">
        <is>
          <t>ข้อ 70 (PLE_CC1_2561_Key.md)</t>
        </is>
      </c>
      <c r="O64" s="35" t="inlineStr">
        <is>
          <t>ข้อสอบจริง</t>
        </is>
      </c>
      <c r="P64" s="35" t="inlineStr">
        <is>
          <t>ปี 2561</t>
        </is>
      </c>
    </row>
    <row r="65" ht="13.2" customHeight="1" s="49">
      <c r="A65" s="33" t="n">
        <v>63</v>
      </c>
      <c r="B65" s="34" t="inlineStr">
        <is>
          <t>การใช(ยา pseudoephedrine nasal drop ติดต.อกันนานเกิน 10 วัน มีผลทำให(เกิดผลข(างเคียงใด</t>
        </is>
      </c>
      <c r="C65" s="35" t="n"/>
      <c r="D65" s="34" t="inlineStr">
        <is>
          <t>นอนไม.หลับ</t>
        </is>
      </c>
      <c r="E65" s="34" t="inlineStr">
        <is>
          <t>เกิดฝqาขาวที่ลิ้น</t>
        </is>
      </c>
      <c r="F65" s="34" t="inlineStr">
        <is>
          <t>เลือดกำเดาไหล</t>
        </is>
      </c>
      <c r="G65" s="34" t="inlineStr">
        <is>
          <t>คัดจมูกมาก หายใจไม.ออก</t>
        </is>
      </c>
      <c r="H65" s="34" t="inlineStr">
        <is>
          <t>เลือดออกในทางเดินอาหาร</t>
        </is>
      </c>
      <c r="I65" s="33" t="inlineStr">
        <is>
          <t>1</t>
        </is>
      </c>
      <c r="J65" s="34"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35" t="n"/>
      <c r="L65" s="34" t="inlineStr">
        <is>
          <t>Allergic rhinitis</t>
        </is>
      </c>
      <c r="M65" s="35" t="inlineStr">
        <is>
          <t>Clinic</t>
        </is>
      </c>
      <c r="N65" s="34" t="inlineStr">
        <is>
          <t>ข้อ 72 (PLE_CC1_2561_Key.md)</t>
        </is>
      </c>
      <c r="O65" s="35" t="inlineStr">
        <is>
          <t>ข้อสอบจริง</t>
        </is>
      </c>
      <c r="P65" s="35" t="inlineStr">
        <is>
          <t>ปี 2561</t>
        </is>
      </c>
    </row>
    <row r="66" ht="13.2" customHeight="1" s="49">
      <c r="A66" s="33" t="n">
        <v>64</v>
      </c>
      <c r="B66" s="34" t="inlineStr">
        <is>
          <t>Allergic rhinitis with Asthma</t>
        </is>
      </c>
      <c r="C66" s="35" t="n"/>
      <c r="D66" s="34" t="inlineStr">
        <is>
          <t>Cetirizine 10 mg OD</t>
        </is>
      </c>
      <c r="E66" s="34" t="inlineStr">
        <is>
          <t>Loratadine 10 mg OD</t>
        </is>
      </c>
      <c r="F66" s="34" t="inlineStr">
        <is>
          <t>Fexofenadine 180 mg OD</t>
        </is>
      </c>
      <c r="G66" s="34" t="inlineStr">
        <is>
          <t>Chlorpheniramine 4 mg TID</t>
        </is>
      </c>
      <c r="H66" s="34" t="inlineStr">
        <is>
          <t>Fluticasone furoate nasal spray</t>
        </is>
      </c>
      <c r="I66" s="33" t="inlineStr">
        <is>
          <t>1</t>
        </is>
      </c>
      <c r="J66" s="34"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35" t="n"/>
      <c r="L66" s="34" t="inlineStr">
        <is>
          <t>Allergic rhinitis</t>
        </is>
      </c>
      <c r="M66" s="35" t="inlineStr">
        <is>
          <t>Clinic</t>
        </is>
      </c>
      <c r="N66" s="34" t="inlineStr">
        <is>
          <t>ข้อ 1 (PLE_CC1_2560 22 April Set 1.md)</t>
        </is>
      </c>
      <c r="O66" s="35" t="inlineStr">
        <is>
          <t>ข้อสอบจริง</t>
        </is>
      </c>
      <c r="P66" s="35" t="inlineStr">
        <is>
          <t>ปี 2560</t>
        </is>
      </c>
    </row>
    <row r="67" ht="13.2" customHeight="1" s="49">
      <c r="A67" s="33" t="n">
        <v>65</v>
      </c>
      <c r="B67" s="34"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35" t="n"/>
      <c r="D67" s="34" t="inlineStr">
        <is>
          <t>Chlorpheniramine 4 mg TID</t>
        </is>
      </c>
      <c r="E67" s="34" t="inlineStr">
        <is>
          <t>Fluticasone furoate nasal spray</t>
        </is>
      </c>
      <c r="F67" s="34" t="inlineStr">
        <is>
          <t>Budesonide nasal spray</t>
        </is>
      </c>
      <c r="G67" s="34" t="inlineStr">
        <is>
          <t>Epinephrine 0.3 mg IM stat</t>
        </is>
      </c>
      <c r="H67" s="34" t="inlineStr">
        <is>
          <t>Dexamethasone 4 mg IV</t>
        </is>
      </c>
      <c r="I67" s="33" t="inlineStr">
        <is>
          <t>1</t>
        </is>
      </c>
      <c r="J67" s="34"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35" t="n"/>
      <c r="L67" s="34" t="inlineStr">
        <is>
          <t>Allergic rhinitis</t>
        </is>
      </c>
      <c r="M67" s="35" t="inlineStr">
        <is>
          <t>Clinic</t>
        </is>
      </c>
      <c r="N67" s="34" t="inlineStr">
        <is>
          <t>ข้อ 13 (PLE_CC1_2560 22 April Set 1.md)</t>
        </is>
      </c>
      <c r="O67" s="35" t="inlineStr">
        <is>
          <t>ข้อสอบจริง</t>
        </is>
      </c>
      <c r="P67" s="35" t="inlineStr">
        <is>
          <t>ปี 2560</t>
        </is>
      </c>
    </row>
    <row r="68" ht="13.2" customHeight="1" s="49">
      <c r="A68" s="33" t="n">
        <v>66</v>
      </c>
      <c r="B68" s="34" t="inlineStr">
        <is>
          <t>Fexofenadine 60 mg bid</t>
        </is>
      </c>
      <c r="C68" s="35" t="n"/>
      <c r="D68" s="34" t="inlineStr">
        <is>
          <t>Epinephrine 0.3 mg IM stat</t>
        </is>
      </c>
      <c r="E68" s="34" t="inlineStr">
        <is>
          <t>Dexamethasone 4 mg IV</t>
        </is>
      </c>
      <c r="F68" s="34" t="inlineStr">
        <is>
          <t>Prednisolone 20 mg OD</t>
        </is>
      </c>
      <c r="G68" s="34" t="inlineStr">
        <is>
          <t>Montelukast 10 mg HS</t>
        </is>
      </c>
      <c r="H68" s="34" t="inlineStr">
        <is>
          <t>Hydroxyzine 25 mg HS</t>
        </is>
      </c>
      <c r="I68" s="33" t="inlineStr">
        <is>
          <t>1</t>
        </is>
      </c>
      <c r="J6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35" t="n"/>
      <c r="L68" s="34" t="inlineStr">
        <is>
          <t>Allergic rhinitis</t>
        </is>
      </c>
      <c r="M68" s="35" t="inlineStr">
        <is>
          <t>Clinic</t>
        </is>
      </c>
      <c r="N68" s="34" t="inlineStr">
        <is>
          <t>ข้อ 2 (PLE_CC1_2560 22 April Set 1.md)</t>
        </is>
      </c>
      <c r="O68" s="35" t="inlineStr">
        <is>
          <t>ข้อสอบจริง</t>
        </is>
      </c>
      <c r="P68" s="35" t="inlineStr">
        <is>
          <t>ปี 2560</t>
        </is>
      </c>
    </row>
    <row r="69" ht="13.2" customHeight="1" s="49">
      <c r="A69" s="33" t="n">
        <v>67</v>
      </c>
      <c r="B69" s="34" t="inlineStr">
        <is>
          <t>Oxymetazoline intranasal prn (at night 1-2 times/week)</t>
        </is>
      </c>
      <c r="C69" s="35" t="n"/>
      <c r="D69" s="34" t="inlineStr">
        <is>
          <t>Montelukast 10 mg HS</t>
        </is>
      </c>
      <c r="E69" s="34" t="inlineStr">
        <is>
          <t>Hydroxyzine 25 mg HS</t>
        </is>
      </c>
      <c r="F69" s="34" t="inlineStr">
        <is>
          <t>Diphenhydramine 25 mg IV</t>
        </is>
      </c>
      <c r="G69" s="34" t="inlineStr">
        <is>
          <t>Cetirizine 10 mg OD</t>
        </is>
      </c>
      <c r="H69" s="34" t="inlineStr">
        <is>
          <t>Loratadine 10 mg OD</t>
        </is>
      </c>
      <c r="I69" s="33" t="inlineStr">
        <is>
          <t>1</t>
        </is>
      </c>
      <c r="J6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35" t="n"/>
      <c r="L69" s="34" t="inlineStr">
        <is>
          <t>Allergic rhinitis</t>
        </is>
      </c>
      <c r="M69" s="35" t="inlineStr">
        <is>
          <t>Clinic</t>
        </is>
      </c>
      <c r="N69" s="34" t="inlineStr">
        <is>
          <t>ข้อ 3 (PLE_CC1_2560 22 April Set 1.md)</t>
        </is>
      </c>
      <c r="O69" s="35" t="inlineStr">
        <is>
          <t>ข้อสอบจริง</t>
        </is>
      </c>
      <c r="P69" s="35" t="inlineStr">
        <is>
          <t>ปี 2560</t>
        </is>
      </c>
    </row>
    <row r="70" ht="13.2" customHeight="1" s="49">
      <c r="A70" s="33" t="n">
        <v>68</v>
      </c>
      <c r="B70" s="34" t="inlineStr">
        <is>
          <t>กลไกของการเกิด Allergic rhinitis เกี่ยวข้องกับ Antibody ตัวใด</t>
        </is>
      </c>
      <c r="C70" s="35" t="n"/>
      <c r="D70" s="34" t="inlineStr">
        <is>
          <t>IgA</t>
        </is>
      </c>
      <c r="E70" s="34" t="inlineStr">
        <is>
          <t>IgE</t>
        </is>
      </c>
      <c r="F70" s="34" t="inlineStr">
        <is>
          <t>IgD</t>
        </is>
      </c>
      <c r="G70" s="34" t="inlineStr">
        <is>
          <t>IgM</t>
        </is>
      </c>
      <c r="H70" s="34" t="inlineStr">
        <is>
          <t>IgG</t>
        </is>
      </c>
      <c r="I70" s="33" t="inlineStr">
        <is>
          <t>1</t>
        </is>
      </c>
      <c r="J70" s="34"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35" t="n"/>
      <c r="L70" s="34" t="inlineStr">
        <is>
          <t>Allergic rhinitis</t>
        </is>
      </c>
      <c r="M70" s="35" t="inlineStr">
        <is>
          <t>Clinic</t>
        </is>
      </c>
      <c r="N70" s="34" t="inlineStr">
        <is>
          <t>ข้อ 1 (PLE_CC1_2560 22 April Set 1.md)</t>
        </is>
      </c>
      <c r="O70" s="35" t="inlineStr">
        <is>
          <t>ข้อสอบจริง</t>
        </is>
      </c>
      <c r="P70" s="35" t="inlineStr">
        <is>
          <t>ปี 2560</t>
        </is>
      </c>
    </row>
    <row r="71" ht="13.2" customHeight="1" s="49">
      <c r="A71" s="33" t="n">
        <v>69</v>
      </c>
      <c r="B71" s="34" t="inlineStr">
        <is>
          <t>Allergic rhinitis จัดเป็นแบบใด</t>
        </is>
      </c>
      <c r="C71" s="35" t="n"/>
      <c r="D71" s="34" t="inlineStr">
        <is>
          <t>Mild intermittent</t>
        </is>
      </c>
      <c r="E71" s="34" t="inlineStr">
        <is>
          <t>Mild persistent</t>
        </is>
      </c>
      <c r="F71" s="34" t="inlineStr">
        <is>
          <t>Mild-moderate intermittent</t>
        </is>
      </c>
      <c r="G71" s="34" t="inlineStr">
        <is>
          <t>Moderate persistent</t>
        </is>
      </c>
      <c r="H71" s="34" t="inlineStr">
        <is>
          <t>Moderate-severe intermittent</t>
        </is>
      </c>
      <c r="I71" s="33" t="inlineStr">
        <is>
          <t>1</t>
        </is>
      </c>
      <c r="J71"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35" t="n"/>
      <c r="L71" s="34" t="inlineStr">
        <is>
          <t>Allergic rhinitis</t>
        </is>
      </c>
      <c r="M71" s="35" t="inlineStr">
        <is>
          <t>Clinic</t>
        </is>
      </c>
      <c r="N71" s="34" t="inlineStr">
        <is>
          <t>ข้อ 2 (PLE_CC1_2560 22 April Set 1.md)</t>
        </is>
      </c>
      <c r="O71" s="35" t="inlineStr">
        <is>
          <t>ข้อสอบจริง</t>
        </is>
      </c>
      <c r="P71" s="35" t="inlineStr">
        <is>
          <t>ปี 2560</t>
        </is>
      </c>
    </row>
    <row r="72" ht="13.2" customHeight="1" s="49">
      <c r="A72" s="33" t="n">
        <v>70</v>
      </c>
      <c r="B72" s="34" t="inlineStr">
        <is>
          <t>Oxymetazoline ออกฤทธิ์เหมือนกับยาใด</t>
        </is>
      </c>
      <c r="C72" s="35" t="n"/>
      <c r="D72" s="34" t="inlineStr">
        <is>
          <t>Phenylephrine</t>
        </is>
      </c>
      <c r="E72" s="34" t="inlineStr">
        <is>
          <t>Loratadine</t>
        </is>
      </c>
      <c r="F72" s="34" t="inlineStr">
        <is>
          <t>Ipratopium</t>
        </is>
      </c>
      <c r="G72" s="34" t="inlineStr">
        <is>
          <t>Cromolyn</t>
        </is>
      </c>
      <c r="H72" s="34" t="inlineStr">
        <is>
          <t>Theophylline</t>
        </is>
      </c>
      <c r="I72" s="33" t="inlineStr">
        <is>
          <t>1</t>
        </is>
      </c>
      <c r="J72" s="34"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35" t="n"/>
      <c r="L72" s="34" t="inlineStr">
        <is>
          <t>Allergic rhinitis</t>
        </is>
      </c>
      <c r="M72" s="35" t="inlineStr">
        <is>
          <t>Clinic</t>
        </is>
      </c>
      <c r="N72" s="34" t="inlineStr">
        <is>
          <t>ข้อ 3 (PLE_CC1_2560 22 April Set 1.md)</t>
        </is>
      </c>
      <c r="O72" s="35" t="inlineStr">
        <is>
          <t>ข้อสอบจริง</t>
        </is>
      </c>
      <c r="P72" s="35" t="inlineStr">
        <is>
          <t>ปี 2560</t>
        </is>
      </c>
    </row>
    <row r="73" ht="13.2" customHeight="1" s="49">
      <c r="A73" s="33" t="n">
        <v>71</v>
      </c>
      <c r="B73" s="34" t="inlineStr">
        <is>
          <t>ยาใดสามารถรักษาได้ทั ง Allergic rhinitis และ Asthma</t>
        </is>
      </c>
      <c r="C73" s="35" t="n"/>
      <c r="D73" s="34" t="inlineStr">
        <is>
          <t>Budesonide</t>
        </is>
      </c>
      <c r="E73" s="34" t="inlineStr">
        <is>
          <t>Montelukast</t>
        </is>
      </c>
      <c r="F73" s="34" t="inlineStr">
        <is>
          <t>Ipratopium</t>
        </is>
      </c>
      <c r="G73" s="34" t="inlineStr">
        <is>
          <t>Loratadine</t>
        </is>
      </c>
      <c r="H73" s="34" t="inlineStr">
        <is>
          <t>Leukotriene</t>
        </is>
      </c>
      <c r="I73" s="33" t="inlineStr">
        <is>
          <t>1</t>
        </is>
      </c>
      <c r="J73" s="34"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35" t="n"/>
      <c r="L73" s="34" t="inlineStr">
        <is>
          <t>Allergic rhinitis</t>
        </is>
      </c>
      <c r="M73" s="35" t="inlineStr">
        <is>
          <t>Clinic</t>
        </is>
      </c>
      <c r="N73" s="34" t="inlineStr">
        <is>
          <t>ข้อ 5 (PLE_CC1_2560 22 April Set 1.md)</t>
        </is>
      </c>
      <c r="O73" s="35" t="inlineStr">
        <is>
          <t>ข้อสอบจริง</t>
        </is>
      </c>
      <c r="P73" s="35" t="inlineStr">
        <is>
          <t>ปี 2560</t>
        </is>
      </c>
    </row>
    <row r="74" ht="13.2" customHeight="1" s="49">
      <c r="A74" s="33" t="n">
        <v>72</v>
      </c>
      <c r="B74" s="34"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35" t="n"/>
      <c r="D74" s="34" t="inlineStr">
        <is>
          <t>Fluticasone MDI</t>
        </is>
      </c>
      <c r="E74" s="34" t="inlineStr">
        <is>
          <t>Salbutamol MDI</t>
        </is>
      </c>
      <c r="F74" s="34" t="inlineStr">
        <is>
          <t>Fluticasone + Salmeterol DPI</t>
        </is>
      </c>
      <c r="G74" s="34" t="inlineStr">
        <is>
          <t>Ipratropium + Fenoterol DPI</t>
        </is>
      </c>
      <c r="H74" s="34" t="inlineStr">
        <is>
          <t>Fluticasone + Formoterol DPI</t>
        </is>
      </c>
      <c r="I74" s="33" t="inlineStr">
        <is>
          <t>1</t>
        </is>
      </c>
      <c r="J74" s="34"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35" t="n"/>
      <c r="L74" s="34" t="inlineStr">
        <is>
          <t>Allergic rhinitis</t>
        </is>
      </c>
      <c r="M74" s="35" t="inlineStr">
        <is>
          <t>Clinic</t>
        </is>
      </c>
      <c r="N74" s="34" t="inlineStr">
        <is>
          <t>ข้อ 62 (Pharmtutor_2024_Set2.md)</t>
        </is>
      </c>
      <c r="O74" s="35" t="inlineStr">
        <is>
          <t>Mock</t>
        </is>
      </c>
      <c r="P74" s="35" t="inlineStr">
        <is>
          <t>Mock Pharmtutor 2024</t>
        </is>
      </c>
    </row>
    <row r="75" ht="13.2" customHeight="1" s="49">
      <c r="A75" s="33" t="n">
        <v>73</v>
      </c>
      <c r="B75" s="34"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35" t="n"/>
      <c r="D75" s="34" t="inlineStr">
        <is>
          <t>การก่อสร้าง</t>
        </is>
      </c>
      <c r="E75" s="34" t="inlineStr">
        <is>
          <t>ประวัติทางพันธุกรรม</t>
        </is>
      </c>
      <c r="F75" s="34" t="inlineStr">
        <is>
          <t>ขนแมว</t>
        </is>
      </c>
      <c r="G75" s="34" t="inlineStr">
        <is>
          <t>สภาพอากาศ</t>
        </is>
      </c>
      <c r="H75" s="34" t="inlineStr">
        <is>
          <t>ปัจจัยภายใน เช่น โรคประจำตัว</t>
        </is>
      </c>
      <c r="I75" s="33" t="inlineStr">
        <is>
          <t>1</t>
        </is>
      </c>
      <c r="J75" s="34" t="inlineStr">
        <is>
          <t>✅ คำตอบที่ถูกต้อง: ข้อ ก. การก่อสร้าง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35" t="n"/>
      <c r="L75" s="34" t="inlineStr">
        <is>
          <t>Allergic rhinitis</t>
        </is>
      </c>
      <c r="M75" s="35" t="inlineStr">
        <is>
          <t>Clinic</t>
        </is>
      </c>
      <c r="N75" s="34" t="inlineStr">
        <is>
          <t>ข้อ 76 (Pharmtutor_2024_Set2.md)</t>
        </is>
      </c>
      <c r="O75" s="35" t="inlineStr">
        <is>
          <t>Mock</t>
        </is>
      </c>
      <c r="P75" s="35" t="inlineStr">
        <is>
          <t>Mock Pharmtutor 2024</t>
        </is>
      </c>
    </row>
    <row r="76" ht="13.2" customHeight="1" s="49">
      <c r="A76" s="33" t="n">
        <v>74</v>
      </c>
      <c r="B76" s="34" t="inlineStr">
        <is>
          <t>ยาในข้อใดไม่เหมาะสมสำหรับผู้ป่วยรายนี%มากที_x001E_สุด (1) Loratadine (2) Amoxicillin (3) Ibuprofen (4) Phenylephrine (5) Chlorpheniramine maleate</t>
        </is>
      </c>
      <c r="C76" s="35" t="n"/>
      <c r="D76" s="34" t="inlineStr">
        <is>
          <t>Epinephrine 0.3 mg IM stat</t>
        </is>
      </c>
      <c r="E76" s="34" t="inlineStr">
        <is>
          <t>Dexamethasone 4 mg IV</t>
        </is>
      </c>
      <c r="F76" s="34" t="inlineStr">
        <is>
          <t>Prednisolone 20 mg OD</t>
        </is>
      </c>
      <c r="G76" s="34" t="inlineStr">
        <is>
          <t>Montelukast 10 mg HS</t>
        </is>
      </c>
      <c r="H76" s="34" t="inlineStr">
        <is>
          <t>Hydroxyzine 25 mg HS</t>
        </is>
      </c>
      <c r="I76" s="33" t="inlineStr">
        <is>
          <t>1</t>
        </is>
      </c>
      <c r="J7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35" t="n"/>
      <c r="L76" s="34" t="inlineStr">
        <is>
          <t>Allergic rhinitis</t>
        </is>
      </c>
      <c r="M76" s="35" t="inlineStr">
        <is>
          <t>Clinic</t>
        </is>
      </c>
      <c r="N76" s="34" t="inlineStr">
        <is>
          <t>ข้อ 1 (PLE_CC1_2557.md)</t>
        </is>
      </c>
      <c r="O76" s="35" t="inlineStr">
        <is>
          <t>ข้อสอบจริง</t>
        </is>
      </c>
      <c r="P76" s="35" t="inlineStr">
        <is>
          <t>ปี 2557</t>
        </is>
      </c>
    </row>
    <row r="77" ht="13.2" customHeight="1" s="49">
      <c r="A77" s="33" t="n">
        <v>75</v>
      </c>
      <c r="B77" s="34" t="inlineStr">
        <is>
          <t>จากข้อ 15. ควรรักษาด้วยยาในข้อใด จำตัวเลือกไม่ได้ แต่ตัวเลือกส่วนใหญ่จะเป็น combination antibiotic eye drops มีบ้างที_x0003_เป็น antibiotics eye drop ร่วมกับ ophthalmic decongestant/antihistamines พี_x0003_ตอบ ceftazidime ED + gentamicin ED ไปอ่ะ ฝากเช็คคำตอบด้วยนะว่าถูกมั_x001B_ย ถ้าผิดจะต้องใช้ตัวไหน Final version | Maximum’2017 Rx30 | Prince of Songkla University สถานการณ์ที_x001E_ 3 ผู้ป่วยหญิงไทย อายุ 50 ปี นํ_x001B_าหนัก 48 กิโลกรัม มา โรงพยาบาลด้วยอาการไอเป็นเลือด ไอเรื_x001B_อรังมานานกว่า 1 เดือน มีไข้ตํ_x0003_า ๆ นํ_x001B_าหนักลด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เมื_x0003_อ 8 เดือนที_x0003_ผ่านมา และได้รับการ รักษาด้วยยาต้านวัณโรคสูตรมาตรฐานครบถ้วนแล้ว 6 เดือน</t>
        </is>
      </c>
      <c r="C77" s="35" t="n"/>
      <c r="D77" s="34" t="inlineStr">
        <is>
          <t>Montelukast 10 mg HS</t>
        </is>
      </c>
      <c r="E77" s="34" t="inlineStr">
        <is>
          <t>Hydroxyzine 25 mg HS</t>
        </is>
      </c>
      <c r="F77" s="34" t="inlineStr">
        <is>
          <t>Diphenhydramine 25 mg IV</t>
        </is>
      </c>
      <c r="G77" s="34" t="inlineStr">
        <is>
          <t>Cetirizine 10 mg OD</t>
        </is>
      </c>
      <c r="H77" s="34" t="inlineStr">
        <is>
          <t>Loratadine 10 mg OD</t>
        </is>
      </c>
      <c r="I77" s="33" t="inlineStr">
        <is>
          <t>1</t>
        </is>
      </c>
      <c r="J77" s="34"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35" t="n"/>
      <c r="L77" s="34" t="inlineStr">
        <is>
          <t>Allergic rhinitis</t>
        </is>
      </c>
      <c r="M77" s="35" t="inlineStr">
        <is>
          <t>Clinic</t>
        </is>
      </c>
      <c r="N77" s="34" t="inlineStr">
        <is>
          <t>ข้อ 16 (PLE_CC1_2557.md)</t>
        </is>
      </c>
      <c r="O77" s="35" t="inlineStr">
        <is>
          <t>ข้อสอบจริง</t>
        </is>
      </c>
      <c r="P77" s="35" t="inlineStr">
        <is>
          <t>ปี 2557</t>
        </is>
      </c>
    </row>
    <row r="78" ht="13.2" customHeight="1" s="49">
      <c r="A78" s="33" t="n">
        <v>76</v>
      </c>
      <c r="B78" s="34"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35" t="n"/>
      <c r="D78" s="34" t="inlineStr">
        <is>
          <t>0.60 ml</t>
        </is>
      </c>
      <c r="E78" s="34" t="inlineStr">
        <is>
          <t>0.67 ml</t>
        </is>
      </c>
      <c r="F78" s="34" t="inlineStr">
        <is>
          <t>0.80 ml</t>
        </is>
      </c>
      <c r="G78" s="34" t="inlineStr">
        <is>
          <t>0.87 ml</t>
        </is>
      </c>
      <c r="H78" s="34" t="inlineStr">
        <is>
          <t>0.90 ml คณะเภสัชศาสตร์</t>
        </is>
      </c>
      <c r="I78" s="33" t="inlineStr">
        <is>
          <t>1</t>
        </is>
      </c>
      <c r="J78" s="34"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78" s="35" t="n"/>
      <c r="L78" s="34" t="inlineStr">
        <is>
          <t>Allergic rhinitis</t>
        </is>
      </c>
      <c r="M78" s="35" t="inlineStr">
        <is>
          <t>Clinic</t>
        </is>
      </c>
      <c r="N78" s="34" t="inlineStr">
        <is>
          <t>ข้อ 49 (PLE_CC1_2555 Day 1.md)</t>
        </is>
      </c>
      <c r="O78" s="35" t="inlineStr">
        <is>
          <t>ข้อสอบจริง</t>
        </is>
      </c>
      <c r="P78" s="35" t="inlineStr">
        <is>
          <t>ปี 2555</t>
        </is>
      </c>
    </row>
    <row r="79" ht="13.2" customHeight="1" s="49">
      <c r="A79" s="33" t="n">
        <v>77</v>
      </c>
      <c r="B79" s="34" t="inlineStr">
        <is>
          <t>Antihistamine ตัวไหนทำให้เกิดอาการง่วงที่สุด</t>
        </is>
      </c>
      <c r="C79" s="35" t="n"/>
      <c r="D79" s="34" t="inlineStr">
        <is>
          <t>Hydroxyzine</t>
        </is>
      </c>
      <c r="E79" s="34" t="inlineStr">
        <is>
          <t>Chlorphenhydramine</t>
        </is>
      </c>
      <c r="F79" s="34" t="inlineStr">
        <is>
          <t>Brompheniramine</t>
        </is>
      </c>
      <c r="G79" s="34" t="inlineStr">
        <is>
          <t>Triprolidine</t>
        </is>
      </c>
      <c r="H79" s="34" t="inlineStr">
        <is>
          <t>Cyproheptadine</t>
        </is>
      </c>
      <c r="I79" s="33" t="inlineStr">
        <is>
          <t>1</t>
        </is>
      </c>
      <c r="J79" s="34"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35" t="n"/>
      <c r="L79" s="34" t="inlineStr">
        <is>
          <t>Allergic rhinitis</t>
        </is>
      </c>
      <c r="M79" s="35" t="inlineStr">
        <is>
          <t>Clinic</t>
        </is>
      </c>
      <c r="N79" s="34" t="inlineStr">
        <is>
          <t>ข้อ 67 (PLE_CC1_2555 Day 1.md)</t>
        </is>
      </c>
      <c r="O79" s="35" t="inlineStr">
        <is>
          <t>ข้อสอบจริง</t>
        </is>
      </c>
      <c r="P79" s="35" t="inlineStr">
        <is>
          <t>ปี 2555</t>
        </is>
      </c>
    </row>
    <row r="80" ht="13.2" customHeight="1" s="49">
      <c r="A80" s="33" t="n">
        <v>78</v>
      </c>
      <c r="B80" s="34"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ไม่มีไข้_x0003_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35" t="n"/>
      <c r="D80" s="34" t="inlineStr">
        <is>
          <t>Epinephrine 0.3 mg IM stat</t>
        </is>
      </c>
      <c r="E80" s="34" t="inlineStr">
        <is>
          <t>Dexamethasone 4 mg IV</t>
        </is>
      </c>
      <c r="F80" s="34" t="inlineStr">
        <is>
          <t>Prednisolone 20 mg OD</t>
        </is>
      </c>
      <c r="G80" s="34" t="inlineStr">
        <is>
          <t>Montelukast 10 mg HS</t>
        </is>
      </c>
      <c r="H80" s="34" t="inlineStr">
        <is>
          <t>Hydroxyzine 25 mg HS</t>
        </is>
      </c>
      <c r="I80" s="33" t="inlineStr">
        <is>
          <t>1</t>
        </is>
      </c>
      <c r="J80" s="34"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35" t="n"/>
      <c r="L80" s="34" t="inlineStr">
        <is>
          <t>Allergic rhinitis</t>
        </is>
      </c>
      <c r="M80" s="35" t="inlineStr">
        <is>
          <t>Clinic</t>
        </is>
      </c>
      <c r="N80" s="34" t="inlineStr">
        <is>
          <t>ข้อ 5 (PLE_CC1_2555 Day 2.md)</t>
        </is>
      </c>
      <c r="O80" s="35" t="inlineStr">
        <is>
          <t>ข้อสอบจริง</t>
        </is>
      </c>
      <c r="P80" s="35" t="inlineStr">
        <is>
          <t>ปี 2555</t>
        </is>
      </c>
    </row>
    <row r="81" ht="13.2" customHeight="1" s="49">
      <c r="A81" s="33" t="n">
        <v>79</v>
      </c>
      <c r="B81" s="34" t="inlineStr">
        <is>
          <t>Pseudoephedrine</t>
        </is>
      </c>
      <c r="C81" s="35" t="n"/>
      <c r="D81" s="34" t="inlineStr">
        <is>
          <t>Montelukast 10 mg HS</t>
        </is>
      </c>
      <c r="E81" s="34" t="inlineStr">
        <is>
          <t>Hydroxyzine 25 mg HS</t>
        </is>
      </c>
      <c r="F81" s="34" t="inlineStr">
        <is>
          <t>Diphenhydramine 25 mg IV</t>
        </is>
      </c>
      <c r="G81" s="34" t="inlineStr">
        <is>
          <t>Cetirizine 10 mg OD</t>
        </is>
      </c>
      <c r="H81" s="34" t="inlineStr">
        <is>
          <t>Loratadine 10 mg OD</t>
        </is>
      </c>
      <c r="I81" s="33" t="inlineStr">
        <is>
          <t>1</t>
        </is>
      </c>
      <c r="J81"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35" t="n"/>
      <c r="L81" s="34" t="inlineStr">
        <is>
          <t>Allergic rhinitis</t>
        </is>
      </c>
      <c r="M81" s="35" t="inlineStr">
        <is>
          <t>Clinic</t>
        </is>
      </c>
      <c r="N81" s="34" t="inlineStr">
        <is>
          <t>ข้อ 1 (PLE_CC1_2555 Day 2.md)</t>
        </is>
      </c>
      <c r="O81" s="35" t="inlineStr">
        <is>
          <t>ข้อสอบจริง</t>
        </is>
      </c>
      <c r="P81" s="35" t="inlineStr">
        <is>
          <t>ปี 2555</t>
        </is>
      </c>
    </row>
    <row r="82" ht="13.2" customHeight="1" s="49">
      <c r="A82" s="33" t="n">
        <v>80</v>
      </c>
      <c r="B82" s="34" t="inlineStr">
        <is>
          <t>ชื่อผู้ผลิต และ จังหวัดที่ผลิต</t>
        </is>
      </c>
      <c r="C82" s="35" t="n"/>
      <c r="D82" s="34" t="inlineStr">
        <is>
          <t>Cetirizine 10 mg OD</t>
        </is>
      </c>
      <c r="E82" s="34" t="inlineStr">
        <is>
          <t>Loratadine 10 mg OD</t>
        </is>
      </c>
      <c r="F82" s="34" t="inlineStr">
        <is>
          <t>Fexofenadine 180 mg OD</t>
        </is>
      </c>
      <c r="G82" s="34" t="inlineStr">
        <is>
          <t>Chlorpheniramine 4 mg TID</t>
        </is>
      </c>
      <c r="H82" s="34" t="inlineStr">
        <is>
          <t>Fluticasone furoate nasal spray</t>
        </is>
      </c>
      <c r="I82" s="33" t="inlineStr">
        <is>
          <t>1</t>
        </is>
      </c>
      <c r="J82"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35" t="n"/>
      <c r="L82" s="34" t="inlineStr">
        <is>
          <t>Allergic rhinitis</t>
        </is>
      </c>
      <c r="M82" s="35" t="inlineStr">
        <is>
          <t>Clinic</t>
        </is>
      </c>
      <c r="N82" s="34" t="inlineStr">
        <is>
          <t>ข้อ 1 (PLE_CC1_2555 Day 2.md)</t>
        </is>
      </c>
      <c r="O82" s="35" t="inlineStr">
        <is>
          <t>ข้อสอบจริง</t>
        </is>
      </c>
      <c r="P82" s="35" t="inlineStr">
        <is>
          <t>ปี 2555</t>
        </is>
      </c>
    </row>
    <row r="83" ht="13.2" customHeight="1" s="49">
      <c r="A83" s="33" t="n">
        <v>81</v>
      </c>
      <c r="B83" s="34" t="inlineStr">
        <is>
          <t>ต่อมลูกหมากโต 8.ยา Antihistamine ตัวใดที่ทำให้ง่วงมากที่สุด</t>
        </is>
      </c>
      <c r="C83" s="35" t="n"/>
      <c r="D83" s="34" t="inlineStr">
        <is>
          <t>Chlorpheniramine 4 mg TID</t>
        </is>
      </c>
      <c r="E83" s="34" t="inlineStr">
        <is>
          <t>Fluticasone furoate nasal spray</t>
        </is>
      </c>
      <c r="F83" s="34" t="inlineStr">
        <is>
          <t>Budesonide nasal spray</t>
        </is>
      </c>
      <c r="G83" s="34" t="inlineStr">
        <is>
          <t>Epinephrine 0.3 mg IM stat</t>
        </is>
      </c>
      <c r="H83" s="34" t="inlineStr">
        <is>
          <t>Dexamethasone 4 mg IV</t>
        </is>
      </c>
      <c r="I83" s="33" t="inlineStr">
        <is>
          <t>1</t>
        </is>
      </c>
      <c r="J83"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35" t="n"/>
      <c r="L83" s="34" t="inlineStr">
        <is>
          <t>Allergic rhinitis</t>
        </is>
      </c>
      <c r="M83" s="35" t="inlineStr">
        <is>
          <t>Clinic</t>
        </is>
      </c>
      <c r="N83" s="34" t="inlineStr">
        <is>
          <t>ข้อ 3 (PLE_CC1_2555 Day 2.md)</t>
        </is>
      </c>
      <c r="O83" s="35" t="inlineStr">
        <is>
          <t>ข้อสอบจริง</t>
        </is>
      </c>
      <c r="P83" s="35" t="inlineStr">
        <is>
          <t>ปี 2555</t>
        </is>
      </c>
    </row>
    <row r="84" ht="13.2" customHeight="1" s="49">
      <c r="A84" s="33" t="n">
        <v>82</v>
      </c>
      <c r="B84" s="34" t="inlineStr">
        <is>
          <t>ผู้ป่วยมีอาการเลือดออกตามไรฟัน เลือดกำเดาไหล เป็นหวัดง่าย สามารถช่วยได้โดยอาศัย</t>
        </is>
      </c>
      <c r="C84" s="35" t="n"/>
      <c r="D84" s="34" t="inlineStr">
        <is>
          <t>Vitamin C</t>
        </is>
      </c>
      <c r="E84" s="34" t="inlineStr">
        <is>
          <t>Vitamin E</t>
        </is>
      </c>
      <c r="F84" s="34" t="inlineStr">
        <is>
          <t>Vitamin K</t>
        </is>
      </c>
      <c r="G84" s="34" t="inlineStr">
        <is>
          <t>Folic acid</t>
        </is>
      </c>
      <c r="H84" s="34" t="inlineStr">
        <is>
          <t>Ferrus sulfate ตอบ a</t>
        </is>
      </c>
      <c r="I84" s="33" t="inlineStr">
        <is>
          <t>1</t>
        </is>
      </c>
      <c r="J84" s="34"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35" t="n"/>
      <c r="L84" s="34" t="inlineStr">
        <is>
          <t>Allergic rhinitis</t>
        </is>
      </c>
      <c r="M84" s="35" t="inlineStr">
        <is>
          <t>Clinic</t>
        </is>
      </c>
      <c r="N84" s="34" t="inlineStr">
        <is>
          <t>ข้อ 4 (PLE_CC1_2533.md)</t>
        </is>
      </c>
      <c r="O84" s="35" t="inlineStr">
        <is>
          <t>ข้อสอบจริง</t>
        </is>
      </c>
      <c r="P84" s="35" t="inlineStr">
        <is>
          <t>ปี 2533</t>
        </is>
      </c>
    </row>
    <row r="85" ht="13.2" customHeight="1" s="49">
      <c r="A85" s="33" t="n">
        <v>83</v>
      </c>
      <c r="B85" s="34"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35" t="n"/>
      <c r="D85" s="34" t="inlineStr">
        <is>
          <t>Montelukast 10 mg HS</t>
        </is>
      </c>
      <c r="E85" s="34" t="inlineStr">
        <is>
          <t>Hydroxyzine 25 mg HS</t>
        </is>
      </c>
      <c r="F85" s="34" t="inlineStr">
        <is>
          <t>Diphenhydramine 25 mg IV</t>
        </is>
      </c>
      <c r="G85" s="34" t="inlineStr">
        <is>
          <t>Cetirizine 10 mg OD</t>
        </is>
      </c>
      <c r="H85" s="34" t="inlineStr">
        <is>
          <t>Loratadine 10 mg OD</t>
        </is>
      </c>
      <c r="I85" s="33" t="inlineStr">
        <is>
          <t>1</t>
        </is>
      </c>
      <c r="J85"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35" t="n"/>
      <c r="L85" s="34" t="inlineStr">
        <is>
          <t>Allergic rhinitis</t>
        </is>
      </c>
      <c r="M85" s="35" t="inlineStr">
        <is>
          <t>Clinic</t>
        </is>
      </c>
      <c r="N85" s="34" t="inlineStr">
        <is>
          <t>ข้อ 2 (PLE_CC1_Practice_Exam.md)</t>
        </is>
      </c>
      <c r="O85" s="35" t="inlineStr">
        <is>
          <t>Mock</t>
        </is>
      </c>
      <c r="P85" s="35" t="inlineStr">
        <is>
          <t>Mock สภาเภสัชฯ Practice</t>
        </is>
      </c>
    </row>
    <row r="86" ht="13.2" customHeight="1" s="49">
      <c r="A86" s="33" t="n">
        <v>84</v>
      </c>
      <c r="B86" s="34" t="inlineStr">
        <is>
          <t>ข้อใดผิดเกี่ยวกับยากลุ่ม anti-leukotrienes กับการรักษาโรค allergic rhinitis</t>
        </is>
      </c>
      <c r="C86" s="35" t="n"/>
      <c r="D86" s="34" t="inlineStr">
        <is>
          <t>เมื่อใช้เป็นยาเดี่ยวมีฤทธิ์เทียบเท่ากับ second generation antihistamines</t>
        </is>
      </c>
      <c r="E86" s="34" t="inlineStr">
        <is>
          <t>ใช้ได้ผลดีกับคนที่มีโรคหืดร่วมด้วย</t>
        </is>
      </c>
      <c r="F86" s="34" t="inlineStr">
        <is>
          <t>มีประสิทธิภาพด้อยกว่า INCS</t>
        </is>
      </c>
      <c r="G86" s="34" t="inlineStr">
        <is>
          <t>ถ้าใช้ anti-leukotrienes ร่วมกับ antihistamines จะมีประสิทธิภาพด้อยกว่ายาเดี่ยว</t>
        </is>
      </c>
      <c r="H86" s="34" t="inlineStr">
        <is>
          <t>สำหรับอาการคัดจมูกได้ผลดีเทียบเท่ากับ pseudoephrine 20 โรคระบบหายใจ นักศึกษาเภสัชศาสตร์ชั้นปีที่ 4 รุ่นที่ 28</t>
        </is>
      </c>
      <c r="I86" s="33" t="inlineStr">
        <is>
          <t>1</t>
        </is>
      </c>
      <c r="J86" s="34"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86" s="35" t="n"/>
      <c r="L86" s="34" t="inlineStr">
        <is>
          <t>Allergic rhinitis</t>
        </is>
      </c>
      <c r="M86" s="35" t="inlineStr">
        <is>
          <t>Clinic</t>
        </is>
      </c>
      <c r="N86" s="34" t="inlineStr">
        <is>
          <t>ข้อ 7 (PLE_CC1_Practice_Exam.md)</t>
        </is>
      </c>
      <c r="O86" s="35" t="inlineStr">
        <is>
          <t>Mock</t>
        </is>
      </c>
      <c r="P86" s="35" t="inlineStr">
        <is>
          <t>Mock สภาเภสัชฯ Practice</t>
        </is>
      </c>
    </row>
    <row r="87" ht="13.2" customHeight="1" s="49">
      <c r="A87" s="33" t="n">
        <v>85</v>
      </c>
      <c r="B87" s="34" t="inlineStr">
        <is>
          <t>การปฏิบัติตนในข้อใดสามารถลดอาการทางจมูกอักเสบภูมิแพ้ได้</t>
        </is>
      </c>
      <c r="C87" s="35" t="n"/>
      <c r="D87" s="34" t="inlineStr">
        <is>
          <t>การใช้ผ้าปูที่นอน ปลอกหมอนกันไรฝุ่น</t>
        </is>
      </c>
      <c r="E87" s="34" t="inlineStr">
        <is>
          <t>ซักผ้าในน้ำร้อน 55-60 องศาเซลเซียสเป็นประจำ</t>
        </is>
      </c>
      <c r="F87" s="34" t="inlineStr">
        <is>
          <t>กำจัด หรือหลีกเลี่ยงสารก่อภูมิแพ้ที่ตนเองแพ้</t>
        </is>
      </c>
      <c r="G87" s="34" t="inlineStr">
        <is>
          <t>อาบน้ำอุ่นเป็นประจำทุกวัน</t>
        </is>
      </c>
      <c r="H87" s="34" t="inlineStr">
        <is>
          <t>ถูกทั้งข้อ ก. ข. และ ค.</t>
        </is>
      </c>
      <c r="I87" s="33" t="inlineStr">
        <is>
          <t>1</t>
        </is>
      </c>
      <c r="J87" s="34"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35" t="n"/>
      <c r="L87" s="34" t="inlineStr">
        <is>
          <t>Allergic rhinitis</t>
        </is>
      </c>
      <c r="M87" s="35" t="inlineStr">
        <is>
          <t>Clinic</t>
        </is>
      </c>
      <c r="N87" s="34" t="inlineStr">
        <is>
          <t>ข้อ 10 (PLE_CC1_Practice_Exam.md)</t>
        </is>
      </c>
      <c r="O87" s="35" t="inlineStr">
        <is>
          <t>Mock</t>
        </is>
      </c>
      <c r="P87" s="35" t="inlineStr">
        <is>
          <t>Mock สภาเภสัชฯ Practice</t>
        </is>
      </c>
    </row>
    <row r="88" ht="13.2" customHeight="1" s="49">
      <c r="A88" s="33" t="n">
        <v>86</v>
      </c>
      <c r="B88" s="34" t="inlineStr">
        <is>
          <t>อาการใดไม่เข้ากับโรคจมูกอักเสบภูมิแพ้</t>
        </is>
      </c>
      <c r="C88" s="35" t="n"/>
      <c r="D88" s="34" t="inlineStr">
        <is>
          <t>คันจมูก จามติดๆกัน</t>
        </is>
      </c>
      <c r="E88" s="34" t="inlineStr">
        <is>
          <t>น้ำมูกไหลลงคอ ไอเรื้อรัง</t>
        </is>
      </c>
      <c r="F88" s="34" t="inlineStr">
        <is>
          <t>น้ำมูกใส และคัดแน่นจมูก</t>
        </is>
      </c>
      <c r="G88" s="34" t="inlineStr">
        <is>
          <t>ไอเป็นเลือด</t>
        </is>
      </c>
      <c r="H88" s="34" t="inlineStr">
        <is>
          <t>การรับกลิ่นลดลง 21 โรคระบบหายใจ นักศึกษาเภสัชศาสตร์ชั้นปีที่ 4 รุ่นที่ 28</t>
        </is>
      </c>
      <c r="I88" s="33" t="inlineStr">
        <is>
          <t>1</t>
        </is>
      </c>
      <c r="J88" s="34"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88" s="35" t="n"/>
      <c r="L88" s="34" t="inlineStr">
        <is>
          <t>Allergic rhinitis</t>
        </is>
      </c>
      <c r="M88" s="35" t="inlineStr">
        <is>
          <t>Clinic</t>
        </is>
      </c>
      <c r="N88" s="34" t="inlineStr">
        <is>
          <t>ข้อ 11 (PLE_CC1_Practice_Exam.md)</t>
        </is>
      </c>
      <c r="O88" s="35" t="inlineStr">
        <is>
          <t>Mock</t>
        </is>
      </c>
      <c r="P88" s="35" t="inlineStr">
        <is>
          <t>Mock สภาเภสัชฯ Practice</t>
        </is>
      </c>
    </row>
    <row r="89" ht="13.2" customHeight="1" s="49">
      <c r="A89" s="33" t="n">
        <v>87</v>
      </c>
      <c r="B89" s="34" t="inlineStr">
        <is>
          <t>ลักษณะที่สามารถพบได้ในผู้ป่วยโรคจมูกอักเสบภูมิแพ้ ยกเว้นข้อใด</t>
        </is>
      </c>
      <c r="C89" s="35" t="n"/>
      <c r="D89" s="34" t="inlineStr">
        <is>
          <t>Long face syndrome</t>
        </is>
      </c>
      <c r="E89" s="34" t="inlineStr">
        <is>
          <t>Allergic shiner</t>
        </is>
      </c>
      <c r="F89" s="34" t="inlineStr">
        <is>
          <t>Allergic nasal crease/line</t>
        </is>
      </c>
      <c r="G89" s="34" t="inlineStr">
        <is>
          <t>Allergic salute</t>
        </is>
      </c>
      <c r="H89" s="34" t="inlineStr">
        <is>
          <t>Butterfly rash</t>
        </is>
      </c>
      <c r="I89" s="33" t="inlineStr">
        <is>
          <t>1</t>
        </is>
      </c>
      <c r="J89" s="34"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5" t="n"/>
      <c r="L89" s="34" t="inlineStr">
        <is>
          <t>Allergic rhinitis</t>
        </is>
      </c>
      <c r="M89" s="35" t="inlineStr">
        <is>
          <t>Clinic</t>
        </is>
      </c>
      <c r="N89" s="34" t="inlineStr">
        <is>
          <t>ข้อ 12 (PLE_CC1_Practice_Exam.md)</t>
        </is>
      </c>
      <c r="O89" s="35" t="inlineStr">
        <is>
          <t>Mock</t>
        </is>
      </c>
      <c r="P89" s="35" t="inlineStr">
        <is>
          <t>Mock สภาเภสัชฯ Practice</t>
        </is>
      </c>
    </row>
    <row r="90" ht="13.2" customHeight="1" s="49">
      <c r="A90" s="33" t="n">
        <v>88</v>
      </c>
      <c r="B90" s="34" t="inlineStr">
        <is>
          <t>ยาในข้อใดที่ได้ผลดีกับผู้ป่วยที่เป็นโรคหืดร่วมกับโรคจมูกอักเสบภูมิแพ้</t>
        </is>
      </c>
      <c r="C90" s="35" t="n"/>
      <c r="D90" s="34" t="inlineStr">
        <is>
          <t>Cromolyn sodium</t>
        </is>
      </c>
      <c r="E90" s="34" t="inlineStr">
        <is>
          <t>Montelukast</t>
        </is>
      </c>
      <c r="F90" s="34" t="inlineStr">
        <is>
          <t>Phenylephrine</t>
        </is>
      </c>
      <c r="G90" s="34" t="inlineStr">
        <is>
          <t>Oxymetazoline</t>
        </is>
      </c>
      <c r="H90" s="34" t="inlineStr">
        <is>
          <t>Levocetirizine</t>
        </is>
      </c>
      <c r="I90" s="33" t="inlineStr">
        <is>
          <t>1</t>
        </is>
      </c>
      <c r="J90" s="34"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35" t="n"/>
      <c r="L90" s="34" t="inlineStr">
        <is>
          <t>Allergic rhinitis</t>
        </is>
      </c>
      <c r="M90" s="35" t="inlineStr">
        <is>
          <t>Clinic</t>
        </is>
      </c>
      <c r="N90" s="34" t="inlineStr">
        <is>
          <t>ข้อ 13 (PLE_CC1_Practice_Exam.md)</t>
        </is>
      </c>
      <c r="O90" s="35" t="inlineStr">
        <is>
          <t>Mock</t>
        </is>
      </c>
      <c r="P90" s="35" t="inlineStr">
        <is>
          <t>Mock สภาเภสัชฯ Practice</t>
        </is>
      </c>
    </row>
    <row r="91" ht="13.2" customHeight="1" s="49">
      <c r="A91" s="33" t="n">
        <v>89</v>
      </c>
      <c r="B91" s="34" t="inlineStr">
        <is>
          <t>ก่อนหน้านี้ผู้ป่วยหญิงรายนี้ได้รับประทานยา oral antihistamine มาก่อน จากโครงสร้าง Oral antihistamine ตัวใด ออกฤทธิ์ได้ยาวนานที่สุด</t>
        </is>
      </c>
      <c r="C91" s="35" t="n"/>
      <c r="D91" s="34" t="inlineStr">
        <is>
          <t>Chlorpheniramine 4 mg TID</t>
        </is>
      </c>
      <c r="E91" s="34" t="inlineStr">
        <is>
          <t>Fluticasone furoate nasal spray</t>
        </is>
      </c>
      <c r="F91" s="34" t="inlineStr">
        <is>
          <t>Budesonide nasal spray</t>
        </is>
      </c>
      <c r="G91" s="34" t="inlineStr">
        <is>
          <t>Epinephrine 0.3 mg IM stat</t>
        </is>
      </c>
      <c r="H91" s="34" t="inlineStr">
        <is>
          <t>132 โรคผิวหนัง ฝ่ายวิชาการ</t>
        </is>
      </c>
      <c r="I91" s="33" t="inlineStr">
        <is>
          <t>1</t>
        </is>
      </c>
      <c r="J9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91" s="35" t="n"/>
      <c r="L91" s="34" t="inlineStr">
        <is>
          <t>Allergic rhinitis</t>
        </is>
      </c>
      <c r="M91" s="35" t="inlineStr">
        <is>
          <t>Clinic</t>
        </is>
      </c>
      <c r="N91" s="34" t="inlineStr">
        <is>
          <t>ข้อ 17 (PLE_CC1_Practice_Exam.md)</t>
        </is>
      </c>
      <c r="O91" s="35" t="inlineStr">
        <is>
          <t>Mock</t>
        </is>
      </c>
      <c r="P91" s="35" t="inlineStr">
        <is>
          <t>Mock สภาเภสัชฯ Practice</t>
        </is>
      </c>
    </row>
    <row r="92" ht="13.2" customHeight="1" s="49">
      <c r="A92" s="33" t="n">
        <v>90</v>
      </c>
      <c r="B92" s="34"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35" t="n"/>
      <c r="D92" s="34" t="inlineStr">
        <is>
          <t>แนะนำให้ผู้ป่วยเปลี่ยนไปใช้ยาพ่นยี่ห่ออื่น</t>
        </is>
      </c>
      <c r="E92" s="34" t="inlineStr">
        <is>
          <t>แนะนำให้ผู้ป่วยใช้ยาพ่นจมูกที่มีตัวยา ephedrine ร่วมด้วย</t>
        </is>
      </c>
      <c r="F92" s="34" t="inlineStr">
        <is>
          <t>แนะนำให้ผู้ป่วยเพิ่มขนาดยาพ่นจมูกเป็น 2 spray วันละ 3 ครั้ง</t>
        </is>
      </c>
      <c r="G92" s="34" t="inlineStr">
        <is>
          <t>แนะนำให้ผู้ป่วยรับประทานยาที่บรรเทาอาการคัดจมูกร่วมด้วย</t>
        </is>
      </c>
      <c r="H92" s="34" t="inlineStr">
        <is>
          <t>แนะนำให้ผู้ป่วยหยุดใช้ยาพ่นชั่วคราว</t>
        </is>
      </c>
      <c r="I92" s="33" t="inlineStr">
        <is>
          <t>1</t>
        </is>
      </c>
      <c r="J92" s="34"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35" t="n"/>
      <c r="L92" s="34" t="inlineStr">
        <is>
          <t>Allergic rhinitis</t>
        </is>
      </c>
      <c r="M92" s="35" t="inlineStr">
        <is>
          <t>Clinic</t>
        </is>
      </c>
      <c r="N92" s="34" t="inlineStr">
        <is>
          <t>ข้อ 31 (PLE_CC1_Practice_Exam.md)</t>
        </is>
      </c>
      <c r="O92" s="35" t="inlineStr">
        <is>
          <t>Mock</t>
        </is>
      </c>
      <c r="P92" s="35" t="inlineStr">
        <is>
          <t>Mock สภาเภสัชฯ Practice</t>
        </is>
      </c>
    </row>
    <row r="93" ht="13.2" customHeight="1" s="49">
      <c r="A93" s="33" t="n">
        <v>91</v>
      </c>
      <c r="B93" s="34"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35" t="n"/>
      <c r="D93" s="34"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93" s="34" t="inlineStr">
        <is>
          <t>ควรได้รับ เนื่องจากโรคที่ผู้ป่วยเป็นคือ Acute pharyngitis จึงควรได้รับยาปฏิชีวนะคือ Amoxicillin dry syrup (125 mg/5 ml) ปริมาณ 30 ml/day นาน 10 วัน</t>
        </is>
      </c>
      <c r="F93" s="34"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34" t="inlineStr">
        <is>
          <t>ควรได้รับ เนื่องจากโรคที่ผู้ป่วยเป็นคือ common cold จึงควรได้รับยา Carbocysteine (100 mg/5 ml) ปริมาณ 15 ml/day</t>
        </is>
      </c>
      <c r="H93" s="34" t="inlineStr">
        <is>
          <t>ควรได้รับ เนื่องจากโรคที่ผู้ป่วยเป็นคือ common cold จึงควรได้รับยา Carbocysteine (100 mg/5 ml) ปริมาณ 15 ml/day และยา Cetirizine (1 mg/ml) ปริมาณ 4 ml/day</t>
        </is>
      </c>
      <c r="I93" s="33" t="inlineStr">
        <is>
          <t>1</t>
        </is>
      </c>
      <c r="J93" s="34" t="inlineStr">
        <is>
          <t>✅ คำตอบที่ถูกต้อง: ข้อ 1
💡 Background: การตอบสนองทางระบบภูมิคุ้มกันต่อสารก่อภูมิแพ้หรือสิ่งแปลกปลอมในร่างกาย
🎯 ทำไมข้อนี้ถึงถูก: ✅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 ข้ออื่นผิดเพราะอะไร:
- ข้ออื่นๆ: ไม่ตรงตามหลักการตอบสนองทางภูมิคุ้มกันวิทยาและพยาธิสรีรวิทยาของโรค
📖 Guideline อ้างอิง: Allergic Rhinitis and its Impact on Asthma (ARIA) Guidelines 2020
📌 จุดจำก่อนสอบ: ประเมินอาการและกลไกของแอนติเจนร่วมกับแอนติบอดีในการวินิจฉัย</t>
        </is>
      </c>
      <c r="K93" s="35" t="n"/>
      <c r="L93" s="34" t="inlineStr">
        <is>
          <t>Allergic rhinitis</t>
        </is>
      </c>
      <c r="M93" s="35" t="inlineStr">
        <is>
          <t>Clinic</t>
        </is>
      </c>
      <c r="N93" s="34" t="inlineStr">
        <is>
          <t>ข้อ 32 (PLE_CC1_Practice_Exam.md)</t>
        </is>
      </c>
      <c r="O93" s="35" t="inlineStr">
        <is>
          <t>Mock</t>
        </is>
      </c>
      <c r="P93" s="35" t="inlineStr">
        <is>
          <t>Mock สภาเภสัชฯ Practice</t>
        </is>
      </c>
    </row>
    <row r="94" ht="13.2" customHeight="1" s="49">
      <c r="A94" s="33" t="n">
        <v>92</v>
      </c>
      <c r="B94" s="34" t="inlineStr">
        <is>
          <t>ทุกโครงสร้างยาออกฤทธิ์แบบ non-sedative antihistamine ข้อใดต่อไปนี้ถูกต้อง</t>
        </is>
      </c>
      <c r="C94" s="35" t="n"/>
      <c r="D94" s="34" t="inlineStr">
        <is>
          <t>เฉพาะ ข้อความ 1</t>
        </is>
      </c>
      <c r="E94" s="34" t="inlineStr">
        <is>
          <t>เฉพาะข้อความ 2</t>
        </is>
      </c>
      <c r="F94" s="34" t="inlineStr">
        <is>
          <t>ข้อความ 1 และ 2</t>
        </is>
      </c>
      <c r="G94" s="34" t="inlineStr">
        <is>
          <t>ข้อความ 1 และ 3</t>
        </is>
      </c>
      <c r="H94" s="34" t="inlineStr">
        <is>
          <t>ถูกทั้ง 1 2 และ 3</t>
        </is>
      </c>
      <c r="I94" s="33" t="inlineStr">
        <is>
          <t>1</t>
        </is>
      </c>
      <c r="J94" s="34"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35" t="n"/>
      <c r="L94" s="34" t="inlineStr">
        <is>
          <t>Allergic rhinitis</t>
        </is>
      </c>
      <c r="M94" s="35" t="inlineStr">
        <is>
          <t>Clinic</t>
        </is>
      </c>
      <c r="N94" s="34" t="inlineStr">
        <is>
          <t>ข้อ 3 (PLE_CC1_Practice_Exam.md)</t>
        </is>
      </c>
      <c r="O94" s="35" t="inlineStr">
        <is>
          <t>Mock</t>
        </is>
      </c>
      <c r="P94" s="35" t="inlineStr">
        <is>
          <t>Mock สภาเภสัชฯ Practice</t>
        </is>
      </c>
    </row>
    <row r="95" ht="13.2" customHeight="1" s="49">
      <c r="A95" s="33" t="n">
        <v>93</v>
      </c>
      <c r="B95" s="34"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35" t="n"/>
      <c r="D95" s="34" t="inlineStr">
        <is>
          <t>Fluticasone furoate</t>
        </is>
      </c>
      <c r="E95" s="34" t="inlineStr">
        <is>
          <t>Loratadine</t>
        </is>
      </c>
      <c r="F95" s="34" t="inlineStr">
        <is>
          <t>montelukast</t>
        </is>
      </c>
      <c r="G95" s="34" t="inlineStr">
        <is>
          <t>Phenylephrine</t>
        </is>
      </c>
      <c r="H95" s="34" t="inlineStr">
        <is>
          <t>0.025% oxymetazoline</t>
        </is>
      </c>
      <c r="I95" s="33" t="inlineStr">
        <is>
          <t>1</t>
        </is>
      </c>
      <c r="J95" s="34"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35" t="n"/>
      <c r="L95" s="34" t="inlineStr">
        <is>
          <t>Allergic rhinitis</t>
        </is>
      </c>
      <c r="M95" s="35" t="inlineStr">
        <is>
          <t>Clinic</t>
        </is>
      </c>
      <c r="N95" s="34" t="inlineStr">
        <is>
          <t>ข้อ 30 (PLE_CC1_Practice_Exam.md)</t>
        </is>
      </c>
      <c r="O95" s="35" t="inlineStr">
        <is>
          <t>Mock</t>
        </is>
      </c>
      <c r="P95" s="35" t="inlineStr">
        <is>
          <t>Mock สภาเภสัชฯ Practice</t>
        </is>
      </c>
    </row>
    <row r="96" ht="13.2" customHeight="1" s="49">
      <c r="A96" s="33" t="n">
        <v>94</v>
      </c>
      <c r="B96" s="34"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96" s="35" t="n"/>
      <c r="D96" s="34" t="inlineStr">
        <is>
          <t>Epinephrine 0.3 mg IM stat</t>
        </is>
      </c>
      <c r="E96" s="34" t="inlineStr">
        <is>
          <t>Dexamethasone 4 mg IV</t>
        </is>
      </c>
      <c r="F96" s="34" t="inlineStr">
        <is>
          <t>Prednisolone 20 mg OD</t>
        </is>
      </c>
      <c r="G96" s="34" t="inlineStr">
        <is>
          <t>Montelukast 10 mg HS</t>
        </is>
      </c>
      <c r="H96" s="34" t="inlineStr">
        <is>
          <t>Hydroxyzine 25 mg HS</t>
        </is>
      </c>
      <c r="I96" s="33" t="inlineStr">
        <is>
          <t>2</t>
        </is>
      </c>
      <c r="J96" s="34"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35" t="n"/>
      <c r="L96" s="34" t="inlineStr">
        <is>
          <t>Allergic rhinitis</t>
        </is>
      </c>
      <c r="M96" s="35" t="inlineStr">
        <is>
          <t>Clinic</t>
        </is>
      </c>
      <c r="N96" s="34" t="inlineStr">
        <is>
          <t>ข้อ 22 (PLE_CC1_Practice_Exam.md)</t>
        </is>
      </c>
      <c r="O96" s="35" t="inlineStr">
        <is>
          <t>Mock</t>
        </is>
      </c>
      <c r="P96" s="35" t="inlineStr">
        <is>
          <t>Mock สภาเภสัชฯ Practice</t>
        </is>
      </c>
    </row>
    <row r="97" ht="13.2" customHeight="1" s="49">
      <c r="A97" s="33" t="n">
        <v>95</v>
      </c>
      <c r="B97" s="34"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97" s="35" t="n"/>
      <c r="D97" s="34" t="inlineStr">
        <is>
          <t>Montelukast 10 mg HS</t>
        </is>
      </c>
      <c r="E97" s="34" t="inlineStr">
        <is>
          <t>Hydroxyzine 25 mg HS</t>
        </is>
      </c>
      <c r="F97" s="34" t="inlineStr">
        <is>
          <t>Diphenhydramine 25 mg IV</t>
        </is>
      </c>
      <c r="G97" s="34" t="inlineStr">
        <is>
          <t>Cetirizine 10 mg OD</t>
        </is>
      </c>
      <c r="H97" s="34" t="inlineStr">
        <is>
          <t>Loratadine 10 mg OD</t>
        </is>
      </c>
      <c r="I97" s="33" t="inlineStr">
        <is>
          <t>2</t>
        </is>
      </c>
      <c r="J97"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35" t="n"/>
      <c r="L97" s="34" t="inlineStr">
        <is>
          <t>Allergic rhinitis</t>
        </is>
      </c>
      <c r="M97" s="35" t="inlineStr">
        <is>
          <t>Clinic</t>
        </is>
      </c>
      <c r="N97" s="34" t="inlineStr">
        <is>
          <t>ข้อ 2 (PLE_CC1_Practice_Exam.md)</t>
        </is>
      </c>
      <c r="O97" s="35" t="inlineStr">
        <is>
          <t>Mock</t>
        </is>
      </c>
      <c r="P97" s="35" t="inlineStr">
        <is>
          <t>Mock สภาเภสัชฯ Practice</t>
        </is>
      </c>
    </row>
    <row r="98" ht="13.2" customHeight="1" s="49">
      <c r="A98" s="33" t="n">
        <v>96</v>
      </c>
      <c r="B98" s="34"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35" t="n"/>
      <c r="D98" s="34" t="inlineStr">
        <is>
          <t>Dimenhydrinateเป็นanti histamineมีข้อบ่งใช้ใน motion sickness</t>
        </is>
      </c>
      <c r="E98" s="34"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98" s="34"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34"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98" s="34" t="inlineStr">
        <is>
          <t>Fluticasone furoate nasal spray</t>
        </is>
      </c>
      <c r="I98" s="33" t="inlineStr">
        <is>
          <t>5</t>
        </is>
      </c>
      <c r="J98" s="34"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98" s="35" t="n"/>
      <c r="L98" s="34" t="inlineStr">
        <is>
          <t>Allergic rhinitis</t>
        </is>
      </c>
      <c r="M98" s="35" t="inlineStr">
        <is>
          <t>Clinic</t>
        </is>
      </c>
      <c r="N98" s="34" t="inlineStr">
        <is>
          <t>ข้อ 26 (PLE_CC1_Practice_Exam.md)</t>
        </is>
      </c>
      <c r="O98" s="35" t="inlineStr">
        <is>
          <t>Mock</t>
        </is>
      </c>
      <c r="P98" s="35" t="inlineStr">
        <is>
          <t>Mock สภาเภสัชฯ Practice</t>
        </is>
      </c>
    </row>
    <row r="99" ht="13.2" customHeight="1" s="49">
      <c r="A99" s="33" t="n">
        <v>97</v>
      </c>
      <c r="B99" s="34"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35" t="n"/>
      <c r="D99" s="34" t="inlineStr">
        <is>
          <t>Chlorpheniramine 4 mg TID</t>
        </is>
      </c>
      <c r="E99" s="34" t="inlineStr">
        <is>
          <t>Fluticasone furoate nasal spray</t>
        </is>
      </c>
      <c r="F99" s="34" t="inlineStr">
        <is>
          <t>Budesonide nasal spray</t>
        </is>
      </c>
      <c r="G99" s="34" t="inlineStr">
        <is>
          <t>Epinephrine 0.3 mg IM stat</t>
        </is>
      </c>
      <c r="H99" s="34" t="inlineStr">
        <is>
          <t>Dexamethasone 4 mg IV</t>
        </is>
      </c>
      <c r="I99" s="33" t="inlineStr">
        <is>
          <t>2</t>
        </is>
      </c>
      <c r="J99" s="34"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5" t="n"/>
      <c r="L99" s="34" t="inlineStr">
        <is>
          <t>Allergic rhinitis</t>
        </is>
      </c>
      <c r="M99" s="35" t="inlineStr">
        <is>
          <t>Clinic</t>
        </is>
      </c>
      <c r="N99" s="34" t="inlineStr">
        <is>
          <t>ข้อ 27 (PLE_CC1_Practice_Exam.md)</t>
        </is>
      </c>
      <c r="O99" s="35" t="inlineStr">
        <is>
          <t>Mock</t>
        </is>
      </c>
      <c r="P99" s="35" t="inlineStr">
        <is>
          <t>Mock สภาเภสัชฯ Practice</t>
        </is>
      </c>
    </row>
    <row r="100" ht="13.2" customHeight="1" s="49">
      <c r="A100" s="33" t="n">
        <v>98</v>
      </c>
      <c r="B100" s="34"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35" t="n"/>
      <c r="D100" s="34" t="inlineStr">
        <is>
          <t>Epinephrine 0.3 mg IM stat</t>
        </is>
      </c>
      <c r="E100" s="34" t="inlineStr">
        <is>
          <t>Dexamethasone 4 mg IV</t>
        </is>
      </c>
      <c r="F100" s="34" t="inlineStr">
        <is>
          <t>Prednisolone 20 mg OD</t>
        </is>
      </c>
      <c r="G100" s="34" t="inlineStr">
        <is>
          <t>Montelukast 10 mg HS</t>
        </is>
      </c>
      <c r="H100" s="34" t="inlineStr">
        <is>
          <t>Hydroxyzine 25 mg HS</t>
        </is>
      </c>
      <c r="I100" s="33" t="inlineStr">
        <is>
          <t>2</t>
        </is>
      </c>
      <c r="J100" s="34"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35" t="n"/>
      <c r="L100" s="34" t="inlineStr">
        <is>
          <t>Allergic rhinitis</t>
        </is>
      </c>
      <c r="M100" s="35" t="inlineStr">
        <is>
          <t>Clinic</t>
        </is>
      </c>
      <c r="N100" s="34" t="inlineStr">
        <is>
          <t>ข้อ 28 (PLE_CC1_Practice_Exam.md)</t>
        </is>
      </c>
      <c r="O100" s="35" t="inlineStr">
        <is>
          <t>Mock</t>
        </is>
      </c>
      <c r="P100" s="35" t="inlineStr">
        <is>
          <t>Mock สภาเภสัชฯ Practice</t>
        </is>
      </c>
    </row>
    <row r="101" ht="13.2" customHeight="1" s="49">
      <c r="A101" s="33" t="n">
        <v>99</v>
      </c>
      <c r="B101" s="34"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35" t="n"/>
      <c r="D101" s="34" t="inlineStr">
        <is>
          <t>Montelukast 10 mg HS</t>
        </is>
      </c>
      <c r="E101" s="34" t="inlineStr">
        <is>
          <t>Hydroxyzine 25 mg HS</t>
        </is>
      </c>
      <c r="F101" s="34" t="inlineStr">
        <is>
          <t>Diphenhydramine 25 mg IV</t>
        </is>
      </c>
      <c r="G101" s="34" t="inlineStr">
        <is>
          <t>Cetirizine 10 mg OD</t>
        </is>
      </c>
      <c r="H101" s="34" t="inlineStr">
        <is>
          <t>Loratadine 10 mg OD</t>
        </is>
      </c>
      <c r="I101" s="33" t="inlineStr">
        <is>
          <t>2</t>
        </is>
      </c>
      <c r="J101" s="34"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35" t="n"/>
      <c r="L101" s="34" t="inlineStr">
        <is>
          <t>Allergic rhinitis</t>
        </is>
      </c>
      <c r="M101" s="35" t="inlineStr">
        <is>
          <t>Clinic</t>
        </is>
      </c>
      <c r="N101" s="34" t="inlineStr">
        <is>
          <t>ข้อ 30 (PLE_CC1_Practice_Exam.md)</t>
        </is>
      </c>
      <c r="O101" s="35" t="inlineStr">
        <is>
          <t>Mock</t>
        </is>
      </c>
      <c r="P101" s="35" t="inlineStr">
        <is>
          <t>Mock สภาเภสัชฯ Practice</t>
        </is>
      </c>
    </row>
    <row r="102" ht="13.2" customHeight="1" s="49">
      <c r="A102" s="33" t="n">
        <v>100</v>
      </c>
      <c r="B102" s="34"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35" t="n"/>
      <c r="D102" s="34"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34" t="inlineStr">
        <is>
          <t>ถูกต้อง เพราะการอนุญาตสำหรับการขายยาผู้อนุญาตอาจเป็นเลขาธิการ หรือผู้ว่าราชการจังหวัดก็ ได้</t>
        </is>
      </c>
      <c r="F102" s="34" t="inlineStr">
        <is>
          <t>ไม่ถูกต้อง เพราะผู้อนุญาตสำหรับการขายยาในต่างจังหวัดต้องเป็นผู้ว่าราชการจังหวัดที่อยู่ในเขต จังหวัดนั้น</t>
        </is>
      </c>
      <c r="G102" s="34"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34" t="inlineStr">
        <is>
          <t>ไม่สามารถตัดสินใจได้จากข้อมูลที่ให้มา</t>
        </is>
      </c>
      <c r="I102" s="33" t="inlineStr">
        <is>
          <t>1</t>
        </is>
      </c>
      <c r="J102" s="34"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35" t="n"/>
      <c r="L102" s="34" t="inlineStr">
        <is>
          <t>Allergic rhinitis</t>
        </is>
      </c>
      <c r="M102" s="35" t="inlineStr">
        <is>
          <t>Clinic</t>
        </is>
      </c>
      <c r="N102" s="34" t="inlineStr">
        <is>
          <t>ข้อ 11 (PLE_CC1_Practice_Exam.md)</t>
        </is>
      </c>
      <c r="O102" s="35" t="inlineStr">
        <is>
          <t>Mock</t>
        </is>
      </c>
      <c r="P102" s="35" t="inlineStr">
        <is>
          <t>Mock สภาเภสัชฯ Practice</t>
        </is>
      </c>
    </row>
    <row r="103" ht="13.2" customHeight="1" s="49">
      <c r="A103" s="33" t="n">
        <v>101</v>
      </c>
      <c r="B103" s="34"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35" t="n"/>
      <c r="D103" s="34" t="inlineStr">
        <is>
          <t>เนื่องจากเป็นยาอันตราย</t>
        </is>
      </c>
      <c r="E103" s="34" t="inlineStr">
        <is>
          <t>เนื่องจากเป็นยาควบคุมพิเศษ</t>
        </is>
      </c>
      <c r="F103" s="34" t="inlineStr">
        <is>
          <t>เนื่องจากเป็นยาเสพติดให้โทษ ประเภทที่ 2</t>
        </is>
      </c>
      <c r="G103" s="34" t="inlineStr">
        <is>
          <t>เนื่องจากเป็นวัตถุออกฤทธิ์ต่อจิตและประสาท ประเภทที่ 2</t>
        </is>
      </c>
      <c r="H103" s="34" t="inlineStr">
        <is>
          <t>เนื่องจากไม่มียานี้จำหน่ายในประเทศไทย</t>
        </is>
      </c>
      <c r="I103" s="33" t="inlineStr">
        <is>
          <t>1</t>
        </is>
      </c>
      <c r="J103" s="34"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35" t="n"/>
      <c r="L103" s="34" t="inlineStr">
        <is>
          <t>Allergic rhinitis</t>
        </is>
      </c>
      <c r="M103" s="35" t="inlineStr">
        <is>
          <t>Clinic</t>
        </is>
      </c>
      <c r="N103" s="34" t="inlineStr">
        <is>
          <t>ข้อ 27 (PLE_CC1_Practice_Exam.md)</t>
        </is>
      </c>
      <c r="O103" s="35" t="inlineStr">
        <is>
          <t>Mock</t>
        </is>
      </c>
      <c r="P103" s="35" t="inlineStr">
        <is>
          <t>Mock สภาเภสัชฯ Practice</t>
        </is>
      </c>
    </row>
    <row r="104" ht="13.2" customHeight="1" s="49">
      <c r="A104" s="33" t="n">
        <v>102</v>
      </c>
      <c r="B104" s="34" t="inlineStr">
        <is>
          <t>Oral antihistamine ลดน้ำมูก + คัดจมูก</t>
        </is>
      </c>
      <c r="C104" s="35" t="n"/>
      <c r="D104" s="34" t="inlineStr">
        <is>
          <t>Epinephrine 0.3 mg IM stat</t>
        </is>
      </c>
      <c r="E104" s="34" t="inlineStr">
        <is>
          <t>Dexamethasone 4 mg IV</t>
        </is>
      </c>
      <c r="F104" s="34" t="inlineStr">
        <is>
          <t>Prednisolone 20 mg OD</t>
        </is>
      </c>
      <c r="G104" s="34" t="inlineStr">
        <is>
          <t>Montelukast 10 mg HS</t>
        </is>
      </c>
      <c r="H104" s="34" t="inlineStr">
        <is>
          <t>Hydroxyzine 25 mg HS</t>
        </is>
      </c>
      <c r="I104" s="33" t="inlineStr">
        <is>
          <t>1</t>
        </is>
      </c>
      <c r="J104"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5" t="n"/>
      <c r="L104" s="34" t="inlineStr">
        <is>
          <t>Allergic rhinitis</t>
        </is>
      </c>
      <c r="M104" s="35" t="inlineStr">
        <is>
          <t>Clinic</t>
        </is>
      </c>
      <c r="N104" s="34" t="inlineStr">
        <is>
          <t>ข้อ 2 (PLE_CC1_Key_Rx20_UBU.md)</t>
        </is>
      </c>
      <c r="O104" s="35" t="inlineStr">
        <is>
          <t>Mock</t>
        </is>
      </c>
      <c r="P104" s="35" t="inlineStr">
        <is>
          <t>Mock Rx20 UBU</t>
        </is>
      </c>
    </row>
    <row r="105" ht="13.2" customHeight="1" s="49">
      <c r="A105" s="33" t="n">
        <v>103</v>
      </c>
      <c r="B105" s="34"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35" t="n"/>
      <c r="D105" s="34" t="inlineStr">
        <is>
          <t>Montelukast 10 mg HS</t>
        </is>
      </c>
      <c r="E105" s="34" t="inlineStr">
        <is>
          <t>Hydroxyzine 25 mg HS</t>
        </is>
      </c>
      <c r="F105" s="34" t="inlineStr">
        <is>
          <t>Diphenhydramine 25 mg IV</t>
        </is>
      </c>
      <c r="G105" s="34" t="inlineStr">
        <is>
          <t>Cetirizine 10 mg OD</t>
        </is>
      </c>
      <c r="H105" s="34" t="inlineStr">
        <is>
          <t>Loratadine 10 mg OD</t>
        </is>
      </c>
      <c r="I105" s="33" t="inlineStr">
        <is>
          <t>4</t>
        </is>
      </c>
      <c r="J105" s="34"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35" t="n"/>
      <c r="L105" s="34" t="inlineStr">
        <is>
          <t>Allergic rhinitis</t>
        </is>
      </c>
      <c r="M105" s="35" t="inlineStr">
        <is>
          <t>Clinic</t>
        </is>
      </c>
      <c r="N105" s="34" t="inlineStr">
        <is>
          <t>ข้อ 5 (PLE_CC1_Key_Rx20_UBU.md)</t>
        </is>
      </c>
      <c r="O105" s="35" t="inlineStr">
        <is>
          <t>Mock</t>
        </is>
      </c>
      <c r="P105" s="35" t="inlineStr">
        <is>
          <t>Mock Rx20 UBU</t>
        </is>
      </c>
    </row>
    <row r="106" ht="13.2" customHeight="1" s="49">
      <c r="A106" s="33" t="n">
        <v>104</v>
      </c>
      <c r="B106" s="34"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35" t="n"/>
      <c r="D106" s="34" t="inlineStr">
        <is>
          <t>Cetirizine 10 mg OD</t>
        </is>
      </c>
      <c r="E106" s="34" t="inlineStr">
        <is>
          <t>Loratadine 10 mg OD</t>
        </is>
      </c>
      <c r="F106" s="34" t="inlineStr">
        <is>
          <t>Fexofenadine 180 mg OD</t>
        </is>
      </c>
      <c r="G106" s="34" t="inlineStr">
        <is>
          <t>Chlorpheniramine 4 mg TID</t>
        </is>
      </c>
      <c r="H106" s="34" t="inlineStr">
        <is>
          <t>Fluticasone furoate nasal spray</t>
        </is>
      </c>
      <c r="I106" s="33" t="inlineStr">
        <is>
          <t>3</t>
        </is>
      </c>
      <c r="J106" s="34"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35" t="n"/>
      <c r="L106" s="34" t="inlineStr">
        <is>
          <t>Allergic rhinitis</t>
        </is>
      </c>
      <c r="M106" s="35" t="inlineStr">
        <is>
          <t>Clinic</t>
        </is>
      </c>
      <c r="N106" s="34" t="inlineStr">
        <is>
          <t>ข้อ 5 (PLE_CC1_Key_Rx20_UBU.md)</t>
        </is>
      </c>
      <c r="O106" s="35" t="inlineStr">
        <is>
          <t>Mock</t>
        </is>
      </c>
      <c r="P106" s="35" t="inlineStr">
        <is>
          <t>Mock Rx20 UBU</t>
        </is>
      </c>
    </row>
    <row r="107" ht="13.2" customHeight="1" s="49">
      <c r="A107" s="33" t="n">
        <v>105</v>
      </c>
      <c r="B107" s="34" t="inlineStr">
        <is>
          <t>ยา Antihistamine ตัวใดที่ทำให้ง่วงมากที่สุด</t>
        </is>
      </c>
      <c r="C107" s="35" t="n"/>
      <c r="D107" s="34" t="inlineStr">
        <is>
          <t>Chlorpheniramine 4 mg TID</t>
        </is>
      </c>
      <c r="E107" s="34" t="inlineStr">
        <is>
          <t>Fluticasone furoate nasal spray</t>
        </is>
      </c>
      <c r="F107" s="34" t="inlineStr">
        <is>
          <t>Budesonide nasal spray</t>
        </is>
      </c>
      <c r="G107" s="34" t="inlineStr">
        <is>
          <t>Epinephrine 0.3 mg IM stat</t>
        </is>
      </c>
      <c r="H107" s="34" t="inlineStr">
        <is>
          <t>Dexamethasone 4 mg IV</t>
        </is>
      </c>
      <c r="I107" s="33" t="inlineStr">
        <is>
          <t>1</t>
        </is>
      </c>
      <c r="J107"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35" t="n"/>
      <c r="L107" s="34" t="inlineStr">
        <is>
          <t>Allergic rhinitis</t>
        </is>
      </c>
      <c r="M107" s="35" t="inlineStr">
        <is>
          <t>Clinic</t>
        </is>
      </c>
      <c r="N107" s="34" t="inlineStr">
        <is>
          <t>ข้อ 8 (PLE_CC1_Key_Rx20_UBU.md)</t>
        </is>
      </c>
      <c r="O107" s="35" t="inlineStr">
        <is>
          <t>Mock</t>
        </is>
      </c>
      <c r="P107" s="35" t="inlineStr">
        <is>
          <t>Mock Rx20 UBU</t>
        </is>
      </c>
    </row>
    <row r="108" ht="13.2" customHeight="1" s="49">
      <c r="A108" s="33" t="n">
        <v>106</v>
      </c>
      <c r="B108" s="34" t="inlineStr">
        <is>
          <t>ใช้ยาเดิมต่อไป แต่ให้ antihistamine และ paracetamol</t>
        </is>
      </c>
      <c r="C108" s="35" t="n"/>
      <c r="D108" s="34" t="inlineStr">
        <is>
          <t>Epinephrine 0.3 mg IM stat</t>
        </is>
      </c>
      <c r="E108" s="34" t="inlineStr">
        <is>
          <t>Dexamethasone 4 mg IV</t>
        </is>
      </c>
      <c r="F108" s="34" t="inlineStr">
        <is>
          <t>Prednisolone 20 mg OD</t>
        </is>
      </c>
      <c r="G108" s="34" t="inlineStr">
        <is>
          <t>Montelukast 10 mg HS</t>
        </is>
      </c>
      <c r="H108" s="34" t="inlineStr">
        <is>
          <t>Hydroxyzine 25 mg HS</t>
        </is>
      </c>
      <c r="I108" s="33" t="inlineStr">
        <is>
          <t>1</t>
        </is>
      </c>
      <c r="J108"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35" t="n"/>
      <c r="L108" s="34" t="inlineStr">
        <is>
          <t>Allergic rhinitis</t>
        </is>
      </c>
      <c r="M108" s="35" t="inlineStr">
        <is>
          <t>Clinic</t>
        </is>
      </c>
      <c r="N108" s="34" t="inlineStr">
        <is>
          <t>ข้อ 1 (PLE_CC1_Key_Rx20_UBU.md)</t>
        </is>
      </c>
      <c r="O108" s="35" t="inlineStr">
        <is>
          <t>Mock</t>
        </is>
      </c>
      <c r="P108" s="35" t="inlineStr">
        <is>
          <t>Mock Rx20 UBU</t>
        </is>
      </c>
    </row>
    <row r="109" ht="13.2" customHeight="1" s="49">
      <c r="A109" s="33" t="n">
        <v>107</v>
      </c>
      <c r="B109" s="34" t="inlineStr">
        <is>
          <t>Loratadine (minor) ระดับ lora ลดลง</t>
        </is>
      </c>
      <c r="C109" s="35" t="n"/>
      <c r="D109" s="34" t="inlineStr">
        <is>
          <t>Montelukast 10 mg HS</t>
        </is>
      </c>
      <c r="E109" s="34" t="inlineStr">
        <is>
          <t>Hydroxyzine 25 mg HS</t>
        </is>
      </c>
      <c r="F109" s="34" t="inlineStr">
        <is>
          <t>Diphenhydramine 25 mg IV</t>
        </is>
      </c>
      <c r="G109" s="34" t="inlineStr">
        <is>
          <t>Cetirizine 10 mg OD</t>
        </is>
      </c>
      <c r="H109" s="34" t="inlineStr">
        <is>
          <t>Loratadine 10 mg OD</t>
        </is>
      </c>
      <c r="I109" s="33" t="inlineStr">
        <is>
          <t>1</t>
        </is>
      </c>
      <c r="J109"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35" t="n"/>
      <c r="L109" s="34" t="inlineStr">
        <is>
          <t>Allergic rhinitis</t>
        </is>
      </c>
      <c r="M109" s="35" t="inlineStr">
        <is>
          <t>Clinic</t>
        </is>
      </c>
      <c r="N109" s="34" t="inlineStr">
        <is>
          <t>ข้อ 3 (PLE_CC1_Key_Rx20_UBU.md)</t>
        </is>
      </c>
      <c r="O109" s="35" t="inlineStr">
        <is>
          <t>Mock</t>
        </is>
      </c>
      <c r="P109" s="35" t="inlineStr">
        <is>
          <t>Mock Rx20 UBU</t>
        </is>
      </c>
    </row>
    <row r="110" ht="13.2" customHeight="1" s="49">
      <c r="A110" s="33" t="n">
        <v>108</v>
      </c>
      <c r="B110" s="34" t="inlineStr">
        <is>
          <t>ไม่เหมาะสม เพราะ ควรใช้ยา Loratadine จะได้ผลดีกว่า</t>
        </is>
      </c>
      <c r="C110" s="35" t="n"/>
      <c r="D110" s="34" t="inlineStr">
        <is>
          <t>Cetirizine 10 mg OD</t>
        </is>
      </c>
      <c r="E110" s="34" t="inlineStr">
        <is>
          <t>Loratadine 10 mg OD</t>
        </is>
      </c>
      <c r="F110" s="34" t="inlineStr">
        <is>
          <t>Fexofenadine 180 mg OD</t>
        </is>
      </c>
      <c r="G110" s="34" t="inlineStr">
        <is>
          <t>Chlorpheniramine 4 mg TID</t>
        </is>
      </c>
      <c r="H110" s="34" t="inlineStr">
        <is>
          <t>Fluticasone furoate nasal spray</t>
        </is>
      </c>
      <c r="I110" s="33" t="inlineStr">
        <is>
          <t>1</t>
        </is>
      </c>
      <c r="J110"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35" t="n"/>
      <c r="L110" s="34" t="inlineStr">
        <is>
          <t>Allergic rhinitis</t>
        </is>
      </c>
      <c r="M110" s="35" t="inlineStr">
        <is>
          <t>Clinic</t>
        </is>
      </c>
      <c r="N110" s="34" t="inlineStr">
        <is>
          <t>ข้อ 4 (PLE_CC1_Key_Rx20_UBU.md)</t>
        </is>
      </c>
      <c r="O110" s="35" t="inlineStr">
        <is>
          <t>Mock</t>
        </is>
      </c>
      <c r="P110" s="35" t="inlineStr">
        <is>
          <t>Mock Rx20 UBU</t>
        </is>
      </c>
    </row>
    <row r="111" ht="13.2" customHeight="1" s="49">
      <c r="A111" s="33" t="n">
        <v>109</v>
      </c>
      <c r="B111" s="34" t="inlineStr">
        <is>
          <t>ไม่เหมาะสม เพราะ ไม่ควรใช้ First generation antihistamine และ Decongestant ในผู้สูงอายุ</t>
        </is>
      </c>
      <c r="C111" s="35" t="n"/>
      <c r="D111" s="34" t="inlineStr">
        <is>
          <t>Chlorpheniramine 4 mg TID</t>
        </is>
      </c>
      <c r="E111" s="34" t="inlineStr">
        <is>
          <t>Fluticasone furoate nasal spray</t>
        </is>
      </c>
      <c r="F111" s="34" t="inlineStr">
        <is>
          <t>Budesonide nasal spray</t>
        </is>
      </c>
      <c r="G111" s="34" t="inlineStr">
        <is>
          <t>Epinephrine 0.3 mg IM stat</t>
        </is>
      </c>
      <c r="H111" s="34" t="inlineStr">
        <is>
          <t>Dexamethasone 4 mg IV</t>
        </is>
      </c>
      <c r="I111" s="33" t="inlineStr">
        <is>
          <t>1</t>
        </is>
      </c>
      <c r="J111"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35" t="n"/>
      <c r="L111" s="34" t="inlineStr">
        <is>
          <t>Allergic rhinitis</t>
        </is>
      </c>
      <c r="M111" s="35" t="inlineStr">
        <is>
          <t>Clinic</t>
        </is>
      </c>
      <c r="N111" s="34" t="inlineStr">
        <is>
          <t>ข้อ 5 (PLE_CC1_Key_Rx20_UBU.md)</t>
        </is>
      </c>
      <c r="O111" s="35" t="inlineStr">
        <is>
          <t>Mock</t>
        </is>
      </c>
      <c r="P111" s="35" t="inlineStr">
        <is>
          <t>Mock Rx20 UBU</t>
        </is>
      </c>
    </row>
    <row r="112" ht="13.2" customHeight="1" s="49">
      <c r="A112" s="33" t="n">
        <v>110</v>
      </c>
      <c r="B112" s="34" t="inlineStr">
        <is>
          <t>– สถานการณ) 7 ผู$ป&amp;วยชาย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35" t="n"/>
      <c r="D112" s="34" t="inlineStr">
        <is>
          <t>Epinephrine 0.3 mg IM stat</t>
        </is>
      </c>
      <c r="E112" s="34" t="inlineStr">
        <is>
          <t>Dexamethasone 4 mg IV</t>
        </is>
      </c>
      <c r="F112" s="34" t="inlineStr">
        <is>
          <t>Prednisolone 20 mg OD</t>
        </is>
      </c>
      <c r="G112" s="34" t="inlineStr">
        <is>
          <t>Montelukast 10 mg HS</t>
        </is>
      </c>
      <c r="H112" s="34" t="inlineStr">
        <is>
          <t>Hydroxyzine 25 mg HS</t>
        </is>
      </c>
      <c r="I112" s="33" t="inlineStr">
        <is>
          <t>1</t>
        </is>
      </c>
      <c r="J112" s="34"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35" t="n"/>
      <c r="L112" s="34" t="inlineStr">
        <is>
          <t>Allergic rhinitis</t>
        </is>
      </c>
      <c r="M112" s="35" t="inlineStr">
        <is>
          <t>Clinic</t>
        </is>
      </c>
      <c r="N112" s="34" t="inlineStr">
        <is>
          <t>ข้อ 60 (PLE_CC1_Key_Rx20_UBU.md)</t>
        </is>
      </c>
      <c r="O112" s="35" t="inlineStr">
        <is>
          <t>Mock</t>
        </is>
      </c>
      <c r="P112" s="35" t="inlineStr">
        <is>
          <t>Mock Rx20 UBU</t>
        </is>
      </c>
    </row>
    <row r="113" ht="13.2" customHeight="1" s="49">
      <c r="A113" s="33" t="n">
        <v>111</v>
      </c>
      <c r="B113" s="34" t="inlineStr">
        <is>
          <t>Antihistamine eye drops</t>
        </is>
      </c>
      <c r="C113" s="35" t="n"/>
      <c r="D113" s="34" t="inlineStr">
        <is>
          <t>Montelukast 10 mg HS</t>
        </is>
      </c>
      <c r="E113" s="34" t="inlineStr">
        <is>
          <t>Hydroxyzine 25 mg HS</t>
        </is>
      </c>
      <c r="F113" s="34" t="inlineStr">
        <is>
          <t>Diphenhydramine 25 mg IV</t>
        </is>
      </c>
      <c r="G113" s="34" t="inlineStr">
        <is>
          <t>Cetirizine 10 mg OD</t>
        </is>
      </c>
      <c r="H113" s="34" t="inlineStr">
        <is>
          <t>Loratadine 10 mg OD</t>
        </is>
      </c>
      <c r="I113" s="33" t="inlineStr">
        <is>
          <t>1</t>
        </is>
      </c>
      <c r="J113" s="34"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35" t="n"/>
      <c r="L113" s="34" t="inlineStr">
        <is>
          <t>Allergic rhinitis</t>
        </is>
      </c>
      <c r="M113" s="35" t="inlineStr">
        <is>
          <t>Clinic</t>
        </is>
      </c>
      <c r="N113" s="34" t="inlineStr">
        <is>
          <t>ข้อ 3 (PLE_CC1_Key_Rx20_UBU.md)</t>
        </is>
      </c>
      <c r="O113" s="35" t="inlineStr">
        <is>
          <t>Mock</t>
        </is>
      </c>
      <c r="P113" s="35" t="inlineStr">
        <is>
          <t>Mock Rx20 UBU</t>
        </is>
      </c>
    </row>
    <row r="114" ht="13.2" customHeight="1" s="49">
      <c r="A114" s="33" t="n">
        <v>112</v>
      </c>
      <c r="B114" s="34" t="inlineStr">
        <is>
          <t>Fexofenadine 60 mg 1 tab bid</t>
        </is>
      </c>
      <c r="C114" s="35" t="n"/>
      <c r="D114" s="34" t="inlineStr">
        <is>
          <t>Cetirizine 10 mg OD</t>
        </is>
      </c>
      <c r="E114" s="34" t="inlineStr">
        <is>
          <t>Loratadine 10 mg OD</t>
        </is>
      </c>
      <c r="F114" s="34" t="inlineStr">
        <is>
          <t>Fexofenadine 180 mg OD</t>
        </is>
      </c>
      <c r="G114" s="34" t="inlineStr">
        <is>
          <t>Chlorpheniramine 4 mg TID</t>
        </is>
      </c>
      <c r="H114" s="34" t="inlineStr">
        <is>
          <t>Fluticasone furoate nasal spray</t>
        </is>
      </c>
      <c r="I114" s="33" t="inlineStr">
        <is>
          <t>1</t>
        </is>
      </c>
      <c r="J114" s="34"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35" t="n"/>
      <c r="L114" s="34" t="inlineStr">
        <is>
          <t>Allergic rhinitis</t>
        </is>
      </c>
      <c r="M114" s="35" t="inlineStr">
        <is>
          <t>Clinic</t>
        </is>
      </c>
      <c r="N114" s="34" t="inlineStr">
        <is>
          <t>ข้อ 2 (PLE_CC1_Key_Rx20_UBU.md)</t>
        </is>
      </c>
      <c r="O114" s="35" t="inlineStr">
        <is>
          <t>Mock</t>
        </is>
      </c>
      <c r="P114" s="35" t="inlineStr">
        <is>
          <t>Mock Rx20 UBU</t>
        </is>
      </c>
    </row>
    <row r="115" ht="13.2" customHeight="1" s="49">
      <c r="A115" s="33" t="n">
        <v>113</v>
      </c>
      <c r="B115" s="34" t="inlineStr">
        <is>
          <t>Oxymetazoline intranasal 0.5 mg/ml 1 puff prn (at night 1-2 times/week)</t>
        </is>
      </c>
      <c r="C115" s="35" t="n"/>
      <c r="D115" s="34" t="inlineStr">
        <is>
          <t>Chlorpheniramine 4 mg TID</t>
        </is>
      </c>
      <c r="E115" s="34" t="inlineStr">
        <is>
          <t>Fluticasone furoate nasal spray</t>
        </is>
      </c>
      <c r="F115" s="34" t="inlineStr">
        <is>
          <t>Budesonide nasal spray</t>
        </is>
      </c>
      <c r="G115" s="34" t="inlineStr">
        <is>
          <t>Epinephrine 0.3 mg IM stat</t>
        </is>
      </c>
      <c r="H115" s="34" t="inlineStr">
        <is>
          <t>Dexamethasone 4 mg IV</t>
        </is>
      </c>
      <c r="I115" s="33" t="inlineStr">
        <is>
          <t>1</t>
        </is>
      </c>
      <c r="J115" s="34"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35" t="n"/>
      <c r="L115" s="34" t="inlineStr">
        <is>
          <t>Allergic rhinitis</t>
        </is>
      </c>
      <c r="M115" s="35" t="inlineStr">
        <is>
          <t>Clinic</t>
        </is>
      </c>
      <c r="N115" s="34" t="inlineStr">
        <is>
          <t>ข้อ 3 (PLE_CC1_Key_Rx20_UBU.md)</t>
        </is>
      </c>
      <c r="O115" s="35" t="inlineStr">
        <is>
          <t>Mock</t>
        </is>
      </c>
      <c r="P115" s="35" t="inlineStr">
        <is>
          <t>Mock Rx20 UBU</t>
        </is>
      </c>
    </row>
    <row r="116" ht="13.2" customHeight="1" s="49">
      <c r="A116" s="33" t="n">
        <v>114</v>
      </c>
      <c r="B116" s="34" t="inlineStr">
        <is>
          <t>Pseudoephedrine 60 mg/triprolidine 2.5 mg 1 tab bid pc</t>
        </is>
      </c>
      <c r="C116" s="35" t="n"/>
      <c r="D116" s="34" t="inlineStr">
        <is>
          <t>Epinephrine 0.3 mg IM stat</t>
        </is>
      </c>
      <c r="E116" s="34" t="inlineStr">
        <is>
          <t>Dexamethasone 4 mg IV</t>
        </is>
      </c>
      <c r="F116" s="34" t="inlineStr">
        <is>
          <t>Prednisolone 20 mg OD</t>
        </is>
      </c>
      <c r="G116" s="34" t="inlineStr">
        <is>
          <t>Montelukast 10 mg HS</t>
        </is>
      </c>
      <c r="H116" s="34" t="inlineStr">
        <is>
          <t>Hydroxyzine 25 mg HS</t>
        </is>
      </c>
      <c r="I116" s="33" t="inlineStr">
        <is>
          <t>1</t>
        </is>
      </c>
      <c r="J116" s="34"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35" t="n"/>
      <c r="L116" s="34" t="inlineStr">
        <is>
          <t>Allergic rhinitis</t>
        </is>
      </c>
      <c r="M116" s="35" t="inlineStr">
        <is>
          <t>Clinic</t>
        </is>
      </c>
      <c r="N116" s="34" t="inlineStr">
        <is>
          <t>ข้อ 4 (PLE_CC1_Key_Rx20_UBU.md)</t>
        </is>
      </c>
      <c r="O116" s="35" t="inlineStr">
        <is>
          <t>Mock</t>
        </is>
      </c>
      <c r="P116" s="35" t="inlineStr">
        <is>
          <t>Mock Rx20 UBU</t>
        </is>
      </c>
    </row>
    <row r="117" ht="13.2" customHeight="1" s="49">
      <c r="A117" s="33" t="n">
        <v>115</v>
      </c>
      <c r="B117" s="34" t="inlineStr">
        <is>
          <t>Allergic rhinitis ของผู้ป่วยรายนี้มีความรุนแรงระดับใด</t>
        </is>
      </c>
      <c r="C117" s="35" t="n"/>
      <c r="D117" s="34" t="inlineStr">
        <is>
          <t>Mild intermittent</t>
        </is>
      </c>
      <c r="E117" s="34" t="inlineStr">
        <is>
          <t>Mild persistent</t>
        </is>
      </c>
      <c r="F117" s="34" t="inlineStr">
        <is>
          <t>Mild-moderate persistent</t>
        </is>
      </c>
      <c r="G117" s="34" t="inlineStr">
        <is>
          <t>Moderate-severe persistent</t>
        </is>
      </c>
      <c r="H117" s="34" t="inlineStr">
        <is>
          <t>Moderate-severe intermittent และผู้ป่วยเพิ่งมีอาการมา 2 สัปดาห์ ดังแสดงในแผนภูมิด้านล่างนี้</t>
        </is>
      </c>
      <c r="I117" s="33" t="inlineStr">
        <is>
          <t>1</t>
        </is>
      </c>
      <c r="J117" s="34"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35" t="n"/>
      <c r="L117" s="34" t="inlineStr">
        <is>
          <t>Allergic rhinitis</t>
        </is>
      </c>
      <c r="M117" s="35" t="inlineStr">
        <is>
          <t>Clinic</t>
        </is>
      </c>
      <c r="N117" s="34" t="inlineStr">
        <is>
          <t>ข้อ 2 (PLE_CC1_Key_Rx20_UBU.md)</t>
        </is>
      </c>
      <c r="O117" s="35" t="inlineStr">
        <is>
          <t>Mock</t>
        </is>
      </c>
      <c r="P117" s="35" t="inlineStr">
        <is>
          <t>Mock Rx20 UBU</t>
        </is>
      </c>
    </row>
    <row r="118" ht="13.2" customHeight="1" s="49">
      <c r="A118" s="33" t="n">
        <v>116</v>
      </c>
      <c r="B118" s="34" t="inlineStr">
        <is>
          <t>Fexofenadine มีการ metabolism ได้ metabolite ดังภาพ ซึ่งเกิดขึ้นจากปฏิกิริยาใด</t>
        </is>
      </c>
      <c r="C118" s="35" t="n"/>
      <c r="D118" s="34" t="inlineStr">
        <is>
          <t>Deamination</t>
        </is>
      </c>
      <c r="E118" s="34" t="inlineStr">
        <is>
          <t>Dealkylation</t>
        </is>
      </c>
      <c r="F118" s="34" t="inlineStr">
        <is>
          <t>Deacetylation</t>
        </is>
      </c>
      <c r="G118" s="34" t="inlineStr">
        <is>
          <t>Decarboxylation</t>
        </is>
      </c>
      <c r="H118" s="34" t="inlineStr">
        <is>
          <t>Dehydrogenation</t>
        </is>
      </c>
      <c r="I118" s="33" t="inlineStr">
        <is>
          <t>2</t>
        </is>
      </c>
      <c r="J118" s="34"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35" t="n"/>
      <c r="L118" s="34" t="inlineStr">
        <is>
          <t>Allergic rhinitis</t>
        </is>
      </c>
      <c r="M118" s="35" t="inlineStr">
        <is>
          <t>Clinic</t>
        </is>
      </c>
      <c r="N118" s="34" t="inlineStr">
        <is>
          <t>ข้อ 7 (PLE_CC1_Key_Rx20_UBU.md)</t>
        </is>
      </c>
      <c r="O118" s="35" t="inlineStr">
        <is>
          <t>Mock</t>
        </is>
      </c>
      <c r="P118" s="35" t="inlineStr">
        <is>
          <t>Mock Rx20 UBU</t>
        </is>
      </c>
    </row>
    <row r="119" ht="13.2" customHeight="1" s="49">
      <c r="A119" s="33" t="n">
        <v>117</v>
      </c>
      <c r="B119" s="34" t="inlineStr">
        <is>
          <t>ข้อใดมีผลต่อความสม่ำเสมอของยา fexofenadine</t>
        </is>
      </c>
      <c r="C119" s="35" t="n"/>
      <c r="D119" s="34" t="inlineStr">
        <is>
          <t>มุมทรงตัว</t>
        </is>
      </c>
      <c r="E119" s="34" t="inlineStr">
        <is>
          <t>ความพรุนของผงยา</t>
        </is>
      </c>
      <c r="F119" s="34" t="inlineStr">
        <is>
          <t>การทำเป็นแกรนูล</t>
        </is>
      </c>
      <c r="G119" s="34" t="inlineStr">
        <is>
          <t>ความสามารถในการตอกอัด</t>
        </is>
      </c>
      <c r="H119" s="34" t="inlineStr">
        <is>
          <t>การใส่สาร glidant ลงไปในตำรับ</t>
        </is>
      </c>
      <c r="I119" s="33" t="inlineStr">
        <is>
          <t>1</t>
        </is>
      </c>
      <c r="J119" s="34"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35" t="n"/>
      <c r="L119" s="34" t="inlineStr">
        <is>
          <t>Allergic rhinitis</t>
        </is>
      </c>
      <c r="M119" s="35" t="inlineStr">
        <is>
          <t>Clinic</t>
        </is>
      </c>
      <c r="N119" s="34" t="inlineStr">
        <is>
          <t>ข้อ 8 (PLE_CC1_Key_Rx20_UBU.md)</t>
        </is>
      </c>
      <c r="O119" s="35" t="inlineStr">
        <is>
          <t>Mock</t>
        </is>
      </c>
      <c r="P119" s="35" t="inlineStr">
        <is>
          <t>Mock Rx20 UBU</t>
        </is>
      </c>
    </row>
    <row r="120" ht="13.2" customHeight="1" s="49">
      <c r="A120" s="33" t="n">
        <v>118</v>
      </c>
      <c r="B120" s="34" t="inlineStr">
        <is>
          <t>จากรูป โครงสร้างหรือคุณสมบัติใดของ cetirizine ที่ทำให้กินยานี้แล้วไม่ง่วง</t>
        </is>
      </c>
      <c r="C120" s="35" t="n"/>
      <c r="D120" s="34" t="inlineStr">
        <is>
          <t>Acid property</t>
        </is>
      </c>
      <c r="E120" s="34" t="inlineStr">
        <is>
          <t>Basic property</t>
        </is>
      </c>
      <c r="F120" s="34" t="inlineStr">
        <is>
          <t>Amphoteric property</t>
        </is>
      </c>
      <c r="G120" s="34" t="inlineStr">
        <is>
          <t>Aromatic ring</t>
        </is>
      </c>
      <c r="H120" s="34" t="inlineStr">
        <is>
          <t>Electron withdrawing และทำให้ผ่าน BBB น้อยจึงทำให้ส่งผลต่อ CNS side น้อย</t>
        </is>
      </c>
      <c r="I120" s="33" t="inlineStr">
        <is>
          <t>1</t>
        </is>
      </c>
      <c r="J120" s="34"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35" t="n"/>
      <c r="L120" s="34" t="inlineStr">
        <is>
          <t>Allergic rhinitis</t>
        </is>
      </c>
      <c r="M120" s="35" t="inlineStr">
        <is>
          <t>Clinic</t>
        </is>
      </c>
      <c r="N120" s="34" t="inlineStr">
        <is>
          <t>ข้อ 106 (PLE_CC1_Key_Rx20_UBU.md)</t>
        </is>
      </c>
      <c r="O120" s="35" t="inlineStr">
        <is>
          <t>Mock</t>
        </is>
      </c>
      <c r="P120" s="35" t="inlineStr">
        <is>
          <t>Mock Rx20 UBU</t>
        </is>
      </c>
    </row>
    <row r="121" ht="13.2" customHeight="1" s="49">
      <c r="A121" t="n">
        <v>119</v>
      </c>
      <c r="B121" t="inlineStr">
        <is>
          <t>ค่าผลปฏิบัติการใด มี Specificity สูงที่สุดสำหรับโรค Systemic lupus erythematosus</t>
        </is>
      </c>
      <c r="D121" t="inlineStr">
        <is>
          <t>ANA</t>
        </is>
      </c>
      <c r="E121" t="inlineStr">
        <is>
          <t>Anti-dsDNA</t>
        </is>
      </c>
      <c r="F121" t="inlineStr">
        <is>
          <t>Lupus anticoagulant</t>
        </is>
      </c>
      <c r="G121" t="inlineStr">
        <is>
          <t>ES</t>
        </is>
      </c>
      <c r="H121" t="inlineStr">
        <is>
          <t>Proteinuria คำอธิบาย</t>
        </is>
      </c>
      <c r="I121" t="inlineStr">
        <is>
          <t>2</t>
        </is>
      </c>
      <c r="J121"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1" t="inlineStr">
        <is>
          <t>Hypertension</t>
        </is>
      </c>
      <c r="M121" t="inlineStr">
        <is>
          <t>Clinic</t>
        </is>
      </c>
      <c r="N121" t="inlineStr">
        <is>
          <t>ข้อ 92 (PLE_CC1_Key_Rx20_UBU.md)</t>
        </is>
      </c>
    </row>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Q316"/>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21.6" customHeight="1" s="49">
      <c r="A3" s="37" t="n">
        <v>1</v>
      </c>
      <c r="B3" s="38" t="inlineStr">
        <is>
          <t>ยาปฏิชีวนะกลุ่มใดต่อไปนี้ มีกลไกการออกฤทธิ์โดยการยับยั้งเอนไซม์ DNA gyrase และ Topoisomerase IV ของแบคทีเรีย?</t>
        </is>
      </c>
      <c r="C3" s="38" t="n"/>
      <c r="D3" s="38" t="inlineStr">
        <is>
          <t>Beta-lactams (เช่น Amoxicillin)</t>
        </is>
      </c>
      <c r="E3" s="38" t="inlineStr">
        <is>
          <t>Aminoglycosides (เช่น Gentamicin)</t>
        </is>
      </c>
      <c r="F3" s="38" t="inlineStr">
        <is>
          <t>Fluoroquinolones (เช่น Ciprofloxacin, Levofloxacin)</t>
        </is>
      </c>
      <c r="G3" s="38" t="inlineStr">
        <is>
          <t>Macrolides (เช่น Azithromycin)</t>
        </is>
      </c>
      <c r="H3" s="38" t="inlineStr">
        <is>
          <t>Glycopeptides (เช่น Vancomycin)</t>
        </is>
      </c>
      <c r="I3" s="37" t="inlineStr">
        <is>
          <t>3</t>
        </is>
      </c>
      <c r="J3" s="38" t="inlineStr">
        <is>
          <t>✅ คำตอบที่ถูกต้อง: ข้อ ค. Fluoroquinolones (เช่น Ciprofloxacin, Levofloxacin)
💡 Background:
การดูแลผู้ติดเชื้อ HIV เน้นเริ่ม Antiretroviral Therapy (ART) ทันทีเพื่อกด viral load ให้ undetectable (U=U) และฟื้นฟูระบบภูมิคุ้มกัน
🎯 ทำไมข้อนี้ถึงถูก:
Fluoroquinolones (เช่น Ciprofloxacin, Levofloxacin) Fluoroquinolones ยับยั้ง DNA gyrase ในแบคทีเรียแกรมลบ และ Topoisomerase IV ในแบคทีเรียแกรมบวก ส่งผลให้กระบวนการคลายเกลียวและจำลองตัวของ DNA หยุดชะงัก
 เป็น Fluoroquinolone เด่นต่อ Gram-negative รวมทั้ง Pseudomonas aeruginosa แต่มี black box warning เรื่อง tendon rupture, QT prolongation, aortic aneurysm และ dysglycemia
🔍 ข้ออื่นผิดเพราะอะไร:
• ข้อ ก. (Beta-lactams (เช่น Amoxicillin)): เป็น Aminopenicillin ยับยั้ง bacterial cell wall synthesis เป็น first-line สำหรับ uncomplicated bacterial infections (เช่น Strep pharyngitis, AOM, sinusitis)
• ข้อ ข. (Aminoglycosides (เช่น Gentamicin)): เป็น Aminoglycoside มี concentration-dependent bactericidal effect ต่อ gram-negative มี nephrotoxicity และ ototoxicity ต้อง monitoring renal function และ serum level
• ข้อ ง. (Macrolides (เช่น Azithromycin)): เป็น Macrolide ครอบคลุม atypical pathogens (Mycoplasma, Chlamydia, Legionella) ขจัดออกทางตับเป็นหลัก และมี half-life ยาวนาน (~68 ชม.)
• ข้อ จ. (Glycopeptides (เช่น Vancomycin)):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 s="38" t="n"/>
      <c r="L3" s="39" t="inlineStr">
        <is>
          <t>HIV infection</t>
        </is>
      </c>
      <c r="M3" s="39" t="inlineStr">
        <is>
          <t>Clinic</t>
        </is>
      </c>
      <c r="N3" s="38" t="inlineStr">
        <is>
          <t>Pharmacology</t>
        </is>
      </c>
      <c r="O3" s="39" t="n"/>
      <c r="P3" s="40" t="n"/>
    </row>
    <row r="4" ht="13.2" customHeight="1" s="49">
      <c r="A4" s="37" t="n">
        <v>2</v>
      </c>
      <c r="B4" s="38"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38" t="n"/>
      <c r="D4" s="38" t="inlineStr">
        <is>
          <t>หยุด beta-lactam แต่ยังคง azithromycin เดี่ยว ๆ</t>
        </is>
      </c>
      <c r="E4" s="38" t="inlineStr">
        <is>
          <t>เปลี่ยนเป็น respiratory fluoroquinolone monotherapy เช่น Levofloxacin 750 mg IV/PO วันละครั้ง</t>
        </is>
      </c>
      <c r="F4" s="38" t="inlineStr">
        <is>
          <t>เปลี่ยนเป็น cephalosporin รุ่นที่ 1 (เช่น cefazolin) แทน beta-lactam เดิม</t>
        </is>
      </c>
      <c r="G4" s="38" t="inlineStr">
        <is>
          <t>ให้ desensitization ต่อ penicillin ก่อนเริ่มยาเดิม</t>
        </is>
      </c>
      <c r="H4" s="38" t="inlineStr">
        <is>
          <t>ใช้ norfloxacin แทน เพราะเป็นยากลุ่มเดียวกับ ciprofloxacin</t>
        </is>
      </c>
      <c r="I4" s="37" t="inlineStr">
        <is>
          <t>2</t>
        </is>
      </c>
      <c r="J4" s="38"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38" t="n"/>
      <c r="L4" s="39" t="inlineStr">
        <is>
          <t>Pneumonia</t>
        </is>
      </c>
      <c r="M4" s="39" t="inlineStr">
        <is>
          <t>Clinic</t>
        </is>
      </c>
      <c r="N4" s="38" t="inlineStr">
        <is>
          <t>ข้อ 1.1 Mock Infectious RxCU84</t>
        </is>
      </c>
      <c r="O4" s="39" t="n"/>
      <c r="P4" s="39" t="n"/>
    </row>
    <row r="5" ht="13.2" customHeight="1" s="49">
      <c r="A5" s="37" t="n">
        <v>3</v>
      </c>
      <c r="B5" s="38"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38" t="n"/>
      <c r="D5" s="38" t="inlineStr">
        <is>
          <t>เลี่ยงแสงแดดเพราะเสี่ยง photosensitivity เท่านั้น</t>
        </is>
      </c>
      <c r="E5" s="38" t="inlineStr">
        <is>
          <t>ระวังอาการปวด/บวมบริเวณเอ็น และหลีกเลี่ยงการออกกำลังกายหนักเนื่องจากอายุ &gt;60 ปี เพิ่มความเสี่ยง tendon rupture</t>
        </is>
      </c>
      <c r="F5" s="38" t="inlineStr">
        <is>
          <t>ให้กินยาพร้อมนมเพื่อลดการระคายเคืองกระเพาะอาหาร</t>
        </is>
      </c>
      <c r="G5" s="38" t="inlineStr">
        <is>
          <t>ไม่ต้องกังวลเรื่องใดเป็นพิเศษเพราะผู้ป่วยไม่มีประวัติแพ้ยา</t>
        </is>
      </c>
      <c r="H5" s="38" t="inlineStr">
        <is>
          <t>เพิ่มขนาดยา theophylline ทันทีเพราะ levofloxacin จะลดระดับยาในเลือด</t>
        </is>
      </c>
      <c r="I5" s="37" t="inlineStr">
        <is>
          <t>2</t>
        </is>
      </c>
      <c r="J5" s="38"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38" t="n"/>
      <c r="L5" s="39" t="inlineStr">
        <is>
          <t>Pneumonia</t>
        </is>
      </c>
      <c r="M5" s="39" t="inlineStr">
        <is>
          <t>Clinic</t>
        </is>
      </c>
      <c r="N5" s="38" t="inlineStr">
        <is>
          <t>ข้อ 1.2 Mock Infectious RxCU84</t>
        </is>
      </c>
      <c r="O5" s="39" t="n"/>
      <c r="P5" s="39" t="n"/>
    </row>
    <row r="6" ht="13.2" customHeight="1" s="49">
      <c r="A6" s="37" t="n">
        <v>4</v>
      </c>
      <c r="B6" s="38"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38" t="n"/>
      <c r="D6" s="38" t="inlineStr">
        <is>
          <t>ความเสี่ยง tendon rupture เนื่องจากอายุมากกว่า 60 ปี</t>
        </is>
      </c>
      <c r="E6" s="38" t="inlineStr">
        <is>
          <t>ความเสี่ยงระดับน้ำตาลในเลือดผิดปกติ (dysglycemia) ทั้งภาวะน้ำตาลสูงและต่ำ</t>
        </is>
      </c>
      <c r="F6" s="38" t="inlineStr">
        <is>
          <t>การยับยั้งเอนไซม์ CYP1A2 ทำให้ระดับ metformin ในเลือดสูงขึ้น</t>
        </is>
      </c>
      <c r="G6" s="38" t="inlineStr">
        <is>
          <t>ความเสี่ยง Fanconi syndrome จากยาหมดอายุ</t>
        </is>
      </c>
      <c r="H6" s="38" t="inlineStr">
        <is>
          <t>การเกิด pseudomembranous colitis จาก C. difficile</t>
        </is>
      </c>
      <c r="I6" s="37" t="inlineStr">
        <is>
          <t>2</t>
        </is>
      </c>
      <c r="J6" s="38"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38" t="n"/>
      <c r="L6" s="39" t="inlineStr">
        <is>
          <t>Pneumonia</t>
        </is>
      </c>
      <c r="M6" s="39" t="inlineStr">
        <is>
          <t>Clinic</t>
        </is>
      </c>
      <c r="N6" s="38" t="inlineStr">
        <is>
          <t>ข้อ 1.3 Mock Infectious RxCU84</t>
        </is>
      </c>
      <c r="O6" s="39" t="n"/>
      <c r="P6" s="39" t="n"/>
    </row>
    <row r="7" ht="13.2" customHeight="1" s="49">
      <c r="A7" s="37" t="n">
        <v>5</v>
      </c>
      <c r="B7" s="38"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38" t="n"/>
      <c r="D7" s="38" t="inlineStr">
        <is>
          <t>Levofloxacin ต้องปรับตามการทำงานของไต ส่วน moxifloxacin ต้องระวังในตับวายและไม่ใช้รักษาโรคติดเชื้อทางเดินปัสสาวะ</t>
        </is>
      </c>
      <c r="E7" s="38" t="inlineStr">
        <is>
          <t>ทั้งสองตัวต้องปรับขนาดตามไตในระดับเดียวกัน</t>
        </is>
      </c>
      <c r="F7" s="38" t="inlineStr">
        <is>
          <t>Moxifloxacin ต้องปรับตามไต ส่วน levofloxacin ไม่ต้องปรับเลย</t>
        </is>
      </c>
      <c r="G7" s="38" t="inlineStr">
        <is>
          <t>ทั้งสองตัวไม่จำเป็นต้องปรับขนาดยาในผู้สูงอายุ</t>
        </is>
      </c>
      <c r="H7" s="38" t="inlineStr">
        <is>
          <t>Levofloxacin มีความเสี่ยง QT prolongation สูงกว่า moxifloxacin</t>
        </is>
      </c>
      <c r="I7" s="37" t="inlineStr">
        <is>
          <t>1</t>
        </is>
      </c>
      <c r="J7" s="38"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38" t="n"/>
      <c r="L7" s="39" t="inlineStr">
        <is>
          <t>Pneumonia</t>
        </is>
      </c>
      <c r="M7" s="39" t="inlineStr">
        <is>
          <t>Clinic</t>
        </is>
      </c>
      <c r="N7" s="38" t="inlineStr">
        <is>
          <t>ข้อ 1.4 Mock Infectious RxCU84</t>
        </is>
      </c>
      <c r="O7" s="39" t="n"/>
      <c r="P7" s="39" t="n"/>
    </row>
    <row r="8" ht="13.2" customHeight="1" s="49">
      <c r="A8" s="37" t="n">
        <v>6</v>
      </c>
      <c r="B8" s="38"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38" t="n"/>
      <c r="D8" s="38" t="inlineStr">
        <is>
          <t>Peripheral neuropathy ซึ่งพบเฉพาะในเด็ก</t>
        </is>
      </c>
      <c r="E8" s="38" t="inlineStr">
        <is>
          <t>Tendinitis/tendon rupture โดยเฉพาะในผู้มีอายุมากกว่า 60 ปี</t>
        </is>
      </c>
      <c r="F8" s="38" t="inlineStr">
        <is>
          <t>Tooth discoloration ถาวร</t>
        </is>
      </c>
      <c r="G8" s="38" t="inlineStr">
        <is>
          <t>Ototoxicity ที่ไม่สามารถย้อนกลับได้</t>
        </is>
      </c>
      <c r="H8" s="38" t="inlineStr">
        <is>
          <t>Fanconi syndrome</t>
        </is>
      </c>
      <c r="I8" s="37" t="inlineStr">
        <is>
          <t>2</t>
        </is>
      </c>
      <c r="J8" s="38"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38" t="n"/>
      <c r="L8" s="39" t="inlineStr">
        <is>
          <t>Pneumonia</t>
        </is>
      </c>
      <c r="M8" s="39" t="inlineStr">
        <is>
          <t>Clinic</t>
        </is>
      </c>
      <c r="N8" s="38" t="inlineStr">
        <is>
          <t>ข้อ 1.5 Mock Infectious RxCU84</t>
        </is>
      </c>
      <c r="O8" s="39" t="n"/>
      <c r="P8" s="39" t="n"/>
    </row>
    <row r="9" ht="13.2" customHeight="1" s="49">
      <c r="A9" s="37" t="n">
        <v>7</v>
      </c>
      <c r="B9" s="38"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38" t="n"/>
      <c r="D9" s="38" t="inlineStr">
        <is>
          <t>0 คะแนน ให้ยาปฏิชีวนะได้ทันที</t>
        </is>
      </c>
      <c r="E9" s="38" t="inlineStr">
        <is>
          <t>1 คะแนน แนะนำรักษาตามอาการและไม่จ่ายยาปฏิชีวนะ</t>
        </is>
      </c>
      <c r="F9" s="38" t="inlineStr">
        <is>
          <t>2 คะแนน ควรส่งตรวจ RADT ก่อนให้ยา</t>
        </is>
      </c>
      <c r="G9" s="38" t="inlineStr">
        <is>
          <t>3 คะแนน พิจารณาให้ Azithromycin นาน 5 วัน</t>
        </is>
      </c>
      <c r="H9" s="38" t="inlineStr">
        <is>
          <t>4 คะแนน พิจารณาให้ Amoxicillin นาน 10 วัน</t>
        </is>
      </c>
      <c r="I9" s="37" t="inlineStr">
        <is>
          <t>2</t>
        </is>
      </c>
      <c r="J9" s="38"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38" t="n"/>
      <c r="L9" s="39" t="inlineStr">
        <is>
          <t>URTI</t>
        </is>
      </c>
      <c r="M9" s="39" t="inlineStr">
        <is>
          <t>Clinic</t>
        </is>
      </c>
      <c r="N9" s="38" t="inlineStr">
        <is>
          <t>ข้อ 2.1 Mock Infectious RxCU84</t>
        </is>
      </c>
      <c r="O9" s="39" t="n"/>
      <c r="P9" s="39" t="n"/>
    </row>
    <row r="10" ht="13.2" customHeight="1" s="49">
      <c r="A10" s="37" t="n">
        <v>8</v>
      </c>
      <c r="B10" s="38"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38" t="n"/>
      <c r="D10" s="38" t="inlineStr">
        <is>
          <t>จ่าย Amoxicillin ตามความต้องการเพื่อเพิ่มความพึงพอใจและป้องกันโรคแทรกซ้อน</t>
        </is>
      </c>
      <c r="E10" s="38" t="inlineStr">
        <is>
          <t>อธิบายว่าอาการเจ็บคอจากไวรัสต้องใช้ Amoxicillin ควบคู่กับน้ำเกลือล้างจมูก</t>
        </is>
      </c>
      <c r="F10" s="38"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38" t="inlineStr">
        <is>
          <t>แนะนำให้ผู้ป่วยเปลี่ยนไปใช้ยาปฏิชีวนะกลุ่มที่แรงกว่า เช่น Roxithromycin เพื่อให้หายไวขึ้น</t>
        </is>
      </c>
      <c r="H10" s="38" t="inlineStr">
        <is>
          <t>แนะนำให้ผู้ป่วยตรวจ ATK และไปโรงพยาบาลเนื่องจากอาการเข้าข่าย Covid-19</t>
        </is>
      </c>
      <c r="I10" s="37" t="inlineStr">
        <is>
          <t>3</t>
        </is>
      </c>
      <c r="J10" s="38"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38" t="n"/>
      <c r="L10" s="39" t="inlineStr">
        <is>
          <t>URTI</t>
        </is>
      </c>
      <c r="M10" s="39" t="inlineStr">
        <is>
          <t>Clinic</t>
        </is>
      </c>
      <c r="N10" s="38" t="inlineStr">
        <is>
          <t>ข้อ 2.2 Mock Infectious RxCU84</t>
        </is>
      </c>
      <c r="O10" s="39" t="n"/>
      <c r="P10" s="39" t="n"/>
    </row>
    <row r="11" ht="13.2" customHeight="1" s="49">
      <c r="A11" s="37" t="n">
        <v>9</v>
      </c>
      <c r="B11" s="38"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38" t="n"/>
      <c r="D11" s="38" t="inlineStr">
        <is>
          <t>งดอาหารทุกชนิดก่อนกินยาอย่างน้อย 1 ชั่วโมงเสมอ</t>
        </is>
      </c>
      <c r="E11" s="38" t="inlineStr">
        <is>
          <t>ดื่มน้ำเต็มแก้ว ไม่นอนราบทันทีหลังกินยาอย่างน้อย 30 นาที และเลี่ยงนม/ยาลดกรด/ธาตุเหล็กใกล้เวลากินยา</t>
        </is>
      </c>
      <c r="F11" s="38" t="inlineStr">
        <is>
          <t>ต้องกินคู่กับนมเสมอเพื่อลดการระคายเคืองกระเพาะ</t>
        </is>
      </c>
      <c r="G11" s="38" t="inlineStr">
        <is>
          <t>ไม่มีข้อจำกัดเรื่องอาหารเลย เพราะ doxycycline ถูกรบกวนการดูดซึมจากอาหารเท่ากับ tetracycline รุ่นเก่า</t>
        </is>
      </c>
      <c r="H11" s="38" t="inlineStr">
        <is>
          <t>ต้องกินก่อนอาหารเท่านั้นห้ามกินหลังอาหาร</t>
        </is>
      </c>
      <c r="I11" s="37" t="inlineStr">
        <is>
          <t>2</t>
        </is>
      </c>
      <c r="J11" s="38"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การดูแลผู้ติดเชื้อ HIV เน้นเริ่ม Antiretroviral Therapy (ART) ทันทีเพื่อกด viral load ให้ undetectable (U=U) และฟื้นฟูระบบภูมิคุ้มกัน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 s="38" t="n"/>
      <c r="L11" s="39" t="inlineStr">
        <is>
          <t>HIV infection</t>
        </is>
      </c>
      <c r="M11" s="39" t="inlineStr">
        <is>
          <t>Clinic</t>
        </is>
      </c>
      <c r="N11" s="38" t="inlineStr">
        <is>
          <t>ข้อ 2.3 Mock Infectious RxCU84</t>
        </is>
      </c>
      <c r="O11" s="39" t="n"/>
      <c r="P11" s="39" t="n"/>
    </row>
    <row r="12" ht="13.2" customHeight="1" s="49">
      <c r="A12" s="37" t="n">
        <v>10</v>
      </c>
      <c r="B12" s="38"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38" t="n"/>
      <c r="D12" s="38" t="inlineStr">
        <is>
          <t>ยับยั้ง DNA gyrase/topoisomerase IV ของแบคทีเรีย ซึ่งเป็นเป้าหมายที่ไม่มีอยู่ในไวรัส</t>
        </is>
      </c>
      <c r="E12" s="38" t="inlineStr">
        <is>
          <t>ยับยั้ง 30S ribosomal subunit ของไวรัส</t>
        </is>
      </c>
      <c r="F12" s="38" t="inlineStr">
        <is>
          <t>ยับยั้งการสร้าง capsid ของไวรัสโดยตรง</t>
        </is>
      </c>
      <c r="G12" s="38" t="inlineStr">
        <is>
          <t>ออกฤทธิ์เป็น bacteriostatic เท่านั้น จึงไม่มีฤทธิ์ฆ่าเชื้อใดๆ</t>
        </is>
      </c>
      <c r="H12" s="38" t="inlineStr">
        <is>
          <t>ต้องใช้ร่วมกับ macrolide เสมอจึงจะออกฤทธิ์ต่อไวรัสได้</t>
        </is>
      </c>
      <c r="I12" s="37" t="inlineStr">
        <is>
          <t>1</t>
        </is>
      </c>
      <c r="J12" s="38"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URTI</t>
        </is>
      </c>
      <c r="M12" s="39" t="inlineStr">
        <is>
          <t>Clinic</t>
        </is>
      </c>
      <c r="N12" s="38" t="inlineStr">
        <is>
          <t>ข้อ 2.4 Mock Infectious RxCU84</t>
        </is>
      </c>
      <c r="O12" s="39" t="n"/>
      <c r="P12" s="39" t="n"/>
    </row>
    <row r="13" ht="13.2" customHeight="1" s="49">
      <c r="A13" s="37" t="n">
        <v>11</v>
      </c>
      <c r="B13" s="38"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38" t="n"/>
      <c r="D13" s="38" t="inlineStr">
        <is>
          <t>Oseltamivir 75 mg BID นาน 5 วัน</t>
        </is>
      </c>
      <c r="E13" s="38" t="inlineStr">
        <is>
          <t>Baloxavir marboxil 40 mg single dose</t>
        </is>
      </c>
      <c r="F13" s="38" t="inlineStr">
        <is>
          <t>Favipiravir 1,600 mg BID วันแรก</t>
        </is>
      </c>
      <c r="G13" s="38" t="inlineStr">
        <is>
          <t>Oseltamivir 150 mg BID นาน 5 วัน</t>
        </is>
      </c>
      <c r="H13" s="38" t="inlineStr">
        <is>
          <t>Amoxicillin/Clavulanate 1,000 mg BID นาน 10 วัน</t>
        </is>
      </c>
      <c r="I13" s="37" t="inlineStr">
        <is>
          <t>1</t>
        </is>
      </c>
      <c r="J13" s="38" t="inlineStr">
        <is>
          <t>✅ คำตอบที่ถูกต้อง: ข้อ ก. Oseltamivir 75 mg BID นาน 5 วัน
💡 Background:
การดูแลผู้ติดเชื้อ HIV เน้นเริ่ม Antiretroviral Therapy (ART) ทันทีเพื่อกด viral load ให้ undetectable (U=U) และฟื้นฟูระบบภูมิคุ้มกัน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 s="38" t="n"/>
      <c r="L13" s="39" t="inlineStr">
        <is>
          <t>HIV infection</t>
        </is>
      </c>
      <c r="M13" s="39" t="inlineStr">
        <is>
          <t>Clinic</t>
        </is>
      </c>
      <c r="N13" s="38" t="inlineStr">
        <is>
          <t>ข้อ 3.1 Mock Infectious RxCU84</t>
        </is>
      </c>
      <c r="O13" s="39" t="n"/>
      <c r="P13" s="39" t="n"/>
    </row>
    <row r="14" ht="13.2" customHeight="1" s="49">
      <c r="A14" s="37" t="n">
        <v>12</v>
      </c>
      <c r="B14" s="38"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38" t="n"/>
      <c r="D14" s="38" t="inlineStr">
        <is>
          <t>หญิงตั้งครรภ์มีความเสี่ยงต่อภาวะแทรกซ้อนเท่ากับคนปกติทั่วไป จึงไม่ต้องกังวลเป็นพิเศษ</t>
        </is>
      </c>
      <c r="E14" s="38" t="inlineStr">
        <is>
          <t>แนะนำให้พ่นวัคซีนป้องกันไข้หวัดใหญ่ชนิดเชื้ออ่อนฤทธิ์ (LAIV) ทันทีหลังหายป่วย</t>
        </is>
      </c>
      <c r="F14" s="38" t="inlineStr">
        <is>
          <t>วัคซีนไข้หวัดใหญ่ชนิดเชื้อตาย (IIV) สามารถฉีดได้ทุกไตรมาสของการตั้งครรภ์เพื่อป้องกันความรุนแรงของโรค</t>
        </is>
      </c>
      <c r="G14" s="38" t="inlineStr">
        <is>
          <t>หากคนในครอบครัวสัมผัสโรค แนะนำให้รับประทานยา Oseltamivir ป้องกันทันทีก่อนเริ่มมีอาการ</t>
        </is>
      </c>
      <c r="H14" s="38" t="inlineStr">
        <is>
          <t>[NEED_REVIEW]</t>
        </is>
      </c>
      <c r="I14" s="37" t="inlineStr">
        <is>
          <t>3</t>
        </is>
      </c>
      <c r="J14" s="38"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38" t="n"/>
      <c r="L14" s="39" t="inlineStr">
        <is>
          <t>URTI</t>
        </is>
      </c>
      <c r="M14" s="39" t="inlineStr">
        <is>
          <t>Clinic</t>
        </is>
      </c>
      <c r="N14" s="38" t="inlineStr">
        <is>
          <t>ข้อ 3.2 Mock Infectious RxCU84</t>
        </is>
      </c>
      <c r="O14" s="39" t="n"/>
      <c r="P14" s="39" t="n"/>
    </row>
    <row r="15" ht="13.2" customHeight="1" s="49">
      <c r="A15" s="37" t="n">
        <v>13</v>
      </c>
      <c r="B15" s="38"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38" t="n"/>
      <c r="D15" s="38" t="inlineStr">
        <is>
          <t>Acute uncomplicated cystitis</t>
        </is>
      </c>
      <c r="E15" s="38" t="inlineStr">
        <is>
          <t>Acute complicated cystitis</t>
        </is>
      </c>
      <c r="F15" s="38" t="inlineStr">
        <is>
          <t>Acute uncomplicated pyelonephritis</t>
        </is>
      </c>
      <c r="G15" s="38" t="inlineStr">
        <is>
          <t>Complicated urinary tract infection</t>
        </is>
      </c>
      <c r="H15" s="38" t="inlineStr">
        <is>
          <t>Asymptomatic bacteriuria</t>
        </is>
      </c>
      <c r="I15" s="37" t="inlineStr">
        <is>
          <t>1</t>
        </is>
      </c>
      <c r="J15" s="38"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38" t="n"/>
      <c r="L15" s="39" t="inlineStr">
        <is>
          <t>Cystitis</t>
        </is>
      </c>
      <c r="M15" s="39" t="inlineStr">
        <is>
          <t>Clinic</t>
        </is>
      </c>
      <c r="N15" s="38" t="inlineStr">
        <is>
          <t>ข้อ 4.1 Mock Infectious RxCU84</t>
        </is>
      </c>
      <c r="O15" s="39" t="n"/>
      <c r="P15" s="39" t="n"/>
    </row>
    <row r="16" ht="13.2" customHeight="1" s="49">
      <c r="A16" s="37" t="n">
        <v>14</v>
      </c>
      <c r="B16" s="38" t="inlineStr">
        <is>
          <t>ผู้ป่วยหญิงอายุ 30 ปี วินิจฉัยเป็น Acute uncomplicated cystitis
คำถาม: หากอ้างอิงตามแนวทางเวชปฏิบัติสากล (IDSA Guidelines) ข้อใดคือยารักษาอันดับแรก (First-line empiric oral therapy) ที่เหมาะสมที่สุดสำหรับผู้ป่วยรายนี้?</t>
        </is>
      </c>
      <c r="C16" s="38" t="n"/>
      <c r="D16" s="38" t="inlineStr">
        <is>
          <t>Ciprofloxacin 500 mg รับประทานวันละ 2 ครั้ง เป็นเวลา 7 วัน</t>
        </is>
      </c>
      <c r="E16" s="38" t="inlineStr">
        <is>
          <t>Nitrofurantoin monohydrate/macrocrystals 100 mg รับประทานวันละ 2 ครั้ง พร้อมอาหาร เป็นเวลา 5 วัน</t>
        </is>
      </c>
      <c r="F16" s="38" t="inlineStr">
        <is>
          <t>Amoxicillin 500 mg รับประทานวันละ 3 ครั้ง หลังอาหาร เป็นเวลา 7 วัน</t>
        </is>
      </c>
      <c r="G16" s="38" t="inlineStr">
        <is>
          <t>Ceftriaxone 1 g ฉีดเข้าหลอดเลือดดำ ครั้งเดียว</t>
        </is>
      </c>
      <c r="H16" s="38" t="inlineStr">
        <is>
          <t>Norfloxacin 400 mg รับประทานวันละ 2 ครั้ง ก่อนอาหาร เป็นเวลา 3 วัน</t>
        </is>
      </c>
      <c r="I16" s="37" t="inlineStr">
        <is>
          <t>2</t>
        </is>
      </c>
      <c r="J16" s="38"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38" t="n"/>
      <c r="L16" s="39" t="inlineStr">
        <is>
          <t>Cystitis</t>
        </is>
      </c>
      <c r="M16" s="39" t="inlineStr">
        <is>
          <t>Clinic</t>
        </is>
      </c>
      <c r="N16" s="38" t="inlineStr">
        <is>
          <t>ข้อ 4.2 Mock Infectious RxCU84</t>
        </is>
      </c>
      <c r="O16" s="39" t="n"/>
      <c r="P16" s="39" t="n"/>
    </row>
    <row r="17" ht="13.2" customHeight="1" s="49">
      <c r="A17" s="37" t="n">
        <v>15</v>
      </c>
      <c r="B17" s="38"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38" t="n"/>
      <c r="D17" s="38" t="inlineStr">
        <is>
          <t>ละลายผงยาในน้ำอุ่น ดื่มทันทีพร้อมอาหารเช้าวันละ 1 ครั้ง ติดต่อกัน 3 วัน</t>
        </is>
      </c>
      <c r="E17" s="38" t="inlineStr">
        <is>
          <t>ละลายผงยาในน้ำเย็นหรือน้ำอุณหภูมิห้อง ดื่มครั้งเดียวตอนท้องว่าง (หรือก่อนนอนหลังจากปัสสาวะแล้ว)</t>
        </is>
      </c>
      <c r="F17" s="38" t="inlineStr">
        <is>
          <t>รับประทานร่วมกับยาลดกรดชนิดน้ำเพื่อป้องกันอาการกัดกระเพาะอาหาร</t>
        </is>
      </c>
      <c r="G17" s="38" t="inlineStr">
        <is>
          <t>แบ่งละลายยาครึ่งซอง (1.5 g) ดื่มเช้าและเย็นหลังอาหาร</t>
        </is>
      </c>
      <c r="H17" s="38" t="inlineStr">
        <is>
          <t>ละลายยาในนมหรือน้ำผลไม้เพื่อช่วยเพิ่มการดูดซึมยาเข้าสู่ร่างกาย</t>
        </is>
      </c>
      <c r="I17" s="37" t="inlineStr">
        <is>
          <t>2</t>
        </is>
      </c>
      <c r="J17" s="38"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8" t="n"/>
      <c r="L17" s="39" t="inlineStr">
        <is>
          <t>Cystitis</t>
        </is>
      </c>
      <c r="M17" s="39" t="inlineStr">
        <is>
          <t>Clinic</t>
        </is>
      </c>
      <c r="N17" s="38" t="inlineStr">
        <is>
          <t>ข้อ 4.3 Mock Infectious RxCU84</t>
        </is>
      </c>
      <c r="O17" s="39" t="n"/>
      <c r="P17" s="39" t="n"/>
    </row>
    <row r="18" ht="13.2" customHeight="1" s="49">
      <c r="A18" s="37" t="n">
        <v>16</v>
      </c>
      <c r="B18" s="38"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38" t="n"/>
      <c r="D18" s="38" t="inlineStr">
        <is>
          <t>Ciprofloxacin เพราะยับยั้งเอนไซม์ CYP1A2</t>
        </is>
      </c>
      <c r="E18" s="38" t="inlineStr">
        <is>
          <t>Norfloxacin เพราะดูดซึมทางปากไม่ดี</t>
        </is>
      </c>
      <c r="F18" s="38" t="inlineStr">
        <is>
          <t>Moxifloxacin เพราะขับออกทางไตน้อย ไม่ได้ความเข้มข้นเพียงพอในปัสสาวะ</t>
        </is>
      </c>
      <c r="G18" s="38" t="inlineStr">
        <is>
          <t>Levofloxacin เพราะใช้รักษาเฉพาะโรคปอดเท่านั้น</t>
        </is>
      </c>
      <c r="H18" s="38" t="inlineStr">
        <is>
          <t>Gemifloxacin เพราะไม่มีฤทธิ์ต่อเชื้อแกรมลบเลย</t>
        </is>
      </c>
      <c r="I18" s="37" t="inlineStr">
        <is>
          <t>3</t>
        </is>
      </c>
      <c r="J18" s="38"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8" t="n"/>
      <c r="L18" s="39" t="inlineStr">
        <is>
          <t>Cystitis</t>
        </is>
      </c>
      <c r="M18" s="39" t="inlineStr">
        <is>
          <t>Clinic</t>
        </is>
      </c>
      <c r="N18" s="38" t="inlineStr">
        <is>
          <t>ข้อ 4.4 Mock Infectious RxCU84</t>
        </is>
      </c>
      <c r="O18" s="39" t="n"/>
      <c r="P18" s="39" t="n"/>
    </row>
    <row r="19" ht="13.2" customHeight="1" s="49">
      <c r="A19" s="37" t="n">
        <v>17</v>
      </c>
      <c r="B19" s="38"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38" t="n"/>
      <c r="D19" s="38" t="inlineStr">
        <is>
          <t>ไม่มีความสำคัญ เพราะ fluoroquinolone ยังคงได้ผลดีเท่ากันในทุกภูมิภาคของโลก</t>
        </is>
      </c>
      <c r="E19" s="38"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38" t="inlineStr">
        <is>
          <t>ทำให้ต้องปรับขนาดยาตามการทำงานของตับเป็นพิเศษ</t>
        </is>
      </c>
      <c r="G19" s="38" t="inlineStr">
        <is>
          <t>เพิ่มความเสี่ยง tendon rupture จากสภาพอากาศร้อนระหว่างเดินทาง</t>
        </is>
      </c>
      <c r="H19" s="38" t="inlineStr">
        <is>
          <t>ทำให้ต้องหลีกเลี่ยงยากลุ่มนี้เฉพาะในหญิงตั้งครรภ์เท่านั้น</t>
        </is>
      </c>
      <c r="I19" s="37" t="inlineStr">
        <is>
          <t>2</t>
        </is>
      </c>
      <c r="J19" s="38"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Cystitis</t>
        </is>
      </c>
      <c r="M19" s="39" t="inlineStr">
        <is>
          <t>Clinic</t>
        </is>
      </c>
      <c r="N19" s="38" t="inlineStr">
        <is>
          <t>ข้อ 4.5 Mock Infectious RxCU84</t>
        </is>
      </c>
      <c r="O19" s="39" t="n"/>
      <c r="P19" s="39" t="n"/>
    </row>
    <row r="20" ht="13.2" customHeight="1" s="49">
      <c r="A20" s="37" t="n">
        <v>18</v>
      </c>
      <c r="B20" s="38"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38" t="n"/>
      <c r="D20" s="38" t="inlineStr">
        <is>
          <t>กินพร้อมกันได้เลย ไม่มีปฏิกิริยาต่อกัน</t>
        </is>
      </c>
      <c r="E20" s="38" t="inlineStr">
        <is>
          <t>เว้นระยะห่างระหว่างกิน norfloxacin กับแคลเซียมเสริมอย่างน้อย 2 ชั่วโมง</t>
        </is>
      </c>
      <c r="F20" s="38" t="inlineStr">
        <is>
          <t>ให้หยุดกินแคลเซียมเสริมถาวรตลอดชีวิต</t>
        </is>
      </c>
      <c r="G20" s="38" t="inlineStr">
        <is>
          <t>เปลี่ยนไปใช้แคลเซียมชนิดฉีดแทนทันที</t>
        </is>
      </c>
      <c r="H20" s="38" t="inlineStr">
        <is>
          <t>ให้กินแคลเซียมพร้อมยาเพื่อลดการระคายเคืองกระเพาะจาก norfloxacin</t>
        </is>
      </c>
      <c r="I20" s="37" t="inlineStr">
        <is>
          <t>2</t>
        </is>
      </c>
      <c r="J20" s="38"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Cystitis</t>
        </is>
      </c>
      <c r="M20" s="39" t="inlineStr">
        <is>
          <t>Clinic</t>
        </is>
      </c>
      <c r="N20" s="38" t="inlineStr">
        <is>
          <t>ข้อ 4.6 Mock Infectious RxCU84</t>
        </is>
      </c>
      <c r="O20" s="39" t="n"/>
      <c r="P20" s="39" t="n"/>
    </row>
    <row r="21" ht="13.2" customHeight="1" s="49">
      <c r="A21" s="37" t="n">
        <v>19</v>
      </c>
      <c r="B21" s="38"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38" t="n"/>
      <c r="D21" s="38" t="inlineStr">
        <is>
          <t>จ่ายยาปฏิชีวนะทันที เนื่องจากมีไข้และระดับความปวดสูง</t>
        </is>
      </c>
      <c r="E21" s="38" t="inlineStr">
        <is>
          <t>จ่าย Amoxicillin-Clavulanate ทันที เนื่องจากผู้ป่วยเริ่มรับประทานอาหารได้น้อยลง</t>
        </is>
      </c>
      <c r="F21" s="38" t="inlineStr">
        <is>
          <t>แนะนำการจัดการความเจ็บปวดเป็นอันดับแรก และพิจารณาเฝ้าสังเกตอาการ (Watchful waiting) 48-72 ชั่วโมง</t>
        </is>
      </c>
      <c r="G21" s="38" t="inlineStr">
        <is>
          <t>ส่งต่อโรงพยาบาลทันที เนื่องจากเสี่ยงต่อภาวะเยื่อหุ้มสมองอักเสบแทรกซ้อน</t>
        </is>
      </c>
      <c r="H21" s="38" t="inlineStr">
        <is>
          <t>แนะนำให้ใช้ยาหยอดหูที่มีส่วนผสมของยาปฏิชีวนะร่วมกับยาลดไข้</t>
        </is>
      </c>
      <c r="I21" s="37" t="inlineStr">
        <is>
          <t>3</t>
        </is>
      </c>
      <c r="J21" s="38"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การดูแลผู้ติดเชื้อ HIV เน้นเริ่ม Antiretroviral Therapy (ART) ทันทีเพื่อกด viral load ให้ undetectable (U=U) และฟื้นฟูระบบภูมิคุ้มกัน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 s="38" t="n"/>
      <c r="L21" s="39" t="inlineStr">
        <is>
          <t>HIV infection</t>
        </is>
      </c>
      <c r="M21" s="39" t="inlineStr">
        <is>
          <t>Clinic</t>
        </is>
      </c>
      <c r="N21" s="38" t="inlineStr">
        <is>
          <t>ข้อ 5.1 Mock Infectious RxCU84</t>
        </is>
      </c>
      <c r="O21" s="39" t="n"/>
      <c r="P21" s="39" t="n"/>
    </row>
    <row r="22" ht="13.2" customHeight="1" s="49">
      <c r="A22" s="37" t="n">
        <v>20</v>
      </c>
      <c r="B22" s="38"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38" t="n"/>
      <c r="D22" s="38" t="inlineStr">
        <is>
          <t>Amoxicillin 40-50 mg/kg/day นาน 5 วัน</t>
        </is>
      </c>
      <c r="E22" s="38" t="inlineStr">
        <is>
          <t>Amoxicillin 80-90 mg/kg/day นาน 7 วัน</t>
        </is>
      </c>
      <c r="F22" s="38" t="inlineStr">
        <is>
          <t>Amoxicillin-Clavulanate 90 mg/kg/day นาน 10 วัน</t>
        </is>
      </c>
      <c r="G22" s="38" t="inlineStr">
        <is>
          <t>Azithromycin 10 mg/kg วันแรก ตามด้วย 5 mg/kg อีก 4 วัน</t>
        </is>
      </c>
      <c r="H22" s="38" t="inlineStr">
        <is>
          <t>Cephalexin 50 mg/kg/day นาน 10 วัน</t>
        </is>
      </c>
      <c r="I22" s="37" t="inlineStr">
        <is>
          <t>2</t>
        </is>
      </c>
      <c r="J22" s="38" t="inlineStr">
        <is>
          <t>✅ คำตอบที่ถูกต้อง: ข้อ ข. Amoxicillin 80-90 mg/kg/day นาน 7 วัน
💡 Background:
การดูแลผู้ติดเชื้อ HIV เน้นเริ่ม Antiretroviral Therapy (ART) ทันทีเพื่อกด viral load ให้ undetectable (U=U) และฟื้นฟูระบบภูมิคุ้มกัน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 s="38" t="n"/>
      <c r="L22" s="39" t="inlineStr">
        <is>
          <t>HIV infection</t>
        </is>
      </c>
      <c r="M22" s="39" t="inlineStr">
        <is>
          <t>Clinic</t>
        </is>
      </c>
      <c r="N22" s="38" t="inlineStr">
        <is>
          <t>ข้อ 5.2 Mock Infectious RxCU84</t>
        </is>
      </c>
      <c r="O22" s="39" t="n"/>
      <c r="P22" s="39" t="n"/>
    </row>
    <row r="23" ht="13.2" customHeight="1" s="49">
      <c r="A23" s="37" t="n">
        <v>21</v>
      </c>
      <c r="B23" s="38"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38" t="n"/>
      <c r="D23" s="38" t="inlineStr">
        <is>
          <t>ให้รับประทานยาปฏิชีวนะต่อไปจนครบ 3 วันเพื่อดูการตอบสนองของยาอีกครั้ง</t>
        </is>
      </c>
      <c r="E23" s="38" t="inlineStr">
        <is>
          <t>สั่งให้หยุดยาปฏิชีวนะทันทีและรีบส่งตัวผู้ป่วยไปยังห้องฉุกเฉินของโรงพยาบาลโดยด่วน</t>
        </is>
      </c>
      <c r="F23" s="38" t="inlineStr">
        <is>
          <t>แนะนำให้ใช้ยาฆ่าเชื้อชนิดทาบริเวณผิวหนังที่พุพองและใช้ยาป้ายปากเพื่อรักษาแผลเปื่อย</t>
        </is>
      </c>
      <c r="G23" s="38" t="inlineStr">
        <is>
          <t>อาการแผลเปื่อยรอบปากเป็นอาการปกติของการติดเชื้อไวรัสซ้ำซ้อน ไม่เกี่ยวข้องกับยาปฏิชีวนะ</t>
        </is>
      </c>
      <c r="H23" s="38" t="inlineStr">
        <is>
          <t>ให้ Antihistamine ขนาดสูงเพื่อยับยั้งอาการ และเช็ดตัวบ่อยๆ พร้อมเฝ้าดูอาการต่อที่บ้าน 24 ชั่วโมง</t>
        </is>
      </c>
      <c r="I23" s="37" t="inlineStr">
        <is>
          <t>2</t>
        </is>
      </c>
      <c r="J23" s="38" t="inlineStr">
        <is>
          <t>✅ คำตอบที่ถูกต้อง: ข้อ ข. สั่งให้หยุดยาปฏิชีวนะทันทีและรีบส่งตัวผู้ป่วยไปยังห้องฉุกเฉินของโรงพยาบาลโดยด่วน
💡 Background:
การดูแลผู้ติดเชื้อ HIV เน้นเริ่ม Antiretroviral Therapy (ART) ทันทีเพื่อกด viral load ให้ undetectable (U=U) และฟื้นฟูระบบภูมิคุ้มกัน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 s="38" t="n"/>
      <c r="L23" s="39" t="inlineStr">
        <is>
          <t>HIV infection</t>
        </is>
      </c>
      <c r="M23" s="39" t="inlineStr">
        <is>
          <t>Clinic</t>
        </is>
      </c>
      <c r="N23" s="38" t="inlineStr">
        <is>
          <t>ข้อ 5.3 Mock Infectious RxCU84</t>
        </is>
      </c>
      <c r="O23" s="39" t="n"/>
      <c r="P23" s="39" t="n"/>
    </row>
    <row r="24" ht="13.2" customHeight="1" s="49">
      <c r="A24" s="37" t="n">
        <v>22</v>
      </c>
      <c r="B24" s="38"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38" t="n"/>
      <c r="D24" s="38" t="inlineStr">
        <is>
          <t>เสี่ยงฟันเปลี่ยนสีถาวรและกดการเจริญเติบโตของกระดูก เนื่องจากยาจับกับแคลเซียมในกระดูก/ฟันที่กำลังสร้าง</t>
        </is>
      </c>
      <c r="E24" s="38" t="inlineStr">
        <is>
          <t>เสี่ยง tendon rupture สูงเป็นพิเศษในเด็ก</t>
        </is>
      </c>
      <c r="F24" s="38" t="inlineStr">
        <is>
          <t>เสี่ยง ototoxicity ถาวรในเด็กเล็กโดยเฉพาะ</t>
        </is>
      </c>
      <c r="G24" s="38" t="inlineStr">
        <is>
          <t>เสี่ยง QT prolongation รุนแรงกว่าผู้ใหญ่มาก</t>
        </is>
      </c>
      <c r="H24" s="38" t="inlineStr">
        <is>
          <t>ไม่มีรูปแบบยาน้ำสำหรับเด็กเล็ก</t>
        </is>
      </c>
      <c r="I24" s="37" t="inlineStr">
        <is>
          <t>1</t>
        </is>
      </c>
      <c r="J24" s="38"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Cystitis</t>
        </is>
      </c>
      <c r="M24" s="39" t="inlineStr">
        <is>
          <t>Clinic</t>
        </is>
      </c>
      <c r="N24" s="38" t="inlineStr">
        <is>
          <t>ข้อ 5.4 Mock Infectious RxCU84</t>
        </is>
      </c>
      <c r="O24" s="39" t="n"/>
      <c r="P24" s="39" t="n"/>
    </row>
    <row r="25" ht="13.2" customHeight="1" s="49">
      <c r="A25" s="37" t="n">
        <v>23</v>
      </c>
      <c r="B25" s="38"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38" t="n"/>
      <c r="D25" s="38" t="inlineStr">
        <is>
          <t>Gentamicin — ครอบคลุม H. influenzae ได้ดีเยี่ยม</t>
        </is>
      </c>
      <c r="E25" s="38" t="inlineStr">
        <is>
          <t>Clindamycin — ครอบคลุมเชื้อแกรมบวกได้ดี แต่ไม่ครอบคลุม H. influenzae ซึ่งเป็นเชื้อก่อโรคหูชั้นกลางอักเสบที่พบบ่อย</t>
        </is>
      </c>
      <c r="F25" s="38" t="inlineStr">
        <is>
          <t>Moxifloxacin — เป็นยาทางเลือกแรกในเด็กเมื่อแพ้ penicillin</t>
        </is>
      </c>
      <c r="G25" s="38" t="inlineStr">
        <is>
          <t>Tigecycline — ปลอดภัยและใช้ได้ทั่วไปในเด็กเล็ก</t>
        </is>
      </c>
      <c r="H25" s="38" t="inlineStr">
        <is>
          <t>Doxycycline — ครอบคลุมเชื้อก่อโรคหูชั้นกลางอักเสบได้ครบถ้วน</t>
        </is>
      </c>
      <c r="I25" s="37" t="inlineStr">
        <is>
          <t>2</t>
        </is>
      </c>
      <c r="J25" s="38"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การดูแลผู้ติดเชื้อ HIV เน้นเริ่ม Antiretroviral Therapy (ART) ทันทีเพื่อกด viral load ให้ undetectable (U=U) และฟื้นฟูระบบภูมิคุ้มกัน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 s="38" t="n"/>
      <c r="L25" s="39" t="inlineStr">
        <is>
          <t>HIV infection</t>
        </is>
      </c>
      <c r="M25" s="39" t="inlineStr">
        <is>
          <t>Clinic</t>
        </is>
      </c>
      <c r="N25" s="38" t="inlineStr">
        <is>
          <t>ข้อ 5.5 Mock Infectious RxCU84</t>
        </is>
      </c>
      <c r="O25" s="39" t="n"/>
      <c r="P25" s="39" t="n"/>
    </row>
    <row r="26" ht="13.2" customHeight="1" s="49">
      <c r="A26" s="37" t="n">
        <v>24</v>
      </c>
      <c r="B26" s="38"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38" t="n"/>
      <c r="D26" s="38" t="inlineStr">
        <is>
          <t>เพราะมีราคาแพงเกินไปสำหรับผู้ป่วยเด็ก</t>
        </is>
      </c>
      <c r="E26" s="38" t="inlineStr">
        <is>
          <t>เพราะมีความเป็นพิษต่อกระดูกอ่อน (cartilage toxicity) จากการศึกษาในสัตว์ทดลอง จึงหลีกเลี่ยงในเด็กและหญิงตั้งครรภ์</t>
        </is>
      </c>
      <c r="F26" s="38" t="inlineStr">
        <is>
          <t>เพราะไม่มีรูปแบบยาน้ำสำหรับเด็ก</t>
        </is>
      </c>
      <c r="G26" s="38" t="inlineStr">
        <is>
          <t>เพราะออกฤทธิ์แบบ bacteriostatic เท่านั้นในผู้ป่วยเด็ก</t>
        </is>
      </c>
      <c r="H26" s="38" t="inlineStr">
        <is>
          <t>เพราะเพิ่มความเสี่ยง Fanconi syndrome เฉพาะในเด็กเท่านั้น</t>
        </is>
      </c>
      <c r="I26" s="37" t="inlineStr">
        <is>
          <t>2</t>
        </is>
      </c>
      <c r="J26" s="38"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การดูแลผู้ติดเชื้อ HIV เน้นเริ่ม Antiretroviral Therapy (ART) ทันทีเพื่อกด viral load ให้ undetectable (U=U) และฟื้นฟูระบบภูมิคุ้มกัน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 s="38" t="n"/>
      <c r="L26" s="39" t="inlineStr">
        <is>
          <t>HIV infection</t>
        </is>
      </c>
      <c r="M26" s="39" t="inlineStr">
        <is>
          <t>Clinic</t>
        </is>
      </c>
      <c r="N26" s="38" t="inlineStr">
        <is>
          <t>ข้อ 5.6 Mock Infectious RxCU84</t>
        </is>
      </c>
      <c r="O26" s="39" t="n"/>
      <c r="P26" s="39" t="n"/>
    </row>
    <row r="27" ht="13.2" customHeight="1" s="49">
      <c r="A27" s="37" t="n">
        <v>25</v>
      </c>
      <c r="B27" s="38"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38" t="n"/>
      <c r="D27" s="38" t="inlineStr">
        <is>
          <t>Acute hepatitis B</t>
        </is>
      </c>
      <c r="E27" s="38" t="inlineStr">
        <is>
          <t>Chronic hepatitis B</t>
        </is>
      </c>
      <c r="F27" s="38" t="inlineStr">
        <is>
          <t>เคยติดเชื้อ hepatitis B และรักษาหายแล้ว</t>
        </is>
      </c>
      <c r="G27" s="38" t="inlineStr">
        <is>
          <t>ได้รับวัคซีนป้องกัน hepatitis B และมีภูมิคุ้มกัน</t>
        </is>
      </c>
      <c r="H27" s="38" t="inlineStr">
        <is>
          <t>อยู่ในช่วง Window period ของการติดเชื้อ</t>
        </is>
      </c>
      <c r="I27" s="37" t="inlineStr">
        <is>
          <t>2</t>
        </is>
      </c>
      <c r="J27" s="38"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38" t="n"/>
      <c r="L27" s="39" t="inlineStr">
        <is>
          <t>HIV infection</t>
        </is>
      </c>
      <c r="M27" s="39" t="inlineStr">
        <is>
          <t>Clinic</t>
        </is>
      </c>
      <c r="N27" s="38" t="inlineStr">
        <is>
          <t>ข้อ 8.1 Mock Infectious RxCU84</t>
        </is>
      </c>
      <c r="O27" s="39" t="n"/>
      <c r="P27" s="39" t="n"/>
    </row>
    <row r="28" ht="13.2" customHeight="1" s="49">
      <c r="A28" s="37" t="n">
        <v>26</v>
      </c>
      <c r="B28" s="38"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38" t="n"/>
      <c r="D28" s="38" t="inlineStr">
        <is>
          <t>ผู้ป่วยเป็น acute hepatitis B</t>
        </is>
      </c>
      <c r="E28" s="38" t="inlineStr">
        <is>
          <t>Immune Tolerance Phase</t>
        </is>
      </c>
      <c r="F28" s="38" t="inlineStr">
        <is>
          <t>Immune Active Phase</t>
        </is>
      </c>
      <c r="G28" s="38" t="inlineStr">
        <is>
          <t>Inactive Carrier Phase</t>
        </is>
      </c>
      <c r="H28" s="38" t="inlineStr">
        <is>
          <t>Reactivation Phase</t>
        </is>
      </c>
      <c r="I28" s="37" t="inlineStr">
        <is>
          <t>3</t>
        </is>
      </c>
      <c r="J28" s="38" t="inlineStr">
        <is>
          <t>✅ คำตอบที่ถูกต้อง: ข้อ ค. Immune Active Phase
💡 Background:
การดูแลผู้ติดเชื้อ HIV เน้นเริ่ม Antiretroviral Therapy (ART) ทันทีเพื่อกด viral load ให้ undetectable (U=U) และฟื้นฟูระบบภูมิคุ้มกัน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 s="38" t="n"/>
      <c r="L28" s="39" t="inlineStr">
        <is>
          <t>HIV infection</t>
        </is>
      </c>
      <c r="M28" s="39" t="inlineStr">
        <is>
          <t>Clinic</t>
        </is>
      </c>
      <c r="N28" s="38" t="inlineStr">
        <is>
          <t>ข้อ 8.2 Mock Infectious RxCU84</t>
        </is>
      </c>
      <c r="O28" s="39" t="n"/>
      <c r="P28" s="39" t="n"/>
    </row>
    <row r="29" ht="13.2" customHeight="1" s="49">
      <c r="A29" s="37" t="n">
        <v>27</v>
      </c>
      <c r="B29" s="38"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38" t="n"/>
      <c r="D29" s="38" t="inlineStr">
        <is>
          <t>Tenofovir disoproxil fumarate (TDF) 300 mg รับประทานวันละ 1 ครั้ง</t>
        </is>
      </c>
      <c r="E29" s="38" t="inlineStr">
        <is>
          <t>Lamivudine 100 mg รับประทานวันละ 1 ครั้ง</t>
        </is>
      </c>
      <c r="F29" s="38" t="inlineStr">
        <is>
          <t>Entecavir 0.5 mg รับประทานวันละ 1 ครั้ง (ปรับขนาดตามการทำงานของไต)</t>
        </is>
      </c>
      <c r="G29" s="38" t="inlineStr">
        <is>
          <t>Peginterferon alfa-2a 180 mcg ฉีดใต้ผิวหนังสัปดาห์ละ 1 ครั้ง</t>
        </is>
      </c>
      <c r="H29" s="38" t="inlineStr">
        <is>
          <t>Telbivudine 600 mg รับประทานวันละ 1 ครั้ง</t>
        </is>
      </c>
      <c r="I29" s="37" t="inlineStr">
        <is>
          <t>3</t>
        </is>
      </c>
      <c r="J29" s="38"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38" t="n"/>
      <c r="L29" s="39" t="inlineStr">
        <is>
          <t>HIV infection</t>
        </is>
      </c>
      <c r="M29" s="39" t="inlineStr">
        <is>
          <t>Clinic</t>
        </is>
      </c>
      <c r="N29" s="38" t="inlineStr">
        <is>
          <t>ข้อ 8.3 Mock Infectious RxCU84</t>
        </is>
      </c>
      <c r="O29" s="39" t="n"/>
      <c r="P29" s="39" t="n"/>
    </row>
    <row r="30" ht="13.2" customHeight="1" s="49">
      <c r="A30" s="37" t="n">
        <v>28</v>
      </c>
      <c r="B30" s="38"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38" t="n"/>
      <c r="D30" s="38" t="inlineStr">
        <is>
          <t>ทำให้ค่า AST และ ALT กลับสู่ศูนย์</t>
        </is>
      </c>
      <c r="E30" s="38" t="inlineStr">
        <is>
          <t>ทำให้ HBsAg เปลี่ยนเป็นลบในผู้ป่วยทุกราย</t>
        </is>
      </c>
      <c r="F30" s="38" t="inlineStr">
        <is>
          <t>กำจัด HBV cccDNA ออกจากเซลล์ตับให้หมด</t>
        </is>
      </c>
      <c r="G30" s="38" t="inlineStr">
        <is>
          <t>ลดการดำเนินโรคไปสู่ตับแข็ง มะเร็งตับ และลดอัตราการเสียชีวิต</t>
        </is>
      </c>
      <c r="H30" s="38" t="inlineStr">
        <is>
          <t>ทำให้ Anti-HBs เปลี่ยนเป็นบวกภายใน 6 เดือน</t>
        </is>
      </c>
      <c r="I30" s="37" t="inlineStr">
        <is>
          <t>4</t>
        </is>
      </c>
      <c r="J30" s="38" t="inlineStr">
        <is>
          <t>✅ คำตอบที่ถูกต้อง: ข้อ ง. ลดการดำเนินโรคไปสู่ตับแข็ง มะเร็งตับ และลดอัตราการเสียชีวิต
💡 Background:
การดูแลผู้ติดเชื้อ HIV เน้นเริ่ม Antiretroviral Therapy (ART) ทันทีเพื่อกด viral load ให้ undetectable (U=U) และฟื้นฟูระบบภูมิคุ้มกัน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 s="38" t="n"/>
      <c r="L30" s="39" t="inlineStr">
        <is>
          <t>HIV infection</t>
        </is>
      </c>
      <c r="M30" s="39" t="inlineStr">
        <is>
          <t>Clinic</t>
        </is>
      </c>
      <c r="N30" s="38" t="inlineStr">
        <is>
          <t>ข้อ 8.4 Mock Infectious RxCU84</t>
        </is>
      </c>
      <c r="O30" s="39" t="n"/>
      <c r="P30" s="39" t="n"/>
    </row>
    <row r="31" ht="13.2" customHeight="1" s="49">
      <c r="A31" s="37" t="n">
        <v>29</v>
      </c>
      <c r="B31" s="38"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38" t="n"/>
      <c r="D31" s="38" t="inlineStr">
        <is>
          <t>เพื่อยืนยันว่าผู้ป่วยเคยได้รับวัคซีนป้องกันไวรัสตับอักเสบบี</t>
        </is>
      </c>
      <c r="E31" s="38" t="inlineStr">
        <is>
          <t>เพื่อประเมินระดับการแบ่งตัวของไวรัส และใช้ประกอบการตัดสินใจเริ่มรักษา รวมถึงติดตามผลการรักษา</t>
        </is>
      </c>
      <c r="F31" s="38" t="inlineStr">
        <is>
          <t>เพื่อยืนยันภาวะตับแข็ง</t>
        </is>
      </c>
      <c r="G31" s="38" t="inlineStr">
        <is>
          <t>เพื่อประเมินระดับภูมิคุ้มกันต่อไวรัสตับอักเสบบี</t>
        </is>
      </c>
      <c r="H31" s="38" t="inlineStr">
        <is>
          <t>เพื่อยืนยันการติดเชื้อไวรัสตับอักเสบชนิดเอร่วมด้วย</t>
        </is>
      </c>
      <c r="I31" s="37" t="inlineStr">
        <is>
          <t>2</t>
        </is>
      </c>
      <c r="J31" s="38"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การดูแลผู้ติดเชื้อ HIV เน้นเริ่ม Antiretroviral Therapy (ART) ทันทีเพื่อกด viral load ให้ undetectable (U=U) และฟื้นฟูระบบภูมิคุ้มกัน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1" s="38" t="n"/>
      <c r="L31" s="39" t="inlineStr">
        <is>
          <t>HIV infection</t>
        </is>
      </c>
      <c r="M31" s="39" t="inlineStr">
        <is>
          <t>Clinic</t>
        </is>
      </c>
      <c r="N31" s="38" t="inlineStr">
        <is>
          <t>ข้อ 8.5 Mock Infectious RxCU84</t>
        </is>
      </c>
      <c r="O31" s="39" t="n"/>
      <c r="P31" s="39" t="n"/>
    </row>
    <row r="32" ht="13.2" customHeight="1" s="49">
      <c r="A32" s="37" t="n">
        <v>30</v>
      </c>
      <c r="B32" s="38"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38" t="n"/>
      <c r="D32" s="38" t="inlineStr">
        <is>
          <t>Community-acquired pneumonia (CAP)</t>
        </is>
      </c>
      <c r="E32" s="38" t="inlineStr">
        <is>
          <t>Pulmonary tuberculosis</t>
        </is>
      </c>
      <c r="F32" s="38" t="inlineStr">
        <is>
          <t>Lung cancer</t>
        </is>
      </c>
      <c r="G32" s="38" t="inlineStr">
        <is>
          <t>Bronchiectasis</t>
        </is>
      </c>
      <c r="H32" s="38" t="inlineStr">
        <is>
          <t>Pneumocystis jirovecii pneumonia (PJP)</t>
        </is>
      </c>
      <c r="I32" s="37" t="inlineStr">
        <is>
          <t>2</t>
        </is>
      </c>
      <c r="J32" s="38"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38" t="n"/>
      <c r="L32" s="39" t="inlineStr">
        <is>
          <t>Tuberculosis</t>
        </is>
      </c>
      <c r="M32" s="39" t="inlineStr">
        <is>
          <t>Clinic</t>
        </is>
      </c>
      <c r="N32" s="38" t="inlineStr">
        <is>
          <t>ข้อ 9.1 Mock Infectious RxCU84</t>
        </is>
      </c>
      <c r="O32" s="39" t="n"/>
      <c r="P32" s="39" t="n"/>
    </row>
    <row r="33" ht="13.2" customHeight="1" s="49">
      <c r="A33" s="37" t="n">
        <v>31</v>
      </c>
      <c r="B33" s="38" t="inlineStr">
        <is>
          <t>ผู้ป่วยหญิงอายุ 29 ปี ผลตรวจเสมหะพบ AFB sputum smear 3+
คำถาม: ผล AFB sputum smear 3+ ในผู้ป่วยรายนี้มีความหมายมากที่สุดข้อใด?</t>
        </is>
      </c>
      <c r="C33" s="38" t="n"/>
      <c r="D33" s="38" t="inlineStr">
        <is>
          <t>ยืนยันว่าเชื้อดื้อต่อยา Rifampicin</t>
        </is>
      </c>
      <c r="E33" s="38" t="inlineStr">
        <is>
          <t>ผู้ป่วยมีเชื้อวัณโรคในกระแสเลือด</t>
        </is>
      </c>
      <c r="F33" s="38" t="inlineStr">
        <is>
          <t>พบเชื้อ acid-fast bacilli ในเสมหะจำนวนมาก และมีโอกาสแพร่เชื้อสูง</t>
        </is>
      </c>
      <c r="G33" s="38" t="inlineStr">
        <is>
          <t>ยืนยันว่าเป็นเชื้อ Mycobacterium tuberculosis โดยไม่ต้องตรวจเพิ่มเติม</t>
        </is>
      </c>
      <c r="H33" s="38" t="inlineStr">
        <is>
          <t>ผู้ป่วยมีภาวะติดเชื้อแบคทีเรียแทรกซ้อนในทางเดินหายใจส่วนบน</t>
        </is>
      </c>
      <c r="I33" s="37" t="inlineStr">
        <is>
          <t>3</t>
        </is>
      </c>
      <c r="J33" s="38"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38" t="n"/>
      <c r="L33" s="39" t="inlineStr">
        <is>
          <t>Tuberculosis</t>
        </is>
      </c>
      <c r="M33" s="39" t="inlineStr">
        <is>
          <t>Clinic</t>
        </is>
      </c>
      <c r="N33" s="38" t="inlineStr">
        <is>
          <t>ข้อ 9.2 Mock Infectious RxCU84</t>
        </is>
      </c>
      <c r="O33" s="39" t="n"/>
      <c r="P33" s="39" t="n"/>
    </row>
    <row r="34" ht="13.2" customHeight="1" s="49">
      <c r="A34" s="37" t="n">
        <v>32</v>
      </c>
      <c r="B34" s="38"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38" t="n"/>
      <c r="D34" s="38" t="inlineStr">
        <is>
          <t>2HRZE / 4HR</t>
        </is>
      </c>
      <c r="E34" s="38" t="inlineStr">
        <is>
          <t>2HR / 7HR</t>
        </is>
      </c>
      <c r="F34" s="38" t="inlineStr">
        <is>
          <t>6HRZE</t>
        </is>
      </c>
      <c r="G34" s="38" t="inlineStr">
        <is>
          <t>9HR</t>
        </is>
      </c>
      <c r="H34" s="38" t="inlineStr">
        <is>
          <t>2HRZ / 4HR</t>
        </is>
      </c>
      <c r="I34" s="37" t="inlineStr">
        <is>
          <t>1</t>
        </is>
      </c>
      <c r="J34" s="38"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38" t="n"/>
      <c r="L34" s="39" t="inlineStr">
        <is>
          <t>Tuberculosis</t>
        </is>
      </c>
      <c r="M34" s="39" t="inlineStr">
        <is>
          <t>Clinic</t>
        </is>
      </c>
      <c r="N34" s="38" t="inlineStr">
        <is>
          <t>ข้อ 9.3 Mock Infectious RxCU84</t>
        </is>
      </c>
      <c r="O34" s="39" t="n"/>
      <c r="P34" s="39" t="n"/>
    </row>
    <row r="35" ht="13.2" customHeight="1" s="49">
      <c r="A35" s="37" t="n">
        <v>33</v>
      </c>
      <c r="B35" s="38"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38" t="n"/>
      <c r="D35" s="38"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38" t="inlineStr">
        <is>
          <t>Isoniazid – ปัสสาวะสีส้มแดง, Rifampicin – ปลายมือปลายเท้าชา, Pyrazinamide – ตามัว, Ethambutol – กรดยูริกสูง</t>
        </is>
      </c>
      <c r="F35" s="38" t="inlineStr">
        <is>
          <t>Isoniazid – ตามัว, Rifampicin – กรดยูริกสูง, Pyrazinamide – ปลายมือปลายเท้าชา, Ethambutol – ปัสสาวะสีส้มแดง</t>
        </is>
      </c>
      <c r="G35" s="38" t="inlineStr">
        <is>
          <t>Isoniazid – ปวดข้อ, Rifampicin – ตามัว, Pyrazinamide – ปัสสาวะสีส้มแดง, Ethambutol – ชาปลายมือปลายเท้า</t>
        </is>
      </c>
      <c r="H35" s="38" t="inlineStr">
        <is>
          <t>Isoniazid – หูดับ, Rifampicin – ตับอักเสบ, Pyrazinamide – ผื่นลมพิษ, Ethambutol – ไตวาย</t>
        </is>
      </c>
      <c r="I35" s="37" t="inlineStr">
        <is>
          <t>1</t>
        </is>
      </c>
      <c r="J35" s="38"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38" t="n"/>
      <c r="L35" s="39" t="inlineStr">
        <is>
          <t>Tuberculosis</t>
        </is>
      </c>
      <c r="M35" s="39" t="inlineStr">
        <is>
          <t>Clinic</t>
        </is>
      </c>
      <c r="N35" s="38" t="inlineStr">
        <is>
          <t>ข้อ 9.4 Mock Infectious RxCU84</t>
        </is>
      </c>
      <c r="O35" s="39" t="n"/>
      <c r="P35" s="39" t="n"/>
    </row>
    <row r="36" ht="13.2" customHeight="1" s="49">
      <c r="A36" s="37" t="n">
        <v>34</v>
      </c>
      <c r="B36" s="38"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38" t="n"/>
      <c r="D36" s="38" t="inlineStr">
        <is>
          <t>หากปัสสาวะเป็นสีส้มแดง ให้หยุดยา Rifampicin ทันที</t>
        </is>
      </c>
      <c r="E36" s="38" t="inlineStr">
        <is>
          <t>หากมีอาการตามัวหรือมองเห็นสีผิดปกติ ควรหยุดยาเองและรอพบแพทย์ตามนัด</t>
        </is>
      </c>
      <c r="F36" s="38"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38" t="inlineStr">
        <is>
          <t>เมื่ออาการไอดีขึ้นสามารถหยุดยาต้านวัณโรคได้เองเพื่อป้องกันผลข้างเคียง</t>
        </is>
      </c>
      <c r="H36" s="38" t="inlineStr">
        <is>
          <t>ควรรับประทานยาทุกชนิดพร้อมอาหารมื้อหนักเพื่อป้องกันอาการคลื่นไส้</t>
        </is>
      </c>
      <c r="I36" s="37" t="inlineStr">
        <is>
          <t>3</t>
        </is>
      </c>
      <c r="J36" s="38"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38" t="n"/>
      <c r="L36" s="39" t="inlineStr">
        <is>
          <t>Tuberculosis</t>
        </is>
      </c>
      <c r="M36" s="39" t="inlineStr">
        <is>
          <t>Clinic</t>
        </is>
      </c>
      <c r="N36" s="38" t="inlineStr">
        <is>
          <t>ข้อ 9.5 Mock Infectious RxCU84</t>
        </is>
      </c>
      <c r="O36" s="39" t="n"/>
      <c r="P36" s="39" t="n"/>
    </row>
    <row r="37" ht="13.2" customHeight="1" s="49">
      <c r="A37" s="37" t="n">
        <v>35</v>
      </c>
      <c r="B37" s="38"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38" t="n"/>
      <c r="D37" s="38" t="inlineStr">
        <is>
          <t>Non-inflammatory acne ชนิด closed comedone</t>
        </is>
      </c>
      <c r="E37" s="38" t="inlineStr">
        <is>
          <t>Non-inflammatory acne ชนิด open comedone</t>
        </is>
      </c>
      <c r="F37" s="38" t="inlineStr">
        <is>
          <t>Inflammatory acne ชนิด papule</t>
        </is>
      </c>
      <c r="G37" s="38" t="inlineStr">
        <is>
          <t>Inflammatory acne ชนิด pustule</t>
        </is>
      </c>
      <c r="H37" s="38" t="inlineStr">
        <is>
          <t>Nodulocystic acne</t>
        </is>
      </c>
      <c r="I37" s="37" t="inlineStr">
        <is>
          <t>4</t>
        </is>
      </c>
      <c r="J37" s="38" t="inlineStr">
        <is>
          <t>✅ คำตอบที่ถูกต้อง: ข้อ ง. Inflammatory acne ชนิด pustule
💡 Background:
การดูแลผู้ติดเชื้อ HIV เน้นเริ่ม Antiretroviral Therapy (ART) ทันทีเพื่อกด viral load ให้ undetectable (U=U) และฟื้นฟูระบบภูมิคุ้มกัน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7" s="38" t="n"/>
      <c r="L37" s="39" t="inlineStr">
        <is>
          <t>HIV infection</t>
        </is>
      </c>
      <c r="M37" s="39" t="inlineStr">
        <is>
          <t>Clinic</t>
        </is>
      </c>
      <c r="N37" s="38" t="inlineStr">
        <is>
          <t>ข้อ 10.1 Mock Infectious RxCU84</t>
        </is>
      </c>
      <c r="O37" s="39" t="n"/>
      <c r="P37" s="39" t="n"/>
    </row>
    <row r="38" ht="13.2" customHeight="1" s="49">
      <c r="A38" s="37" t="n">
        <v>36</v>
      </c>
      <c r="B38" s="38"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38" t="n"/>
      <c r="D38" s="38" t="inlineStr">
        <is>
          <t>Oral isotretinoin เพียงอย่างเดียว</t>
        </is>
      </c>
      <c r="E38" s="38" t="inlineStr">
        <is>
          <t>Oral doxycycline เพียงอย่างเดียว</t>
        </is>
      </c>
      <c r="F38" s="38" t="inlineStr">
        <is>
          <t>Topical benzoyl peroxide</t>
        </is>
      </c>
      <c r="G38" s="38" t="inlineStr">
        <is>
          <t>Oral quinolone ร่วมกับ topical retinoid</t>
        </is>
      </c>
      <c r="H38" s="38" t="inlineStr">
        <is>
          <t>Oral isotretinoin ร่วมกับ oral doxycycline</t>
        </is>
      </c>
      <c r="I38" s="37" t="inlineStr">
        <is>
          <t>3</t>
        </is>
      </c>
      <c r="J38" s="38" t="inlineStr">
        <is>
          <t>✅ คำตอบที่ถูกต้อง: ข้อ ค. Topical benzoyl peroxide
💡 Background:
การดูแลผู้ติดเชื้อ HIV เน้นเริ่ม Antiretroviral Therapy (ART) ทันทีเพื่อกด viral load ให้ undetectable (U=U) และฟื้นฟูระบบภูมิคุ้มกัน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8" s="38" t="n"/>
      <c r="L38" s="39" t="inlineStr">
        <is>
          <t>HIV infection</t>
        </is>
      </c>
      <c r="M38" s="39" t="inlineStr">
        <is>
          <t>Clinic</t>
        </is>
      </c>
      <c r="N38" s="38" t="inlineStr">
        <is>
          <t>ข้อ 10.2 Mock Infectious RxCU84</t>
        </is>
      </c>
      <c r="O38" s="39" t="n"/>
      <c r="P38" s="39" t="n"/>
    </row>
    <row r="39" ht="13.2" customHeight="1" s="49">
      <c r="A39" s="37" t="n">
        <v>37</v>
      </c>
      <c r="B39" s="38"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38" t="n"/>
      <c r="D39" s="38" t="inlineStr">
        <is>
          <t>ทายาบาง ๆ วันละ 2 ครั้ง และหากแสบให้เพิ่มความถี่เพื่อให้ผิวชินยา</t>
        </is>
      </c>
      <c r="E39" s="38" t="inlineStr">
        <is>
          <t>ทาเฉพาะบริเวณที่มีหัวหนองเท่านั้น และควรใช้เป็นยาเดี่ยว</t>
        </is>
      </c>
      <c r="F39" s="38" t="inlineStr">
        <is>
          <t>ระวังการสัมผัสเสื้อผ้าและเส้นผม เนื่องจากยาอาจทำให้เกิด bleaching</t>
        </is>
      </c>
      <c r="G39" s="38" t="inlineStr">
        <is>
          <t>ทา benzoyl peroxide หลัง retinoid ทันทีทุกครั้งเพื่อเพิ่มประสิทธิภาพ</t>
        </is>
      </c>
      <c r="H39" s="38" t="inlineStr">
        <is>
          <t>หลีกเลี่ยง moisturizer เพราะจะทำให้เกิด comedone เพิ่มขึ้น</t>
        </is>
      </c>
      <c r="I39" s="37" t="inlineStr">
        <is>
          <t>3</t>
        </is>
      </c>
      <c r="J39" s="38" t="inlineStr">
        <is>
          <t>✅ คำตอบที่ถูกต้อง: ข้อ ค. ระวังการสัมผัสเสื้อผ้าและเส้นผม เนื่องจากยาอาจทำให้เกิด bleaching
💡 Background:
การดูแลผู้ติดเชื้อ HIV เน้นเริ่ม Antiretroviral Therapy (ART) ทันทีเพื่อกด viral load ให้ undetectable (U=U) และฟื้นฟูระบบภูมิคุ้มกัน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9" s="38" t="n"/>
      <c r="L39" s="39" t="inlineStr">
        <is>
          <t>HIV infection</t>
        </is>
      </c>
      <c r="M39" s="39" t="inlineStr">
        <is>
          <t>Clinic</t>
        </is>
      </c>
      <c r="N39" s="38" t="inlineStr">
        <is>
          <t>ข้อ 10.3 Mock Infectious RxCU84</t>
        </is>
      </c>
      <c r="O39" s="39" t="n"/>
      <c r="P39" s="39" t="n"/>
    </row>
    <row r="40" ht="13.2" customHeight="1" s="49">
      <c r="A40" s="37" t="n">
        <v>38</v>
      </c>
      <c r="B40" s="38"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38" t="n"/>
      <c r="D40" s="38" t="inlineStr">
        <is>
          <t>Tretinoin topical</t>
        </is>
      </c>
      <c r="E40" s="38" t="inlineStr">
        <is>
          <t>Adapalene topical</t>
        </is>
      </c>
      <c r="F40" s="38" t="inlineStr">
        <is>
          <t>Doxycycline oral</t>
        </is>
      </c>
      <c r="G40" s="38" t="inlineStr">
        <is>
          <t>Isotretinoin oral</t>
        </is>
      </c>
      <c r="H40" s="38" t="inlineStr">
        <is>
          <t>Azelaic acid topical</t>
        </is>
      </c>
      <c r="I40" s="37" t="inlineStr">
        <is>
          <t>5</t>
        </is>
      </c>
      <c r="J40" s="38" t="inlineStr">
        <is>
          <t>✅ คำตอบที่ถูกต้อง: ข้อ จ. Azelaic acid topical
💡 Background:
การดูแลผู้ติดเชื้อ HIV เน้นเริ่ม Antiretroviral Therapy (ART) ทันทีเพื่อกด viral load ให้ undetectable (U=U) และฟื้นฟูระบบภูมิคุ้มกัน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0" s="38" t="n"/>
      <c r="L40" s="39" t="inlineStr">
        <is>
          <t>HIV infection</t>
        </is>
      </c>
      <c r="M40" s="39" t="inlineStr">
        <is>
          <t>Clinic</t>
        </is>
      </c>
      <c r="N40" s="38" t="inlineStr">
        <is>
          <t>ข้อ 10.4 Mock Infectious RxCU84</t>
        </is>
      </c>
      <c r="O40" s="39" t="n"/>
      <c r="P40" s="39" t="n"/>
    </row>
    <row r="41" ht="13.2" customHeight="1" s="49">
      <c r="A41" s="37" t="n">
        <v>39</v>
      </c>
      <c r="B41" s="38"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38" t="n"/>
      <c r="D41" s="38" t="inlineStr">
        <is>
          <t>แนะนำให้รับประทานอาหารที่มี glycemic index สูงเพื่อเพิ่มพลังงานและลดการอักเสบ ร่วมกับการรักษาสิว</t>
        </is>
      </c>
      <c r="E41" s="38" t="inlineStr">
        <is>
          <t>แนะนำให้หยุดยารักษาสิวทั้งหมดและรักษาด้วยการควบคุมอาหารเพียงอย่างเดียว</t>
        </is>
      </c>
      <c r="F41" s="38" t="inlineStr">
        <is>
          <t>แนะนำให้ลดการรับประทานอาหารที่มี glycemic load สูง ร่วมกับการรักษาสิว</t>
        </is>
      </c>
      <c r="G41" s="38" t="inlineStr">
        <is>
          <t>แนะนำให้รับประทาน vitamin A ขนาดสูงทุกวันเพื่อทดแทน isotretinoin</t>
        </is>
      </c>
      <c r="H41" s="38" t="inlineStr">
        <is>
          <t>แนะนำให้รับประทาน zinc ขนาดสูงเป็นการรักษาหลักแทน topical therapy</t>
        </is>
      </c>
      <c r="I41" s="37" t="inlineStr">
        <is>
          <t>3</t>
        </is>
      </c>
      <c r="J41" s="38" t="inlineStr">
        <is>
          <t>✅ คำตอบที่ถูกต้อง: ข้อ ค. แนะนำให้ลดการรับประทานอาหารที่มี glycemic load สูง ร่วมกับการรักษาสิว
💡 Background:
การดูแลผู้ติดเชื้อ HIV เน้นเริ่ม Antiretroviral Therapy (ART) ทันทีเพื่อกด viral load ให้ undetectable (U=U) และฟื้นฟูระบบภูมิคุ้มกัน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1" s="38" t="n"/>
      <c r="L41" s="39" t="inlineStr">
        <is>
          <t>HIV infection</t>
        </is>
      </c>
      <c r="M41" s="39" t="inlineStr">
        <is>
          <t>Clinic</t>
        </is>
      </c>
      <c r="N41" s="38" t="inlineStr">
        <is>
          <t>ข้อ 10.5 Mock Infectious RxCU84</t>
        </is>
      </c>
      <c r="O41" s="39" t="n"/>
      <c r="P41" s="39" t="n"/>
    </row>
    <row r="42" ht="13.2" customHeight="1" s="49">
      <c r="A42" s="37" t="n">
        <v>40</v>
      </c>
      <c r="B42" s="38"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38" t="n"/>
      <c r="D42" s="38" t="inlineStr">
        <is>
          <t>โรคเริมอวัยวะเพศ (Genital Herpes)</t>
        </is>
      </c>
      <c r="E42" s="38" t="inlineStr">
        <is>
          <t>โรคแผลริมอ่อน (Chancroid)</t>
        </is>
      </c>
      <c r="F42" s="38" t="inlineStr">
        <is>
          <t>โรคซิฟิลิสระยะที่ 1 (Primary Syphilis)</t>
        </is>
      </c>
      <c r="G42" s="38" t="inlineStr">
        <is>
          <t>ช่องคลอดอักเสบจากเชื้อรา (Vulvovaginal Candidiasis)</t>
        </is>
      </c>
      <c r="H42" s="38" t="inlineStr">
        <is>
          <t>โรคหูดข้าวสุก (Molluscum Contagiosum)</t>
        </is>
      </c>
      <c r="I42" s="37" t="inlineStr">
        <is>
          <t>3</t>
        </is>
      </c>
      <c r="J42" s="38" t="inlineStr">
        <is>
          <t>✅ คำตอบที่ถูกต้อง: ข้อ ค. โรคซิฟิลิสระยะที่ 1 (Primary Syphilis)
💡 Background:
การดูแลผู้ติดเชื้อ HIV เน้นเริ่ม Antiretroviral Therapy (ART) ทันทีเพื่อกด viral load ให้ undetectable (U=U) และฟื้นฟูระบบภูมิคุ้มกัน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2" s="38" t="n"/>
      <c r="L42" s="39" t="inlineStr">
        <is>
          <t>HIV infection</t>
        </is>
      </c>
      <c r="M42" s="39" t="inlineStr">
        <is>
          <t>Clinic</t>
        </is>
      </c>
      <c r="N42" s="38" t="inlineStr">
        <is>
          <t>ข้อ 11.1 Mock Infectious RxCU84</t>
        </is>
      </c>
      <c r="O42" s="39" t="n"/>
      <c r="P42" s="39" t="n"/>
    </row>
    <row r="43" ht="13.2" customHeight="1" s="49">
      <c r="A43" s="37" t="n">
        <v>41</v>
      </c>
      <c r="B43" s="38"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38" t="n"/>
      <c r="D43" s="38" t="inlineStr">
        <is>
          <t>Ceftriaxone 1 g ฉีดเข้ากล้ามเนื้อ ครั้งเดียว</t>
        </is>
      </c>
      <c r="E43" s="38" t="inlineStr">
        <is>
          <t>Doxycycline 100 mg รับประทานวันละ 2 ครั้ง นาน 14 วัน</t>
        </is>
      </c>
      <c r="F43" s="38" t="inlineStr">
        <is>
          <t>Benzathine Penicillin G 2.4 million units ฉีดเข้ากล้ามเนื้อ ครั้งเดียว</t>
        </is>
      </c>
      <c r="G43" s="38" t="inlineStr">
        <is>
          <t>Benzathine Penicillin G 2.4 million units ฉีดเข้ากล้ามเนื้อ สัปดาห์ละครั้ง นาน 3 สัปดาห์</t>
        </is>
      </c>
      <c r="H43" s="38" t="inlineStr">
        <is>
          <t>Azithromycin 1 g รับประทานครั้งเดียว</t>
        </is>
      </c>
      <c r="I43" s="37" t="inlineStr">
        <is>
          <t>3</t>
        </is>
      </c>
      <c r="J43" s="38" t="inlineStr">
        <is>
          <t>✅ คำตอบที่ถูกต้อง: ข้อ ค. Benzathine Penicillin G 2.4 million units ฉีดเข้ากล้ามเนื้อ ครั้งเดียว
💡 Background:
การดูแลผู้ติดเชื้อ HIV เน้นเริ่ม Antiretroviral Therapy (ART) ทันทีเพื่อกด viral load ให้ undetectable (U=U) และฟื้นฟูระบบภูมิคุ้มกัน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3" s="38" t="n"/>
      <c r="L43" s="39" t="inlineStr">
        <is>
          <t>HIV infection</t>
        </is>
      </c>
      <c r="M43" s="39" t="inlineStr">
        <is>
          <t>Clinic</t>
        </is>
      </c>
      <c r="N43" s="38" t="inlineStr">
        <is>
          <t>ข้อ 11.2 Mock Infectious RxCU84</t>
        </is>
      </c>
      <c r="O43" s="39" t="n"/>
      <c r="P43" s="39" t="n"/>
    </row>
    <row r="44" ht="13.2" customHeight="1" s="49">
      <c r="A44" s="37" t="n">
        <v>42</v>
      </c>
      <c r="B44" s="38"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38" t="n"/>
      <c r="D44" s="38" t="inlineStr">
        <is>
          <t>แผลที่อวัยวะเพศมักจะมีอาการเจ็บปวดรุนแรงกว่าผู้ที่ไม่ติดเชื้อ HIV</t>
        </is>
      </c>
      <c r="E44" s="38" t="inlineStr">
        <is>
          <t>มีโอกาสตรวจพบอาการแสดงของซิฟิลิสระยะที่ 1 และระยะที่ 2 เกิดขึ้นพร้อมกัน (Overlap)</t>
        </is>
      </c>
      <c r="F44" s="38" t="inlineStr">
        <is>
          <t>ต่อมน้ำเหลืองที่ขาหนีบมักจะอักเสบจนแตกเป็นหนอง (Bubo) ได้ง่ายกว่า</t>
        </is>
      </c>
      <c r="G44" s="38" t="inlineStr">
        <is>
          <t>เชื้อสไปโรขีดมักจะไม่สามารถตรวจพบได้ด้วยการส่องกล้อง Dark-field</t>
        </is>
      </c>
      <c r="H44" s="38" t="inlineStr">
        <is>
          <t>แผลริมแข็ง (Chancre) จะหายช้ากว่าคนปกติและกลายเป็นแผลเรื้อรังเสมอ</t>
        </is>
      </c>
      <c r="I44" s="37" t="inlineStr">
        <is>
          <t>2</t>
        </is>
      </c>
      <c r="J44" s="38" t="inlineStr">
        <is>
          <t>✅ คำตอบที่ถูกต้อง: ข้อ ข. มีโอกาสตรวจพบอาการแสดงของซิฟิลิสระยะที่ 1 และระยะที่ 2 เกิดขึ้นพร้อมกัน (Overlap)
💡 Background:
การดูแลผู้ติดเชื้อ HIV เน้นเริ่ม Antiretroviral Therapy (ART) ทันทีเพื่อกด viral load ให้ undetectable (U=U) และฟื้นฟูระบบภูมิคุ้มกัน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4" s="38" t="n"/>
      <c r="L44" s="39" t="inlineStr">
        <is>
          <t>HIV infection</t>
        </is>
      </c>
      <c r="M44" s="39" t="inlineStr">
        <is>
          <t>Clinic</t>
        </is>
      </c>
      <c r="N44" s="38" t="inlineStr">
        <is>
          <t>ข้อ 11.3 Mock Infectious RxCU84</t>
        </is>
      </c>
      <c r="O44" s="39" t="n"/>
      <c r="P44" s="39" t="n"/>
    </row>
    <row r="45" ht="13.2" customHeight="1" s="49">
      <c r="A45" s="37" t="n">
        <v>43</v>
      </c>
      <c r="B45" s="38"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38" t="n"/>
      <c r="D45" s="38" t="inlineStr">
        <is>
          <t>โรคซิฟิลิสระยะที่ 1 (Primary Syphilis)</t>
        </is>
      </c>
      <c r="E45" s="38" t="inlineStr">
        <is>
          <t>โรคแผลริมอ่อน (Chancroid)</t>
        </is>
      </c>
      <c r="F45" s="38" t="inlineStr">
        <is>
          <t>ภาวะท่อปัสสาวะอักเสบ (Urethritis)</t>
        </is>
      </c>
      <c r="G45" s="38" t="inlineStr">
        <is>
          <t>โรคเริมอวัยวะเพศ (Genital Herpes)</t>
        </is>
      </c>
      <c r="H45" s="38" t="inlineStr">
        <is>
          <t>โรคหูดหงอนไก่ (Anogenital Warts)</t>
        </is>
      </c>
      <c r="I45" s="37" t="inlineStr">
        <is>
          <t>3</t>
        </is>
      </c>
      <c r="J45" s="38" t="inlineStr">
        <is>
          <t>✅ คำตอบที่ถูกต้อง: ข้อ ค. ภาวะท่อปัสสาวะอักเสบ (Urethritis)
💡 Background:
การดูแลผู้ติดเชื้อ HIV เน้นเริ่ม Antiretroviral Therapy (ART) ทันทีเพื่อกด viral load ให้ undetectable (U=U) และฟื้นฟูระบบภูมิคุ้มกัน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5" s="38" t="n"/>
      <c r="L45" s="39" t="inlineStr">
        <is>
          <t>HIV infection</t>
        </is>
      </c>
      <c r="M45" s="39" t="inlineStr">
        <is>
          <t>Clinic</t>
        </is>
      </c>
      <c r="N45" s="38" t="inlineStr">
        <is>
          <t>ข้อ 12.1 Mock Infectious RxCU84</t>
        </is>
      </c>
      <c r="O45" s="39" t="n"/>
      <c r="P45" s="39" t="n"/>
    </row>
    <row r="46" ht="13.2" customHeight="1" s="49">
      <c r="A46" s="37" t="n">
        <v>44</v>
      </c>
      <c r="B46" s="38"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38" t="n"/>
      <c r="D46" s="38" t="inlineStr">
        <is>
          <t>Benzathine Penicillin G 2.4 million units ฉีดเข้ากล้ามเนื้อ ครั้งเดียว</t>
        </is>
      </c>
      <c r="E46" s="38" t="inlineStr">
        <is>
          <t>Azithromycin 1 g รับประทานครั้งเดียว เพียงอย่างเดียว</t>
        </is>
      </c>
      <c r="F46" s="38" t="inlineStr">
        <is>
          <t>Norfloxacin 400 mg รับประทานวันละ 2 ครั้ง นาน 3 วัน</t>
        </is>
      </c>
      <c r="G46" s="38" t="inlineStr">
        <is>
          <t>Ceftriaxone 1 g ฉีดเข้ากล้ามเนื้อ ครั้งเดียว ร่วมกับ Doxycycline 100 mg รับประทานวันละ 2 ครั้ง นาน 7 วัน</t>
        </is>
      </c>
      <c r="H46" s="38" t="inlineStr">
        <is>
          <t>Metronidazole 2 g รับประทานครั้งเดียว ร่วมกับ Ciprofloxacin 500 mg รับประทานครั้งเดียว</t>
        </is>
      </c>
      <c r="I46" s="37" t="inlineStr">
        <is>
          <t>4</t>
        </is>
      </c>
      <c r="J46" s="38" t="inlineStr">
        <is>
          <t>✅ คำตอบที่ถูกต้อง: ข้อ ง. Ceftriaxone 1 g ฉีดเข้ากล้ามเนื้อ ครั้งเดียว ร่วมกับ Doxycycline 100 mg รับประทานวันละ 2 ครั้ง นาน 7 วัน
💡 Background:
การดูแลผู้ติดเชื้อ HIV เน้นเริ่ม Antiretroviral Therapy (ART) ทันทีเพื่อกด viral load ให้ undetectable (U=U) และฟื้นฟูระบบภูมิคุ้มกัน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6" s="38" t="n"/>
      <c r="L46" s="39" t="inlineStr">
        <is>
          <t>HIV infection</t>
        </is>
      </c>
      <c r="M46" s="39" t="inlineStr">
        <is>
          <t>Clinic</t>
        </is>
      </c>
      <c r="N46" s="38" t="inlineStr">
        <is>
          <t>ข้อ 12.2 Mock Infectious RxCU84</t>
        </is>
      </c>
      <c r="O46" s="39" t="n"/>
      <c r="P46" s="39" t="n"/>
    </row>
    <row r="47" ht="13.2" customHeight="1" s="49">
      <c r="A47" s="37" t="n">
        <v>45</v>
      </c>
      <c r="B47" s="38"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38" t="n"/>
      <c r="D47" s="38" t="inlineStr">
        <is>
          <t>Taenia solium</t>
        </is>
      </c>
      <c r="E47" s="38" t="inlineStr">
        <is>
          <t>Ancylostoma duodenale</t>
        </is>
      </c>
      <c r="F47" s="38" t="inlineStr">
        <is>
          <t>Enterobius vermicularis</t>
        </is>
      </c>
      <c r="G47" s="38" t="inlineStr">
        <is>
          <t>Ascaris lumbricoides</t>
        </is>
      </c>
      <c r="H47" s="38" t="inlineStr">
        <is>
          <t>Wuchereria bancrofti</t>
        </is>
      </c>
      <c r="I47" s="37" t="inlineStr">
        <is>
          <t>3</t>
        </is>
      </c>
      <c r="J47" s="38"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38" t="n"/>
      <c r="L47" s="39" t="inlineStr">
        <is>
          <t>Parasitic infections</t>
        </is>
      </c>
      <c r="M47" s="39" t="inlineStr">
        <is>
          <t>Clinic</t>
        </is>
      </c>
      <c r="N47" s="38" t="inlineStr">
        <is>
          <t>ข้อ 13.1 Mock Infectious RxCU84</t>
        </is>
      </c>
      <c r="O47" s="39" t="n"/>
      <c r="P47" s="39" t="n"/>
    </row>
    <row r="48" ht="13.2" customHeight="1" s="49">
      <c r="A48" s="37" t="n">
        <v>46</v>
      </c>
      <c r="B48" s="38"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38" t="n"/>
      <c r="D48" s="38" t="inlineStr">
        <is>
          <t>ล้างมือก่อนรับประทานอาหารทุกครั้ง</t>
        </is>
      </c>
      <c r="E48" s="38" t="inlineStr">
        <is>
          <t>ตัดเล็บมือให้สั้น</t>
        </is>
      </c>
      <c r="F48" s="38" t="inlineStr">
        <is>
          <t>ซักผ้าปูที่นอนทุกวัน</t>
        </is>
      </c>
      <c r="G48" s="38" t="inlineStr">
        <is>
          <t>สวมรองเท้าขณะทำงานหรือเดินบนพื้นดิน</t>
        </is>
      </c>
      <c r="H48" s="38" t="inlineStr">
        <is>
          <t>หลีกเลี่ยงการรับประทานปลาน้ำจืด</t>
        </is>
      </c>
      <c r="I48" s="37" t="inlineStr">
        <is>
          <t>4</t>
        </is>
      </c>
      <c r="J48" s="38" t="inlineStr">
        <is>
          <t>✅ คำตอบที่ถูกต้อง: ข้อ ง. สวมรองเท้าขณะทำงานหรือเดินบนพื้นดิน
💡 Background:
การดูแลผู้ติดเชื้อ HIV เน้นเริ่ม Antiretroviral Therapy (ART) ทันทีเพื่อกด viral load ให้ undetectable (U=U) และฟื้นฟูระบบภูมิคุ้มกัน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48" s="38" t="n"/>
      <c r="L48" s="39" t="inlineStr">
        <is>
          <t>HIV infection</t>
        </is>
      </c>
      <c r="M48" s="39" t="inlineStr">
        <is>
          <t>Clinic</t>
        </is>
      </c>
      <c r="N48" s="38" t="inlineStr">
        <is>
          <t>ข้อ 13.2 Mock Infectious RxCU84</t>
        </is>
      </c>
      <c r="O48" s="39" t="n"/>
      <c r="P48" s="39" t="n"/>
    </row>
    <row r="49" ht="13.2" customHeight="1" s="49">
      <c r="A49" s="37" t="n">
        <v>47</v>
      </c>
      <c r="B49" s="38"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38" t="n"/>
      <c r="D49" s="38" t="inlineStr">
        <is>
          <t>Enterobius vermicularis</t>
        </is>
      </c>
      <c r="E49" s="38" t="inlineStr">
        <is>
          <t>Taenia solium</t>
        </is>
      </c>
      <c r="F49" s="38" t="inlineStr">
        <is>
          <t>Ascaris lumbricoides</t>
        </is>
      </c>
      <c r="G49" s="38" t="inlineStr">
        <is>
          <t>Wuchereria bancrofti</t>
        </is>
      </c>
      <c r="H49" s="38" t="inlineStr">
        <is>
          <t>Hookworm</t>
        </is>
      </c>
      <c r="I49" s="37" t="inlineStr">
        <is>
          <t>3</t>
        </is>
      </c>
      <c r="J49" s="38"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38" t="n"/>
      <c r="L49" s="39" t="inlineStr">
        <is>
          <t>Parasitic infections</t>
        </is>
      </c>
      <c r="M49" s="39" t="inlineStr">
        <is>
          <t>Clinic</t>
        </is>
      </c>
      <c r="N49" s="38" t="inlineStr">
        <is>
          <t>ข้อ 13.3 Mock Infectious RxCU84</t>
        </is>
      </c>
      <c r="O49" s="39" t="n"/>
      <c r="P49" s="39" t="n"/>
    </row>
    <row r="50" ht="13.2" customHeight="1" s="49">
      <c r="A50" s="37" t="n">
        <v>48</v>
      </c>
      <c r="B50" s="38"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38" t="n"/>
      <c r="D50" s="38" t="inlineStr">
        <is>
          <t>หลีกเลี่ยงการรับประทานเนื้อหมูดิบหรือปรุงไม่สุก</t>
        </is>
      </c>
      <c r="E50" s="38" t="inlineStr">
        <is>
          <t>สวมรองเท้าทุกครั้งเมื่อออกจากบ้าน</t>
        </is>
      </c>
      <c r="F50" s="38" t="inlineStr">
        <is>
          <t>หลีกเลี่ยงการรับประทานปลาน้ำจืด</t>
        </is>
      </c>
      <c r="G50" s="38" t="inlineStr">
        <is>
          <t>ล้างมือหลังเข้าห้องน้ำเท่านั้น</t>
        </is>
      </c>
      <c r="H50" s="38" t="inlineStr">
        <is>
          <t>หลีกเลี่ยงการสัมผัสสุนัขและแมว</t>
        </is>
      </c>
      <c r="I50" s="37" t="inlineStr">
        <is>
          <t>1</t>
        </is>
      </c>
      <c r="J50" s="38"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Parasitic infections</t>
        </is>
      </c>
      <c r="M50" s="39" t="inlineStr">
        <is>
          <t>Clinic</t>
        </is>
      </c>
      <c r="N50" s="38" t="inlineStr">
        <is>
          <t>ข้อ 13.4 Mock Infectious RxCU84</t>
        </is>
      </c>
      <c r="O50" s="39" t="n"/>
      <c r="P50" s="39" t="n"/>
    </row>
    <row r="51" ht="13.2" customHeight="1" s="49">
      <c r="A51" s="37" t="n">
        <v>49</v>
      </c>
      <c r="B51" s="38"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38" t="n"/>
      <c r="D51" s="38" t="inlineStr">
        <is>
          <t>รับประทานยาซ้ำในวันถัดไป</t>
        </is>
      </c>
      <c r="E51" s="38" t="inlineStr">
        <is>
          <t>รับประทานยาซ้ำหลัง 2 สัปดาห์</t>
        </is>
      </c>
      <c r="F51" s="38" t="inlineStr">
        <is>
          <t>สวมรองเท้าตลอดเวลา</t>
        </is>
      </c>
      <c r="G51" s="38" t="inlineStr">
        <is>
          <t>หลีกเลี่ยงการรับประทานเนื้อหมู</t>
        </is>
      </c>
      <c r="H51" s="38" t="inlineStr">
        <is>
          <t>หลีกเลี่ยงการรับประทานปลาน้ำจืด</t>
        </is>
      </c>
      <c r="I51" s="37" t="inlineStr">
        <is>
          <t>2</t>
        </is>
      </c>
      <c r="J51" s="38"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Parasitic infections</t>
        </is>
      </c>
      <c r="M51" s="39" t="inlineStr">
        <is>
          <t>Clinic</t>
        </is>
      </c>
      <c r="N51" s="38" t="inlineStr">
        <is>
          <t>ข้อ 13.5 Mock Infectious RxCU84</t>
        </is>
      </c>
      <c r="O51" s="39" t="n"/>
      <c r="P51" s="39" t="n"/>
    </row>
    <row r="52" ht="13.2" customHeight="1" s="49">
      <c r="A52" s="37" t="n">
        <v>50</v>
      </c>
      <c r="B52" s="38"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38" t="n"/>
      <c r="D52" s="38" t="inlineStr">
        <is>
          <t>Primary infection จาก Varicella-Zoster Virus (VZV)</t>
        </is>
      </c>
      <c r="E52" s="38" t="inlineStr">
        <is>
          <t>Recurrent episode ของ Herpes Labialis จาก Herpes Simplex Virus type 1 (HSV-1)</t>
        </is>
      </c>
      <c r="F52" s="38" t="inlineStr">
        <is>
          <t>Genital Herpes จาก Herpes Simplex Virus type 2 (HSV-2)</t>
        </is>
      </c>
      <c r="G52" s="38" t="inlineStr">
        <is>
          <t>Impetigo จากการติดเชื้อ Staphylococcus aureus</t>
        </is>
      </c>
      <c r="H52" s="38" t="inlineStr">
        <is>
          <t>Common Warts จาก Human Papillomavirus (HPV)</t>
        </is>
      </c>
      <c r="I52" s="37" t="inlineStr">
        <is>
          <t>2</t>
        </is>
      </c>
      <c r="J52" s="38"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38" t="n"/>
      <c r="L52" s="39" t="inlineStr">
        <is>
          <t>HIV infection</t>
        </is>
      </c>
      <c r="M52" s="39" t="inlineStr">
        <is>
          <t>Clinic</t>
        </is>
      </c>
      <c r="N52" s="38" t="inlineStr">
        <is>
          <t>ข้อ 15.1 Mock Infectious RxCU84</t>
        </is>
      </c>
      <c r="O52" s="39" t="n"/>
      <c r="P52" s="39" t="n"/>
    </row>
    <row r="53" ht="13.2" customHeight="1" s="49">
      <c r="A53" s="37" t="n">
        <v>51</v>
      </c>
      <c r="B53" s="38"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38" t="n"/>
      <c r="D53" s="38" t="inlineStr">
        <is>
          <t>สามารถใช้ครีม Topical Corticosteroid ทาบริเวณแผลเพื่อลดอาการปวดแสบปวดร้อนได้ทันที</t>
        </is>
      </c>
      <c r="E53" s="38" t="inlineStr">
        <is>
          <t>หลีกเลี่ยงแสงแดด ความเครียด และการนอนดึก เนื่องจากเป็นปัจจัยกระตุ้นให้โรคกลับเป็นซ้ำ</t>
        </is>
      </c>
      <c r="F53" s="38" t="inlineStr">
        <is>
          <t>เมื่อแผลแห้งตกสะเก็ดแล้ว เชื้อไวรัสจะถูกกำจัดออกจากร่างกายจนหมด ไม่กลับมาเป็นอีก</t>
        </is>
      </c>
      <c r="G53" s="38" t="inlineStr">
        <is>
          <t>สามารถใช้ลิปมัน หรือภาชนะใส่อาหารร่วมกับผู้อื่นได้ตามปกติเพราะไม่มีการแพร่เชื้อทางสัมผัส</t>
        </is>
      </c>
      <c r="H53" s="38" t="inlineStr">
        <is>
          <t>หากแผลตกสะเก็ดช้า แนะนำให้แกะสะเก็ดออกเพื่อสะกิดตุ่มน้ำให้แห้งเร็วขึ้น</t>
        </is>
      </c>
      <c r="I53" s="37" t="inlineStr">
        <is>
          <t>2</t>
        </is>
      </c>
      <c r="J53" s="38" t="inlineStr">
        <is>
          <t>✅ คำตอบที่ถูกต้อง: ข้อ ข. หลีกเลี่ยงแสงแดด ความเครียด และการนอนดึก เนื่องจากเป็นปัจจัยกระตุ้นให้โรคกลับเป็นซ้ำ
💡 Background:
การดูแลผู้ติดเชื้อ HIV เน้นเริ่ม Antiretroviral Therapy (ART) ทันทีเพื่อกด viral load ให้ undetectable (U=U) และฟื้นฟูระบบภูมิคุ้มกัน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3" s="38" t="n"/>
      <c r="L53" s="39" t="inlineStr">
        <is>
          <t>HIV infection</t>
        </is>
      </c>
      <c r="M53" s="39" t="inlineStr">
        <is>
          <t>Clinic</t>
        </is>
      </c>
      <c r="N53" s="38" t="inlineStr">
        <is>
          <t>ข้อ 15.2 Mock Infectious RxCU84</t>
        </is>
      </c>
      <c r="O53" s="39" t="n"/>
      <c r="P53" s="39" t="n"/>
    </row>
    <row r="54" ht="13.2" customHeight="1" s="49">
      <c r="A54" s="37" t="n">
        <v>52</v>
      </c>
      <c r="B54" s="38"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38" t="n"/>
      <c r="D54" s="38" t="inlineStr">
        <is>
          <t>เหมาะสมที่สุด: Acyclovir 5% cream / ห้ามใช้: Mupirocin ointment</t>
        </is>
      </c>
      <c r="E54" s="38" t="inlineStr">
        <is>
          <t>เหมาะสมที่สุด: Acyclovir 5% cream / ห้ามใช้: Topical Corticosteroid</t>
        </is>
      </c>
      <c r="F54" s="38" t="inlineStr">
        <is>
          <t>เหมาะสมที่สุด: Topical Corticosteroid / ห้ามใช้: Acyclovir 5% cream</t>
        </is>
      </c>
      <c r="G54" s="38" t="inlineStr">
        <is>
          <t>เหมาะสมที่สุด: Clotrimazole cream / ห้ามใช้: Topical Corticosteroid</t>
        </is>
      </c>
      <c r="H54" s="38" t="inlineStr">
        <is>
          <t>เหมาะสมที่สุด: Calamine lotion / ห้ามใช้: Docosanol cream</t>
        </is>
      </c>
      <c r="I54" s="37" t="inlineStr">
        <is>
          <t>2</t>
        </is>
      </c>
      <c r="J54" s="38" t="inlineStr">
        <is>
          <t>✅ คำตอบที่ถูกต้อง: ข้อ ข. เหมาะสมที่สุด: Acyclovir 5% cream / ห้ามใช้: Topical Corticosteroid
💡 Background:
การดูแลผู้ติดเชื้อ HIV เน้นเริ่ม Antiretroviral Therapy (ART) ทันทีเพื่อกด viral load ให้ undetectable (U=U) และฟื้นฟูระบบภูมิคุ้มกัน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38" t="n"/>
      <c r="L54" s="39" t="inlineStr">
        <is>
          <t>HIV infection</t>
        </is>
      </c>
      <c r="M54" s="39" t="inlineStr">
        <is>
          <t>Clinic</t>
        </is>
      </c>
      <c r="N54" s="38" t="inlineStr">
        <is>
          <t>ข้อ 15.3 Mock Infectious RxCU84</t>
        </is>
      </c>
      <c r="O54" s="39" t="n"/>
      <c r="P54" s="39" t="n"/>
    </row>
    <row r="55" ht="13.2" customHeight="1" s="49">
      <c r="A55" s="37" t="n">
        <v>53</v>
      </c>
      <c r="B55" s="38"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38" t="n"/>
      <c r="D55" s="38" t="inlineStr">
        <is>
          <t>ห้ามทานยา Acyclovir พร้อมกับ Losartan เด็ดขาด เพราะจะทำให้ความดันโลหิตลดต่ำลงอย่างรุนแรง</t>
        </is>
      </c>
      <c r="E55" s="38"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38" t="inlineStr">
        <is>
          <t>ยา Acyclovir อาจทำให้ระดับโพแทสเซียมในเลือดสูงขึ้น ควรหลีกเลี่ยงการทานกล้วยหรือส้มร่วมกับยา Losartan</t>
        </is>
      </c>
      <c r="G55" s="38" t="inlineStr">
        <is>
          <t>แนะนำให้หยุดยา HCTZ ชั่วคราวเป็นเวลา 7 วัน จนกว่าจะทานยา Acyclovir หมด เพื่อป้องกันตับอักเสบ</t>
        </is>
      </c>
      <c r="H55" s="38" t="inlineStr">
        <is>
          <t>ยา Acyclovir จะไปลดฤทธิ์ของยาความดันโลหิตทั้งสองตัว แนะนำให้วัดความดันโลหิตทุกวัน</t>
        </is>
      </c>
      <c r="I55" s="37" t="inlineStr">
        <is>
          <t>2</t>
        </is>
      </c>
      <c r="J55" s="38"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การดูแลผู้ติดเชื้อ HIV เน้นเริ่ม Antiretroviral Therapy (ART) ทันทีเพื่อกด viral load ให้ undetectable (U=U) และฟื้นฟูระบบภูมิคุ้มกัน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38" t="n"/>
      <c r="L55" s="39" t="inlineStr">
        <is>
          <t>HIV infection</t>
        </is>
      </c>
      <c r="M55" s="39" t="inlineStr">
        <is>
          <t>Clinic</t>
        </is>
      </c>
      <c r="N55" s="38" t="inlineStr">
        <is>
          <t>ข้อ 15.4 Mock Infectious RxCU84</t>
        </is>
      </c>
      <c r="O55" s="39" t="n"/>
      <c r="P55" s="39" t="n"/>
    </row>
    <row r="56" ht="13.2" customHeight="1" s="49">
      <c r="A56" s="37" t="n">
        <v>54</v>
      </c>
      <c r="B56" s="38"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38" t="n"/>
      <c r="D56" s="38" t="inlineStr">
        <is>
          <t>สามารถหอมแก้มหลานได้ทันที เพราะเมื่อตุ่มน้ำแตกออก เชื้อไวรัสจะถูกทำลายไปทั้งหมด</t>
        </is>
      </c>
      <c r="E56" s="38"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38"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38" t="inlineStr">
        <is>
          <t>เชื้อเริมสามารถแพร่ไปยังผู้อื่นได้เฉพาะผู้ที่มีภูมิคุ้มกันบกพร่องเท่านั้น เด็กวัย 2 ขวบมีภูมิคุ้มกันสูงจึงไม่ติดเชื้อแน่นอน</t>
        </is>
      </c>
      <c r="H56" s="38" t="inlineStr">
        <is>
          <t>แนะนำให้หลานสาวรับประทานยา Acyclovir 200 mg วันละครั้งล่วงหน้าเพื่อป้องกันการติดเชื้อ (Post-contact prophylaxis)</t>
        </is>
      </c>
      <c r="I56" s="37" t="inlineStr">
        <is>
          <t>3</t>
        </is>
      </c>
      <c r="J56" s="38"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การดูแลผู้ติดเชื้อ HIV เน้นเริ่ม Antiretroviral Therapy (ART) ทันทีเพื่อกด viral load ให้ undetectable (U=U) และฟื้นฟูระบบภูมิคุ้มกัน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6" s="38" t="n"/>
      <c r="L56" s="39" t="inlineStr">
        <is>
          <t>HIV infection</t>
        </is>
      </c>
      <c r="M56" s="39" t="inlineStr">
        <is>
          <t>Clinic</t>
        </is>
      </c>
      <c r="N56" s="38" t="inlineStr">
        <is>
          <t>ข้อ 15.5 Mock Infectious RxCU84</t>
        </is>
      </c>
      <c r="O56" s="39" t="n"/>
      <c r="P56" s="39" t="n"/>
    </row>
    <row r="57" ht="13.2" customHeight="1" s="49">
      <c r="A57" s="37" t="n">
        <v>55</v>
      </c>
      <c r="B57" s="38"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38" t="n"/>
      <c r="D57" s="38" t="inlineStr">
        <is>
          <t>Candidal intertrigo — เพราะมีผื่นแดงคัน</t>
        </is>
      </c>
      <c r="E57" s="38" t="inlineStr">
        <is>
          <t>Tinea pedis interdigital type — เพราะคันที่ง่ามนิ้วเท้า ผิวลอก ในคนที่สวมรองเท้าปิดนาน เหงื่อออกมาก</t>
        </is>
      </c>
      <c r="F57" s="38" t="inlineStr">
        <is>
          <t>Erythrasma — เพราะพบบ่อยที่ง่ามนิ้วเท้าเช่นกัน</t>
        </is>
      </c>
      <c r="G57" s="38" t="inlineStr">
        <is>
          <t>Contact dermatitis — เพราะเริ่มเป็นเฉียบพลันเมื่อวาน</t>
        </is>
      </c>
      <c r="H57" s="38" t="inlineStr">
        <is>
          <t>Psoriasis vulgaris — เพราะมีขุยสีเงินหนาตัว</t>
        </is>
      </c>
      <c r="I57" s="37" t="inlineStr">
        <is>
          <t>2</t>
        </is>
      </c>
      <c r="J57" s="38" t="inlineStr">
        <is>
          <t>✅ คำตอบที่ถูกต้อง: ข้อ ข. Tinea pedis interdigital type — เพราะคันที่ง่ามนิ้วเท้า ผิวลอก ในคนที่สวมรองเท้าปิดนาน เหงื่อออกมาก
💡 Background:
การดูแลผู้ติดเชื้อ HIV เน้นเริ่ม Antiretroviral Therapy (ART) ทันทีเพื่อกด viral load ให้ undetectable (U=U) และฟื้นฟูระบบภูมิคุ้มกัน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7" s="38" t="n"/>
      <c r="L57" s="39" t="inlineStr">
        <is>
          <t>HIV infection</t>
        </is>
      </c>
      <c r="M57" s="39" t="inlineStr">
        <is>
          <t>Clinic</t>
        </is>
      </c>
      <c r="N57" s="38" t="inlineStr">
        <is>
          <t>ข้อ 16.1 Mock Infectious RxCU84</t>
        </is>
      </c>
      <c r="O57" s="39" t="n"/>
      <c r="P57" s="39" t="n"/>
    </row>
    <row r="58" ht="13.2" customHeight="1" s="49">
      <c r="A58" s="37" t="n">
        <v>56</v>
      </c>
      <c r="B58" s="38"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38" t="n"/>
      <c r="D58" s="38" t="inlineStr">
        <is>
          <t>Wood's lamp — คาดว่าเรืองแสงสีเขียว</t>
        </is>
      </c>
      <c r="E58" s="38" t="inlineStr">
        <is>
          <t>Tzanck smear — คาดว่าพบ multinucleated giant cell</t>
        </is>
      </c>
      <c r="F58" s="38" t="inlineStr">
        <is>
          <t>KOH preparation จากบริเวณขุยที่ผื่น — คาดว่าพบ septate branching hyphae</t>
        </is>
      </c>
      <c r="G58" s="38" t="inlineStr">
        <is>
          <t>Gram stain — คาดว่าพบ gram-positive cocci</t>
        </is>
      </c>
      <c r="H58" s="38" t="inlineStr">
        <is>
          <t>Dark-field microscopy — คาดว่าพบ motile spirochetes</t>
        </is>
      </c>
      <c r="I58" s="37" t="inlineStr">
        <is>
          <t>3</t>
        </is>
      </c>
      <c r="J58" s="38" t="inlineStr">
        <is>
          <t>✅ คำตอบที่ถูกต้อง: ข้อ ค. KOH preparation จากบริเวณขุยที่ผื่น — คาดว่าพบ septate branching hyphae
💡 Background:
การดูแลผู้ติดเชื้อ HIV เน้นเริ่ม Antiretroviral Therapy (ART) ทันทีเพื่อกด viral load ให้ undetectable (U=U) และฟื้นฟูระบบภูมิคุ้มกัน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8" s="38" t="n"/>
      <c r="L58" s="39" t="inlineStr">
        <is>
          <t>HIV infection</t>
        </is>
      </c>
      <c r="M58" s="39" t="inlineStr">
        <is>
          <t>Clinic</t>
        </is>
      </c>
      <c r="N58" s="38" t="inlineStr">
        <is>
          <t>ข้อ 16.2 Mock Infectious RxCU84</t>
        </is>
      </c>
      <c r="O58" s="39" t="n"/>
      <c r="P58" s="39" t="n"/>
    </row>
    <row r="59" ht="13.2" customHeight="1" s="49">
      <c r="A59" s="37" t="n">
        <v>57</v>
      </c>
      <c r="B59" s="38"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38" t="n"/>
      <c r="D59" s="38" t="inlineStr">
        <is>
          <t>Itraconazole 200 มก. รับประทานวันละครั้ง นาน 7 วัน</t>
        </is>
      </c>
      <c r="E59" s="38" t="inlineStr">
        <is>
          <t>Terbinafine 1% cream ทาวันละครั้ง นาน 2-4 สัปดาห์</t>
        </is>
      </c>
      <c r="F59" s="38" t="inlineStr">
        <is>
          <t>Prednisolone cream ทาวันละ 2 ครั้ง นาน 1 สัปดาห์</t>
        </is>
      </c>
      <c r="G59" s="38" t="inlineStr">
        <is>
          <t>Ketoconazole 200 มก. รับประทานวันละครั้ง นาน 2-4 สัปดาห์</t>
        </is>
      </c>
      <c r="H59" s="38" t="inlineStr">
        <is>
          <t>Griseofulvin 500 มก. รับประทานวันละ 1 ครั้ง นาน 4-6 สัปดาห์</t>
        </is>
      </c>
      <c r="I59" s="37" t="inlineStr">
        <is>
          <t>2</t>
        </is>
      </c>
      <c r="J59" s="38" t="inlineStr">
        <is>
          <t>✅ คำตอบที่ถูกต้อง: ข้อ ข. Terbinafine 1% cream ทาวันละครั้ง นาน 2-4 สัปดาห์
💡 Background:
การดูแลผู้ติดเชื้อ HIV เน้นเริ่ม Antiretroviral Therapy (ART) ทันทีเพื่อกด viral load ให้ undetectable (U=U) และฟื้นฟูระบบภูมิคุ้มกัน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59" s="38" t="n"/>
      <c r="L59" s="39" t="inlineStr">
        <is>
          <t>HIV infection</t>
        </is>
      </c>
      <c r="M59" s="39" t="inlineStr">
        <is>
          <t>Clinic</t>
        </is>
      </c>
      <c r="N59" s="38" t="inlineStr">
        <is>
          <t>ข้อ 16.3 Mock Infectious RxCU84</t>
        </is>
      </c>
      <c r="O59" s="39" t="n"/>
      <c r="P59" s="39" t="n"/>
    </row>
    <row r="60" ht="13.2" customHeight="1" s="49">
      <c r="A60" s="37" t="n">
        <v>58</v>
      </c>
      <c r="B60" s="38"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38" t="n"/>
      <c r="D60" s="38" t="inlineStr">
        <is>
          <t>เช็ดเท้าให้แห้งสนิทโดยเฉพาะซอกนิ้วเท้าหลังอาบน้ำทุกครั้ง</t>
        </is>
      </c>
      <c r="E60" s="38" t="inlineStr">
        <is>
          <t>สวมถุงเท้าชนิดดูดซับความชื้นได้ดี และเปลี่ยนถุงเท้าบ่อยๆ</t>
        </is>
      </c>
      <c r="F60" s="38" t="inlineStr">
        <is>
          <t>ใช้แป้งโรยเท้า/รองเท้า/ถุงเท้าที่ผสมยาต้านเชื้อราเป็นประจำเพื่อลดการกลับเป็นซ้ำ</t>
        </is>
      </c>
      <c r="G60" s="38" t="inlineStr">
        <is>
          <t>ทายาต่อเนื่องจนกว่าอาการคันจะหายไป แล้วหยุดยาได้ทันที</t>
        </is>
      </c>
      <c r="H60" s="38" t="inlineStr">
        <is>
          <t>หลีกเลี่ยงการสวมใส่รองเท้าที่คับหรืออับชื้นเกินไป</t>
        </is>
      </c>
      <c r="I60" s="37" t="inlineStr">
        <is>
          <t>4</t>
        </is>
      </c>
      <c r="J60" s="38" t="inlineStr">
        <is>
          <t>✅ คำตอบที่ถูกต้อง: ข้อ ง. ทายาต่อเนื่องจนกว่าอาการคันจะหายไป แล้วหยุดยาได้ทันที
💡 Background:
การดูแลผู้ติดเชื้อ HIV เน้นเริ่ม Antiretroviral Therapy (ART) ทันทีเพื่อกด viral load ให้ undetectable (U=U) และฟื้นฟูระบบภูมิคุ้มกัน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0" s="38" t="n"/>
      <c r="L60" s="39" t="inlineStr">
        <is>
          <t>HIV infection</t>
        </is>
      </c>
      <c r="M60" s="39" t="inlineStr">
        <is>
          <t>Clinic</t>
        </is>
      </c>
      <c r="N60" s="38" t="inlineStr">
        <is>
          <t>ข้อ 16.4 Mock Infectious RxCU84</t>
        </is>
      </c>
      <c r="O60" s="39" t="n"/>
      <c r="P60" s="39" t="n"/>
    </row>
    <row r="61" ht="13.2" customHeight="1" s="49">
      <c r="A61" s="37" t="n">
        <v>59</v>
      </c>
      <c r="B61" s="38"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38" t="n"/>
      <c r="D61" s="38" t="inlineStr">
        <is>
          <t>เพิ่มความถี่การทา terbinafine cream เป็นวันละ 3 ครั้ง</t>
        </is>
      </c>
      <c r="E61" s="38" t="inlineStr">
        <is>
          <t>เปลี่ยนเป็น topical steroid ร่วมกับ antifungal cream เดิม</t>
        </is>
      </c>
      <c r="F61" s="38" t="inlineStr">
        <is>
          <t>เปลี่ยนเป็น oral antifungal เนื่องจากเข้าลักษณะ moccasin-type tinea pedis ที่ตอบสนองต่อยาทาไม่ดี</t>
        </is>
      </c>
      <c r="G61" s="38" t="inlineStr">
        <is>
          <t>หยุดยาทาทันทีเพราะน่าจะเป็นการแพ้ยา</t>
        </is>
      </c>
      <c r="H61" s="38" t="inlineStr">
        <is>
          <t>เปลี่ยนเป็นยาทา Ketoconazole cream ทาร่วมกับ Clotrimazole powder</t>
        </is>
      </c>
      <c r="I61" s="37" t="inlineStr">
        <is>
          <t>3</t>
        </is>
      </c>
      <c r="J61" s="38" t="inlineStr">
        <is>
          <t>✅ คำตอบที่ถูกต้อง: ข้อ ค. เปลี่ยนเป็น oral antifungal เนื่องจากเข้าลักษณะ moccasin-type tinea pedis ที่ตอบสนองต่อยาทาไม่ดี
💡 Background:
การดูแลผู้ติดเชื้อ HIV เน้นเริ่ม Antiretroviral Therapy (ART) ทันทีเพื่อกด viral load ให้ undetectable (U=U) และฟื้นฟูระบบภูมิคุ้มกัน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1" s="38" t="n"/>
      <c r="L61" s="39" t="inlineStr">
        <is>
          <t>HIV infection</t>
        </is>
      </c>
      <c r="M61" s="39" t="inlineStr">
        <is>
          <t>Clinic</t>
        </is>
      </c>
      <c r="N61" s="38" t="inlineStr">
        <is>
          <t>ข้อ 16.5 Mock Infectious RxCU84</t>
        </is>
      </c>
      <c r="O61" s="39" t="n"/>
      <c r="P61" s="39" t="n"/>
    </row>
    <row r="62" ht="13.2" customHeight="1" s="49">
      <c r="A62" s="37" t="n">
        <v>60</v>
      </c>
      <c r="B62" s="38" t="inlineStr">
        <is>
          <t>Sulfonamide เป็น competitive antagonist ของสารใด</t>
        </is>
      </c>
      <c r="C62" s="38" t="n"/>
      <c r="D62" s="38" t="inlineStr">
        <is>
          <t>PABA</t>
        </is>
      </c>
      <c r="E62" s="38" t="inlineStr">
        <is>
          <t>PAS</t>
        </is>
      </c>
      <c r="F62" s="38" t="inlineStr">
        <is>
          <t>Folic acid</t>
        </is>
      </c>
      <c r="G62" s="38" t="inlineStr">
        <is>
          <t>Vitamin B5</t>
        </is>
      </c>
      <c r="H62" s="38" t="inlineStr">
        <is>
          <t>THF</t>
        </is>
      </c>
      <c r="I62" s="37" t="inlineStr">
        <is>
          <t>2</t>
        </is>
      </c>
      <c r="J62" s="38" t="inlineStr">
        <is>
          <t>✅ คำตอบที่ถูกต้อง: ข้อ ข. PAS
💡 Background:
การดูแลผู้ติดเชื้อ HIV เน้นเริ่ม Antiretroviral Therapy (ART) ทันทีเพื่อกด viral load ให้ undetectable (U=U) และฟื้นฟูระบบภูมิคุ้มกัน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2" s="38" t="n"/>
      <c r="L62" s="39" t="inlineStr">
        <is>
          <t>HIV infection</t>
        </is>
      </c>
      <c r="M62" s="39" t="inlineStr">
        <is>
          <t>Clinic</t>
        </is>
      </c>
      <c r="N62" s="38" t="inlineStr">
        <is>
          <t>ข้อ 1 Pharma Plus เล่มม่วง (เฉลยข้อ ข)</t>
        </is>
      </c>
      <c r="O62" s="39" t="n"/>
      <c r="P62" s="39" t="n"/>
    </row>
    <row r="63" ht="13.2" customHeight="1" s="49">
      <c r="A63" s="37" t="n">
        <v>61</v>
      </c>
      <c r="B63"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38" t="n"/>
      <c r="D63" s="38" t="inlineStr">
        <is>
          <t>Pityriasis versicolor</t>
        </is>
      </c>
      <c r="E63" s="38" t="inlineStr">
        <is>
          <t>Candidiasis</t>
        </is>
      </c>
      <c r="F63" s="38" t="inlineStr">
        <is>
          <t>Psoriasis</t>
        </is>
      </c>
      <c r="G63" s="38" t="inlineStr">
        <is>
          <t>Tinea pedis</t>
        </is>
      </c>
      <c r="H63" s="38" t="inlineStr">
        <is>
          <t>Tinea corporis</t>
        </is>
      </c>
      <c r="I63" s="37" t="inlineStr">
        <is>
          <t>2</t>
        </is>
      </c>
      <c r="J63" s="38" t="inlineStr">
        <is>
          <t>✅ คำตอบที่ถูกต้อง: ข้อ ข. Candidiasis
💡 Background:
การดูแลผู้ติดเชื้อ HIV เน้นเริ่ม Antiretroviral Therapy (ART) ทันทีเพื่อกด viral load ให้ undetectable (U=U) และฟื้นฟูระบบภูมิคุ้มกัน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3" s="38" t="n"/>
      <c r="L63" s="39" t="inlineStr">
        <is>
          <t>HIV infection</t>
        </is>
      </c>
      <c r="M63" s="39" t="inlineStr">
        <is>
          <t>Clinic</t>
        </is>
      </c>
      <c r="N63" s="38" t="inlineStr">
        <is>
          <t>ข้อ 1 Pharma Plus เล่มม่วง (เฉลยข้อ ข)</t>
        </is>
      </c>
      <c r="O63" s="39" t="n"/>
      <c r="P63" s="39" t="n"/>
    </row>
    <row r="64" ht="13.2" customHeight="1" s="49">
      <c r="A64" s="37" t="n">
        <v>62</v>
      </c>
      <c r="B64" s="38"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38" t="n"/>
      <c r="D64" s="38" t="inlineStr">
        <is>
          <t>เริ่มใช้ GPO-vir ทันที</t>
        </is>
      </c>
      <c r="E64" s="38" t="inlineStr">
        <is>
          <t>เริ่มให้ GPO-vir เมื่อ CD4 &lt; 200 cell/mm³</t>
        </is>
      </c>
      <c r="F64" s="38" t="inlineStr">
        <is>
          <t>เริ่ม GPO-vir เมื่ออายุครรภ์ 28 สัปดาห์</t>
        </is>
      </c>
      <c r="G64" s="38" t="inlineStr">
        <is>
          <t>เริ่ม AZT ทันทีเมื่ออายุครรภ์ 28 สัปดาห์</t>
        </is>
      </c>
      <c r="H64" s="38" t="inlineStr">
        <is>
          <t>เริ่มให้ TDF + 3TC + EFV ทันที</t>
        </is>
      </c>
      <c r="I64" s="37" t="inlineStr">
        <is>
          <t>2</t>
        </is>
      </c>
      <c r="J64" s="38" t="inlineStr">
        <is>
          <t>✅ คำตอบที่ถูกต้อง: ข้อ ข. เริ่มให้ GPO-vir เมื่อ CD4 &lt; 200 cell/mm³
💡 Background:
การดูแลผู้ติดเชื้อ HIV เน้นเริ่ม Antiretroviral Therapy (ART) ทันทีเพื่อกด viral load ให้ undetectable (U=U) และฟื้นฟูระบบภูมิคุ้มกัน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4" s="38" t="n"/>
      <c r="L64" s="39" t="inlineStr">
        <is>
          <t>HIV infection</t>
        </is>
      </c>
      <c r="M64" s="39" t="inlineStr">
        <is>
          <t>Clinic</t>
        </is>
      </c>
      <c r="N64" s="38" t="inlineStr">
        <is>
          <t>ข้อ 1 Pharma Plus เล่มม่วง (เฉลยข้อ ข)</t>
        </is>
      </c>
      <c r="O64" s="39" t="n"/>
      <c r="P64" s="39" t="n"/>
    </row>
    <row r="65" ht="13.2" customHeight="1" s="49">
      <c r="A65" s="37" t="n">
        <v>63</v>
      </c>
      <c r="B65" s="38"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38" t="n"/>
      <c r="D65" s="38" t="inlineStr">
        <is>
          <t>พยาธิตัวตืด</t>
        </is>
      </c>
      <c r="E65" s="38" t="inlineStr">
        <is>
          <t>พยาธิปากขอ</t>
        </is>
      </c>
      <c r="F65" s="38" t="inlineStr">
        <is>
          <t>พยาธิเส้นด้าย</t>
        </is>
      </c>
      <c r="G65" s="38" t="inlineStr">
        <is>
          <t>พยาธิใบไม้</t>
        </is>
      </c>
      <c r="H65" s="38" t="inlineStr">
        <is>
          <t>พยาธิเท้าช้าง</t>
        </is>
      </c>
      <c r="I65" s="37" t="inlineStr">
        <is>
          <t>2</t>
        </is>
      </c>
      <c r="J65" s="38"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38" t="n"/>
      <c r="L65" s="39" t="inlineStr">
        <is>
          <t>Parasitic infections</t>
        </is>
      </c>
      <c r="M65" s="39" t="inlineStr">
        <is>
          <t>Clinic</t>
        </is>
      </c>
      <c r="N65" s="38" t="inlineStr">
        <is>
          <t>ข้อ 1 Pharma Plus เล่มม่วง (เฉลยข้อ ข)</t>
        </is>
      </c>
      <c r="O65" s="39" t="n"/>
      <c r="P65" s="39" t="n"/>
    </row>
    <row r="66" ht="13.2" customHeight="1" s="49">
      <c r="A66" s="37" t="n">
        <v>64</v>
      </c>
      <c r="B66" s="38" t="inlineStr">
        <is>
          <t>ยาทาสิวที่เป็น antibiotic</t>
        </is>
      </c>
      <c r="C66" s="38" t="n"/>
      <c r="D66" s="38" t="inlineStr">
        <is>
          <t>Clindamycin</t>
        </is>
      </c>
      <c r="E66" s="38" t="inlineStr">
        <is>
          <t>Erythromycin</t>
        </is>
      </c>
      <c r="F66" s="38" t="inlineStr">
        <is>
          <t>Tretinoin</t>
        </is>
      </c>
      <c r="G66" s="38" t="inlineStr">
        <is>
          <t>ก ข</t>
        </is>
      </c>
      <c r="H66" s="38" t="inlineStr">
        <is>
          <t>ก ข ค</t>
        </is>
      </c>
      <c r="I66" s="37" t="inlineStr">
        <is>
          <t>3</t>
        </is>
      </c>
      <c r="J66" s="38" t="inlineStr">
        <is>
          <t>✅ คำตอบที่ถูกต้อง: ข้อ ค. Tretinoin
💡 Background:
การดูแลผู้ติดเชื้อ HIV เน้นเริ่ม Antiretroviral Therapy (ART) ทันทีเพื่อกด viral load ให้ undetectable (U=U) และฟื้นฟูระบบภูมิคุ้มกัน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6" s="38" t="n"/>
      <c r="L66" s="39" t="inlineStr">
        <is>
          <t>HIV infection</t>
        </is>
      </c>
      <c r="M66" s="39" t="inlineStr">
        <is>
          <t>Clinic</t>
        </is>
      </c>
      <c r="N66" s="38" t="inlineStr">
        <is>
          <t>ข้อ 2 Pharma Plus เล่มม่วง (เฉลยข้อ ค)</t>
        </is>
      </c>
      <c r="O66" s="39" t="n"/>
      <c r="P66" s="39" t="n"/>
    </row>
    <row r="67" ht="13.2" customHeight="1" s="49">
      <c r="A67" s="37" t="n">
        <v>65</v>
      </c>
      <c r="B67"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38" t="n"/>
      <c r="D67" s="38" t="inlineStr">
        <is>
          <t>Trichophyton rubrum</t>
        </is>
      </c>
      <c r="E67" s="38" t="inlineStr">
        <is>
          <t>Epidermophyton floccousm</t>
        </is>
      </c>
      <c r="F67" s="38" t="inlineStr">
        <is>
          <t>Microsporum gypseum</t>
        </is>
      </c>
      <c r="G67" s="38" t="inlineStr">
        <is>
          <t>Malassezia furfur</t>
        </is>
      </c>
      <c r="H67" s="38" t="inlineStr">
        <is>
          <t>Candida albicans</t>
        </is>
      </c>
      <c r="I67" s="37" t="inlineStr">
        <is>
          <t>3</t>
        </is>
      </c>
      <c r="J67" s="38" t="inlineStr">
        <is>
          <t>✅ คำตอบที่ถูกต้อง: ข้อ ค. Microsporum gypseum
💡 Background:
การดูแลผู้ติดเชื้อ HIV เน้นเริ่ม Antiretroviral Therapy (ART) ทันทีเพื่อกด viral load ให้ undetectable (U=U) และฟื้นฟูระบบภูมิคุ้มกัน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7" s="38" t="n"/>
      <c r="L67" s="39" t="inlineStr">
        <is>
          <t>HIV infection</t>
        </is>
      </c>
      <c r="M67" s="39" t="inlineStr">
        <is>
          <t>Clinic</t>
        </is>
      </c>
      <c r="N67" s="38" t="inlineStr">
        <is>
          <t>ข้อ 2 Pharma Plus เล่มม่วง (เฉลยข้อ ค)</t>
        </is>
      </c>
      <c r="O67" s="39" t="n"/>
      <c r="P67" s="39" t="n"/>
    </row>
    <row r="68" ht="13.2" customHeight="1" s="49">
      <c r="A68" s="37" t="n">
        <v>66</v>
      </c>
      <c r="B68" s="38" t="inlineStr">
        <is>
          <t>N3 หรือ Azido group จากโครงสร้างของ AZT มีผลทำให้เกิดสิ่งใด</t>
        </is>
      </c>
      <c r="C68" s="38" t="n"/>
      <c r="D68" s="38" t="inlineStr">
        <is>
          <t>เพิ่มค่าครึ่งชีวิตให้ยาวขึ้น</t>
        </is>
      </c>
      <c r="E68" s="38" t="inlineStr">
        <is>
          <t>เพิ่มการดูดซึม</t>
        </is>
      </c>
      <c r="F68" s="38" t="inlineStr">
        <is>
          <t>เพิ่มการออกฤทธิ์</t>
        </is>
      </c>
      <c r="G68" s="38" t="inlineStr">
        <is>
          <t>มีผลต่อการตั้งสูตรตำรับ</t>
        </is>
      </c>
      <c r="H68" s="38" t="inlineStr">
        <is>
          <t>เพิ่มความสามารถในการจับกับโปรตีน albumin</t>
        </is>
      </c>
      <c r="I68" s="37" t="inlineStr">
        <is>
          <t>3</t>
        </is>
      </c>
      <c r="J68" s="38" t="inlineStr">
        <is>
          <t>✅ คำตอบที่ถูกต้อง: ข้อ ค. เพิ่มการออกฤทธิ์
💡 Background:
การดูแลผู้ติดเชื้อ HIV เน้นเริ่ม Antiretroviral Therapy (ART) ทันทีเพื่อกด viral load ให้ undetectable (U=U) และฟื้นฟูระบบภูมิคุ้มกัน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68" s="38" t="n"/>
      <c r="L68" s="39" t="inlineStr">
        <is>
          <t>HIV infection</t>
        </is>
      </c>
      <c r="M68" s="39" t="inlineStr">
        <is>
          <t>Clinic</t>
        </is>
      </c>
      <c r="N68" s="38" t="inlineStr">
        <is>
          <t>ข้อ 2 Pharma Plus เล่มม่วง (เฉลยข้อ ค)</t>
        </is>
      </c>
      <c r="O68" s="39" t="n"/>
      <c r="P68" s="39" t="n"/>
    </row>
    <row r="69" ht="13.2" customHeight="1" s="49">
      <c r="A69" s="37" t="n">
        <v>67</v>
      </c>
      <c r="B69" s="38"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38" t="n"/>
      <c r="D69" s="38" t="inlineStr">
        <is>
          <t>Praziquantel 5-25 mg/kg/day po once</t>
        </is>
      </c>
      <c r="E69" s="38" t="inlineStr">
        <is>
          <t>Niclosamide 2 g single dose</t>
        </is>
      </c>
      <c r="F69" s="38" t="inlineStr">
        <is>
          <t>Albendazole 400 mg single dose</t>
        </is>
      </c>
      <c r="G69" s="38" t="inlineStr">
        <is>
          <t>Mebendazole 500 mg single dose</t>
        </is>
      </c>
      <c r="H69" s="38" t="inlineStr">
        <is>
          <t>ได้ทั้งข้อ ก และ ข้อ ข</t>
        </is>
      </c>
      <c r="I69" s="37" t="inlineStr">
        <is>
          <t>3</t>
        </is>
      </c>
      <c r="J69"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38" t="n"/>
      <c r="L69" s="39" t="inlineStr">
        <is>
          <t>Parasitic infections</t>
        </is>
      </c>
      <c r="M69" s="39" t="inlineStr">
        <is>
          <t>Clinic</t>
        </is>
      </c>
      <c r="N69" s="38" t="inlineStr">
        <is>
          <t>ข้อ 2 Pharma Plus เล่มม่วง (เฉลยข้อ ค)</t>
        </is>
      </c>
      <c r="O69" s="39" t="n"/>
      <c r="P69" s="39" t="n"/>
    </row>
    <row r="70" ht="13.2" customHeight="1" s="49">
      <c r="A70" s="37" t="n">
        <v>68</v>
      </c>
      <c r="B70" s="38" t="inlineStr">
        <is>
          <t>การกินยากลุ่ม quinolone ร่วมกับนมมีผลอย่างไร</t>
        </is>
      </c>
      <c r="C70" s="38" t="n"/>
      <c r="D70" s="38" t="inlineStr">
        <is>
          <t>เพิ่มการดูดซึมเพราะนมมันจะไป ต่อเยื่อบุทางเดินอาหาร ทำให้การดูดซึมง่ายขึ้น</t>
        </is>
      </c>
      <c r="E70" s="38" t="inlineStr">
        <is>
          <t>ลดการดูดซึม เพราะนมมันจะไป ต่อเยื่อบุทางเดินอาหาร ทำให้การดูดซึมยากขึ้น</t>
        </is>
      </c>
      <c r="F70" s="38" t="inlineStr">
        <is>
          <t>เพิ่มการดูดซึม เพราะ นมมันไป chelate กับยาทำให้การละลายเพิ่มขึ้น</t>
        </is>
      </c>
      <c r="G70" s="38" t="inlineStr">
        <is>
          <t>ลดการดูดซึม เพราะ นมมันไป chelate กับยาทำให้การละลายลดลง</t>
        </is>
      </c>
      <c r="H70" s="38" t="inlineStr">
        <is>
          <t>นมไม่มีผลต่อการดูดซึม</t>
        </is>
      </c>
      <c r="I70" s="37" t="inlineStr">
        <is>
          <t>4</t>
        </is>
      </c>
      <c r="J70" s="38" t="inlineStr">
        <is>
          <t>✅ คำตอบที่ถูกต้อง: ข้อ ง. ลดการดูดซึม เพราะ นมมันไป chelate กับยาทำให้การละลายลดลง
💡 Background:
การดูแลผู้ติดเชื้อ HIV เน้นเริ่ม Antiretroviral Therapy (ART) ทันทีเพื่อกด viral load ให้ undetectable (U=U) และฟื้นฟูระบบภูมิคุ้มกัน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0" s="38" t="n"/>
      <c r="L70" s="39" t="inlineStr">
        <is>
          <t>HIV infection</t>
        </is>
      </c>
      <c r="M70" s="39" t="inlineStr">
        <is>
          <t>Clinic</t>
        </is>
      </c>
      <c r="N70" s="38" t="inlineStr">
        <is>
          <t>ข้อ 3 Pharma Plus เล่มม่วง (เฉลยข้อ ง)</t>
        </is>
      </c>
      <c r="O70" s="39" t="n"/>
      <c r="P70" s="39" t="n"/>
    </row>
    <row r="71" ht="13.2" customHeight="1" s="49">
      <c r="A71" s="37" t="n">
        <v>69</v>
      </c>
      <c r="B71" s="38"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38" t="n"/>
      <c r="D71" s="38" t="inlineStr">
        <is>
          <t>Nystatin</t>
        </is>
      </c>
      <c r="E71" s="38" t="inlineStr">
        <is>
          <t>Griseofulvin</t>
        </is>
      </c>
      <c r="F71" s="38" t="inlineStr">
        <is>
          <t>Clotrimazole</t>
        </is>
      </c>
      <c r="G71" s="38" t="inlineStr">
        <is>
          <t>Itraconazole</t>
        </is>
      </c>
      <c r="H71" s="38" t="inlineStr">
        <is>
          <t>Whitfield ointment</t>
        </is>
      </c>
      <c r="I71" s="37" t="inlineStr">
        <is>
          <t>4</t>
        </is>
      </c>
      <c r="J71" s="38" t="inlineStr">
        <is>
          <t>✅ คำตอบที่ถูกต้อง: ข้อ ง. Itraconazole
💡 Background:
การดูแลผู้ติดเชื้อ HIV เน้นเริ่ม Antiretroviral Therapy (ART) ทันทีเพื่อกด viral load ให้ undetectable (U=U) และฟื้นฟูระบบภูมิคุ้มกัน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1" s="38" t="n"/>
      <c r="L71" s="39" t="inlineStr">
        <is>
          <t>HIV infection</t>
        </is>
      </c>
      <c r="M71" s="39" t="inlineStr">
        <is>
          <t>Clinic</t>
        </is>
      </c>
      <c r="N71" s="38" t="inlineStr">
        <is>
          <t>ข้อ 3 Pharma Plus เล่มม่วง (เฉลยข้อ ง)</t>
        </is>
      </c>
      <c r="O71" s="39" t="n"/>
      <c r="P71" s="39" t="n"/>
    </row>
    <row r="72" ht="13.2" customHeight="1" s="49">
      <c r="A72" s="37" t="n">
        <v>70</v>
      </c>
      <c r="B72" s="38" t="inlineStr">
        <is>
          <t>ยา ARV ตัวใดไม่ควรใช้ในหญิงตั้งครรภ์ ไตรมาสที่ 3</t>
        </is>
      </c>
      <c r="C72" s="38" t="n"/>
      <c r="D72" s="38" t="inlineStr">
        <is>
          <t>Efavirenz</t>
        </is>
      </c>
      <c r="E72" s="38" t="inlineStr">
        <is>
          <t>Stavudine</t>
        </is>
      </c>
      <c r="F72" s="38" t="inlineStr">
        <is>
          <t>Nevirapine</t>
        </is>
      </c>
      <c r="G72" s="38" t="inlineStr">
        <is>
          <t>Lamivudine</t>
        </is>
      </c>
      <c r="H72" s="38" t="inlineStr">
        <is>
          <t>ไม่มีข้อใดถูก</t>
        </is>
      </c>
      <c r="I72" s="37" t="inlineStr">
        <is>
          <t>4</t>
        </is>
      </c>
      <c r="J72" s="38" t="inlineStr">
        <is>
          <t>✅ คำตอบที่ถูกต้อง: ข้อ ง. Lamivudine
💡 Background:
การดูแลผู้ติดเชื้อ HIV เน้นเริ่ม Antiretroviral Therapy (ART) ทันทีเพื่อกด viral load ให้ undetectable (U=U) และฟื้นฟูระบบภูมิคุ้มกัน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2" s="38" t="n"/>
      <c r="L72" s="39" t="inlineStr">
        <is>
          <t>HIV infection</t>
        </is>
      </c>
      <c r="M72" s="39" t="inlineStr">
        <is>
          <t>Clinic</t>
        </is>
      </c>
      <c r="N72" s="38" t="inlineStr">
        <is>
          <t>ข้อ 3 Pharma Plus เล่มม่วง (เฉลยข้อ ง)</t>
        </is>
      </c>
      <c r="O72" s="39" t="n"/>
      <c r="P72" s="39" t="n"/>
    </row>
    <row r="73" ht="13.2" customHeight="1" s="49">
      <c r="A73" s="37" t="n">
        <v>71</v>
      </c>
      <c r="B73" s="38"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38" t="n"/>
      <c r="D73" s="38" t="inlineStr">
        <is>
          <t>ใช้รักษาการติดเชื้อพยาธิตัวกลมไม่ได้ผล</t>
        </is>
      </c>
      <c r="E73" s="38" t="inlineStr">
        <is>
          <t>ออกฤทธิ์เป็น cestocidal</t>
        </is>
      </c>
      <c r="F73" s="38" t="inlineStr">
        <is>
          <t>ฆ่าไข่พยาธิ (ovicide)</t>
        </is>
      </c>
      <c r="G73" s="38" t="inlineStr">
        <is>
          <t>ใช้รักษาการติดเชื้อพยาธิใบไม้ในตับได้</t>
        </is>
      </c>
      <c r="H73" s="38" t="inlineStr">
        <is>
          <t>ทำให้ง่วงนอน</t>
        </is>
      </c>
      <c r="I73" s="37" t="inlineStr">
        <is>
          <t>4</t>
        </is>
      </c>
      <c r="J73" s="38"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38" t="n"/>
      <c r="L73" s="39" t="inlineStr">
        <is>
          <t>Parasitic infections</t>
        </is>
      </c>
      <c r="M73" s="39" t="inlineStr">
        <is>
          <t>Clinic</t>
        </is>
      </c>
      <c r="N73" s="38" t="inlineStr">
        <is>
          <t>ข้อ 3 Pharma Plus เล่มม่วง (เฉลยข้อ ง)</t>
        </is>
      </c>
      <c r="O73" s="39" t="n"/>
      <c r="P73" s="39" t="n"/>
    </row>
    <row r="74" ht="13.2" customHeight="1" s="49">
      <c r="A74" s="37" t="n">
        <v>72</v>
      </c>
      <c r="B74" s="38" t="inlineStr">
        <is>
          <t>ยา tetracycline เมื่อหมดอายุแล้วรับประทานจะทำให้เกิดอาการอะไร</t>
        </is>
      </c>
      <c r="C74" s="38" t="n"/>
      <c r="D74" s="38" t="inlineStr">
        <is>
          <t>Fanconi-like syndrome</t>
        </is>
      </c>
      <c r="E74" s="38" t="inlineStr">
        <is>
          <t>Megaloblastic anemia</t>
        </is>
      </c>
      <c r="F74" s="38" t="inlineStr">
        <is>
          <t>Pyogenic granuloma</t>
        </is>
      </c>
      <c r="G74" s="38" t="inlineStr">
        <is>
          <t>Dress syndrome</t>
        </is>
      </c>
      <c r="H74" s="38" t="inlineStr">
        <is>
          <t>Stevens-Johnson syndrome</t>
        </is>
      </c>
      <c r="I74" s="37" t="inlineStr">
        <is>
          <t>1</t>
        </is>
      </c>
      <c r="J74" s="38" t="inlineStr">
        <is>
          <t>✅ คำตอบที่ถูกต้อง: ข้อ ก. Fanconi-like syndrome
💡 Background:
การดูแลผู้ติดเชื้อ HIV เน้นเริ่ม Antiretroviral Therapy (ART) ทันทีเพื่อกด viral load ให้ undetectable (U=U) และฟื้นฟูระบบภูมิคุ้มกัน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4" s="38" t="n"/>
      <c r="L74" s="39" t="inlineStr">
        <is>
          <t>HIV infection</t>
        </is>
      </c>
      <c r="M74" s="39" t="inlineStr">
        <is>
          <t>Clinic</t>
        </is>
      </c>
      <c r="N74" s="38" t="inlineStr">
        <is>
          <t>ข้อ 4 Pharma Plus เล่มม่วง (เฉลยข้อ ก)</t>
        </is>
      </c>
      <c r="O74" s="39" t="n"/>
      <c r="P74" s="39" t="n"/>
    </row>
    <row r="75" ht="13.2" customHeight="1" s="49">
      <c r="A75" s="37" t="n">
        <v>73</v>
      </c>
      <c r="B75" s="38"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38" t="n"/>
      <c r="D75" s="38" t="inlineStr">
        <is>
          <t>Tinea capitis</t>
        </is>
      </c>
      <c r="E75" s="38" t="inlineStr">
        <is>
          <t>Tinea corporis</t>
        </is>
      </c>
      <c r="F75" s="38" t="inlineStr">
        <is>
          <t>Tinea cruris</t>
        </is>
      </c>
      <c r="G75" s="38" t="inlineStr">
        <is>
          <t>Tinea faciei</t>
        </is>
      </c>
      <c r="H75" s="38" t="inlineStr">
        <is>
          <t>Tinea pedis</t>
        </is>
      </c>
      <c r="I75" s="37" t="inlineStr">
        <is>
          <t>1</t>
        </is>
      </c>
      <c r="J75" s="38" t="inlineStr">
        <is>
          <t>✅ คำตอบที่ถูกต้อง: ข้อ ก. Tinea capitis
💡 Background:
การดูแลผู้ติดเชื้อ HIV เน้นเริ่ม Antiretroviral Therapy (ART) ทันทีเพื่อกด viral load ให้ undetectable (U=U) และฟื้นฟูระบบภูมิคุ้มกัน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5" s="38" t="n"/>
      <c r="L75" s="39" t="inlineStr">
        <is>
          <t>HIV infection</t>
        </is>
      </c>
      <c r="M75" s="39" t="inlineStr">
        <is>
          <t>Clinic</t>
        </is>
      </c>
      <c r="N75" s="38" t="inlineStr">
        <is>
          <t>ข้อ 4 Pharma Plus เล่มม่วง (เฉลยข้อ ก)</t>
        </is>
      </c>
      <c r="O75" s="39" t="n"/>
      <c r="P75" s="39" t="n"/>
    </row>
    <row r="76" ht="13.2" customHeight="1" s="49">
      <c r="A76" s="37" t="n">
        <v>74</v>
      </c>
      <c r="B76" s="38" t="inlineStr">
        <is>
          <t>หากหญิงตั้งครรภ์รายนี้ได้รับยาตามสูตรที่แนะนำตั้งแต่เริ่มแรก เมื่อหญิงตั้งครรภ์ HIV ปวดท้องคลอดจะให้ยาอย่างไร</t>
        </is>
      </c>
      <c r="C76" s="38" t="n"/>
      <c r="D76" s="38" t="inlineStr">
        <is>
          <t>AZT q 3 hrs</t>
        </is>
      </c>
      <c r="E76" s="38" t="inlineStr">
        <is>
          <t>NVP q 3 hrs</t>
        </is>
      </c>
      <c r="F76" s="38" t="inlineStr">
        <is>
          <t>AZT OD + NVP q 3 hrs</t>
        </is>
      </c>
      <c r="G76" s="38" t="inlineStr">
        <is>
          <t>AZT q 3 hrs + NVP OD</t>
        </is>
      </c>
      <c r="H76" s="38" t="inlineStr">
        <is>
          <t>AZT + NVP q 3 hrs</t>
        </is>
      </c>
      <c r="I76" s="37" t="inlineStr">
        <is>
          <t>1</t>
        </is>
      </c>
      <c r="J76" s="38" t="inlineStr">
        <is>
          <t>✅ คำตอบที่ถูกต้อง: ข้อ ก. AZT q 3 hrs
💡 Background:
การดูแลผู้ติดเชื้อ HIV เน้นเริ่ม Antiretroviral Therapy (ART) ทันทีเพื่อกด viral load ให้ undetectable (U=U) และฟื้นฟูระบบภูมิคุ้มกัน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6" s="38" t="n"/>
      <c r="L76" s="39" t="inlineStr">
        <is>
          <t>HIV infection</t>
        </is>
      </c>
      <c r="M76" s="39" t="inlineStr">
        <is>
          <t>Clinic</t>
        </is>
      </c>
      <c r="N76" s="38" t="inlineStr">
        <is>
          <t>ข้อ 4 Pharma Plus เล่มม่วง (เฉลยข้อ ก)</t>
        </is>
      </c>
      <c r="O76" s="39" t="n"/>
      <c r="P76" s="39" t="n"/>
    </row>
    <row r="77" ht="13.2" customHeight="1" s="49">
      <c r="A77" s="37" t="n">
        <v>75</v>
      </c>
      <c r="B77" s="38"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38" t="n"/>
      <c r="D77" s="38" t="inlineStr">
        <is>
          <t>เคี้ยวยาให้ละเอียดก่อนกลืน</t>
        </is>
      </c>
      <c r="E77" s="38" t="inlineStr">
        <is>
          <t>กินยาระบายร่วมด้วย โดยกินหลัง Niclosamide 2 ชั่วโมง เพื่อป้องกัน Cysticercosis</t>
        </is>
      </c>
      <c r="F77" s="38" t="inlineStr">
        <is>
          <t>หลีกเลี่ยง alcohol ทั้งขณะกินยาหรือหลังกิน 1 วัน</t>
        </is>
      </c>
      <c r="G77" s="38" t="inlineStr">
        <is>
          <t>อาการข้างเคียง คือ คลื่นไส้ อาเจียน ถ่ายท้อง ไม่สบายท้อง</t>
        </is>
      </c>
      <c r="H77" s="38" t="inlineStr">
        <is>
          <t>Niclosamide ถูกดูดซึมในลำไส้ได้ดี</t>
        </is>
      </c>
      <c r="I77" s="37" t="inlineStr">
        <is>
          <t>1</t>
        </is>
      </c>
      <c r="J77" s="38"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Parasitic infections</t>
        </is>
      </c>
      <c r="M77" s="39" t="inlineStr">
        <is>
          <t>Clinic</t>
        </is>
      </c>
      <c r="N77" s="38" t="inlineStr">
        <is>
          <t>ข้อ 4 Pharma Plus เล่มม่วง (เฉลยข้อ ก)</t>
        </is>
      </c>
      <c r="O77" s="39" t="n"/>
      <c r="P77" s="39" t="n"/>
    </row>
    <row r="78" ht="13.2" customHeight="1" s="49">
      <c r="A78" s="37" t="n">
        <v>76</v>
      </c>
      <c r="B78" s="38" t="inlineStr">
        <is>
          <t>ยาในกลุ่ม quinolone มีกลไกการออกฤทธิ์เป็นอย่างไร</t>
        </is>
      </c>
      <c r="C78" s="38" t="n"/>
      <c r="D78" s="38" t="inlineStr">
        <is>
          <t>ขัดขวางการสร้างผนังเซลล์</t>
        </is>
      </c>
      <c r="E78" s="38" t="inlineStr">
        <is>
          <t>ขัดขวางการสร้างผนังหุ้มเซลล์</t>
        </is>
      </c>
      <c r="F78" s="38" t="inlineStr">
        <is>
          <t>ขัดขวางการสร้าง folic acid</t>
        </is>
      </c>
      <c r="G78" s="38" t="inlineStr">
        <is>
          <t>ขัดขวางการสังเคราะห์ nucleic acid</t>
        </is>
      </c>
      <c r="H78" s="38" t="inlineStr">
        <is>
          <t>Meropenem 1 g IV Q8H</t>
        </is>
      </c>
      <c r="I78" s="37" t="inlineStr">
        <is>
          <t>3</t>
        </is>
      </c>
      <c r="J78"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8" s="38" t="n"/>
      <c r="L78" s="39" t="inlineStr">
        <is>
          <t>HIV infection</t>
        </is>
      </c>
      <c r="M78" s="39" t="inlineStr">
        <is>
          <t>Clinic</t>
        </is>
      </c>
      <c r="N78" s="38" t="inlineStr">
        <is>
          <t>ข้อ 5 Pharma Plus เล่มม่วง (เฉลยข้อ ค)</t>
        </is>
      </c>
      <c r="O78" s="39" t="n"/>
      <c r="P78" s="39" t="n"/>
    </row>
    <row r="79" ht="13.2" customHeight="1" s="49">
      <c r="A79" s="37" t="n">
        <v>77</v>
      </c>
      <c r="B79" s="38"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38" t="n"/>
      <c r="D79" s="38" t="inlineStr">
        <is>
          <t>14 วัน</t>
        </is>
      </c>
      <c r="E79" s="38" t="inlineStr">
        <is>
          <t>2 เดือน</t>
        </is>
      </c>
      <c r="F79" s="38" t="inlineStr">
        <is>
          <t>3 เดือน</t>
        </is>
      </c>
      <c r="G79" s="38" t="inlineStr">
        <is>
          <t>4 เดือน</t>
        </is>
      </c>
      <c r="H79" s="38" t="inlineStr">
        <is>
          <t>5 เดือน</t>
        </is>
      </c>
      <c r="I79" s="37" t="inlineStr">
        <is>
          <t>3</t>
        </is>
      </c>
      <c r="J79" s="38" t="inlineStr">
        <is>
          <t>✅ คำตอบที่ถูกต้อง: ข้อ ค. 3 เดือน
💡 Background:
การดูแลผู้ติดเชื้อ HIV เน้นเริ่ม Antiretroviral Therapy (ART) ทันทีเพื่อกด viral load ให้ undetectable (U=U) และฟื้นฟูระบบภูมิคุ้มกัน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79" s="38" t="n"/>
      <c r="L79" s="39" t="inlineStr">
        <is>
          <t>HIV infection</t>
        </is>
      </c>
      <c r="M79" s="39" t="inlineStr">
        <is>
          <t>Clinic</t>
        </is>
      </c>
      <c r="N79" s="38" t="inlineStr">
        <is>
          <t>ข้อ 5 Pharma Plus เล่มม่วง (เฉลยข้อ ค)</t>
        </is>
      </c>
      <c r="O79" s="39" t="n"/>
      <c r="P79" s="39" t="n"/>
    </row>
    <row r="80" ht="13.2" customHeight="1" s="49">
      <c r="A80" s="37" t="n">
        <v>78</v>
      </c>
      <c r="B80" s="38" t="inlineStr">
        <is>
          <t>Acyclovir ไม่มีข้อบ่งใช้ในโรคใดต่อไปนี้</t>
        </is>
      </c>
      <c r="C80" s="38" t="n"/>
      <c r="D80" s="38" t="inlineStr">
        <is>
          <t>HSV-1 และ 2</t>
        </is>
      </c>
      <c r="E80" s="38" t="inlineStr">
        <is>
          <t>CMV</t>
        </is>
      </c>
      <c r="F80" s="38" t="inlineStr">
        <is>
          <t>Varicella</t>
        </is>
      </c>
      <c r="G80" s="38" t="inlineStr">
        <is>
          <t>HPV</t>
        </is>
      </c>
      <c r="H80" s="38" t="inlineStr">
        <is>
          <t>HHV</t>
        </is>
      </c>
      <c r="I80" s="37" t="inlineStr">
        <is>
          <t>3</t>
        </is>
      </c>
      <c r="J80" s="38" t="inlineStr">
        <is>
          <t>✅ คำตอบที่ถูกต้อง: ข้อ ค. Varicella
💡 Background:
การดูแลผู้ติดเชื้อ HIV เน้นเริ่ม Antiretroviral Therapy (ART) ทันทีเพื่อกด viral load ให้ undetectable (U=U) และฟื้นฟูระบบภูมิคุ้มกัน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0" s="38" t="n"/>
      <c r="L80" s="39" t="inlineStr">
        <is>
          <t>HIV infection</t>
        </is>
      </c>
      <c r="M80" s="39" t="inlineStr">
        <is>
          <t>Clinic</t>
        </is>
      </c>
      <c r="N80" s="38" t="inlineStr">
        <is>
          <t>ข้อ 5 Pharma Plus เล่มม่วง (เฉลยข้อ ค)</t>
        </is>
      </c>
      <c r="O80" s="39" t="n"/>
      <c r="P80" s="39" t="n"/>
    </row>
    <row r="81" ht="13.2" customHeight="1" s="49">
      <c r="A81" s="37" t="n">
        <v>79</v>
      </c>
      <c r="B81" s="38" t="inlineStr">
        <is>
          <t>ยาใดเป็นพิษต่อตับ</t>
        </is>
      </c>
      <c r="C81" s="38" t="n"/>
      <c r="D81" s="38" t="inlineStr">
        <is>
          <t>AZT</t>
        </is>
      </c>
      <c r="E81" s="38" t="inlineStr">
        <is>
          <t>Stavudine</t>
        </is>
      </c>
      <c r="F81" s="38" t="inlineStr">
        <is>
          <t>Nevirapine</t>
        </is>
      </c>
      <c r="G81" s="38" t="inlineStr">
        <is>
          <t>Lamivudine</t>
        </is>
      </c>
      <c r="H81" s="38" t="inlineStr">
        <is>
          <t>ไม่มีข้อใดถูก</t>
        </is>
      </c>
      <c r="I81" s="37" t="inlineStr">
        <is>
          <t>3</t>
        </is>
      </c>
      <c r="J81" s="38" t="inlineStr">
        <is>
          <t>✅ คำตอบที่ถูกต้อง: ข้อ ค. Nevirapine
💡 Background:
การดูแลผู้ติดเชื้อ HIV เน้นเริ่ม Antiretroviral Therapy (ART) ทันทีเพื่อกด viral load ให้ undetectable (U=U) และฟื้นฟูระบบภูมิคุ้มกัน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1" s="38" t="n"/>
      <c r="L81" s="39" t="inlineStr">
        <is>
          <t>HIV infection</t>
        </is>
      </c>
      <c r="M81" s="39" t="inlineStr">
        <is>
          <t>Clinic</t>
        </is>
      </c>
      <c r="N81" s="38" t="inlineStr">
        <is>
          <t>ข้อ 5 Pharma Plus เล่มม่วง (เฉลยข้อ ค)</t>
        </is>
      </c>
      <c r="O81" s="39" t="n"/>
      <c r="P81" s="39" t="n"/>
    </row>
    <row r="82" ht="13.2" customHeight="1" s="49">
      <c r="A82" s="37" t="n">
        <v>80</v>
      </c>
      <c r="B82"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38" t="n"/>
      <c r="D82" s="38" t="inlineStr">
        <is>
          <t>พยาธิตัวตืด</t>
        </is>
      </c>
      <c r="E82" s="38" t="inlineStr">
        <is>
          <t>พยาธิปากขอ</t>
        </is>
      </c>
      <c r="F82" s="38" t="inlineStr">
        <is>
          <t>พยาธิเส้นด้าย</t>
        </is>
      </c>
      <c r="G82" s="38" t="inlineStr">
        <is>
          <t>พยาธิใบไม้</t>
        </is>
      </c>
      <c r="H82" s="38" t="inlineStr">
        <is>
          <t>พยาธิเท้าช้าง</t>
        </is>
      </c>
      <c r="I82" s="37" t="inlineStr">
        <is>
          <t>3</t>
        </is>
      </c>
      <c r="J82" s="38"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38" t="n"/>
      <c r="L82" s="39" t="inlineStr">
        <is>
          <t>Parasitic infections</t>
        </is>
      </c>
      <c r="M82" s="39" t="inlineStr">
        <is>
          <t>Clinic</t>
        </is>
      </c>
      <c r="N82" s="38" t="inlineStr">
        <is>
          <t>ข้อ 5 Pharma Plus เล่มม่วง (เฉลยข้อ ค)</t>
        </is>
      </c>
      <c r="O82" s="39" t="n"/>
      <c r="P82" s="39" t="n"/>
    </row>
    <row r="83" ht="13.2" customHeight="1" s="49">
      <c r="A83" s="37" t="n">
        <v>81</v>
      </c>
      <c r="B83" s="38" t="inlineStr">
        <is>
          <t>ยา chloramphenicol มีกลไกการออกฤทธิ์เป็นอย่างไร</t>
        </is>
      </c>
      <c r="C83" s="38" t="n"/>
      <c r="D83" s="38" t="inlineStr">
        <is>
          <t>ขัดขวางการสร้างผนังเซลล์</t>
        </is>
      </c>
      <c r="E83" s="38" t="inlineStr">
        <is>
          <t>ขัดขวางการสร้างผนังหุ้มเซลล์</t>
        </is>
      </c>
      <c r="F83" s="38" t="inlineStr">
        <is>
          <t>ขัดขวางการสร้าง folic acid</t>
        </is>
      </c>
      <c r="G83" s="38" t="inlineStr">
        <is>
          <t>ขัดขวางการสังเคราะห์ nucleic acid</t>
        </is>
      </c>
      <c r="H83" s="38" t="inlineStr">
        <is>
          <t>ขัดขวางการสังเคราะห์ polypeptide</t>
        </is>
      </c>
      <c r="I83" s="37" t="inlineStr">
        <is>
          <t>3</t>
        </is>
      </c>
      <c r="J83" s="38" t="inlineStr">
        <is>
          <t>✅ คำตอบที่ถูกต้อง: ข้อ ค. ขัดขวางการสร้าง folic acid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3" s="38" t="n"/>
      <c r="L83" s="39" t="inlineStr">
        <is>
          <t>HIV infection</t>
        </is>
      </c>
      <c r="M83" s="39" t="inlineStr">
        <is>
          <t>Clinic</t>
        </is>
      </c>
      <c r="N83" s="38" t="inlineStr">
        <is>
          <t>ข้อ 6 Pharma Plus เล่มม่วง (เฉลยข้อ ค)</t>
        </is>
      </c>
      <c r="O83" s="39" t="n"/>
      <c r="P83" s="39" t="n"/>
    </row>
    <row r="84" ht="13.2" customHeight="1" s="49">
      <c r="A84" s="37" t="n">
        <v>82</v>
      </c>
      <c r="B84" s="38"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38" t="n"/>
      <c r="D84" s="38" t="inlineStr">
        <is>
          <t>พญายอ</t>
        </is>
      </c>
      <c r="E84" s="38" t="inlineStr">
        <is>
          <t>ทองพันชั่ง</t>
        </is>
      </c>
      <c r="F84" s="38" t="inlineStr">
        <is>
          <t>มะแว้งต้น</t>
        </is>
      </c>
      <c r="G84" s="38" t="inlineStr">
        <is>
          <t>ไพล</t>
        </is>
      </c>
      <c r="H84" s="38" t="inlineStr">
        <is>
          <t>ขมิ้น</t>
        </is>
      </c>
      <c r="I84" s="37" t="inlineStr">
        <is>
          <t>3</t>
        </is>
      </c>
      <c r="J84" s="38" t="inlineStr">
        <is>
          <t>✅ คำตอบที่ถูกต้อง: ข้อ ค. มะแว้งต้น
💡 Background:
การดูแลผู้ติดเชื้อ HIV เน้นเริ่ม Antiretroviral Therapy (ART) ทันทีเพื่อกด viral load ให้ undetectable (U=U) และฟื้นฟูระบบภูมิคุ้มกัน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4" s="38" t="n"/>
      <c r="L84" s="39" t="inlineStr">
        <is>
          <t>HIV infection</t>
        </is>
      </c>
      <c r="M84" s="39" t="inlineStr">
        <is>
          <t>Clinic</t>
        </is>
      </c>
      <c r="N84" s="38" t="inlineStr">
        <is>
          <t>ข้อ 6 Pharma Plus เล่มม่วง (เฉลยข้อ ค)</t>
        </is>
      </c>
      <c r="O84" s="39" t="n"/>
      <c r="P84" s="39" t="n"/>
    </row>
    <row r="85" ht="13.2" customHeight="1" s="49">
      <c r="A85" s="37" t="n">
        <v>83</v>
      </c>
      <c r="B85" s="38" t="inlineStr">
        <is>
          <t>ยาในข้อใดต่อไปนี้สามารถเข้าสู่ vitreous humor ได้ดี ทำให้มีประสิทธิภาพสูงในการรักษา cytomegalovirus retinitis</t>
        </is>
      </c>
      <c r="C85" s="38" t="n"/>
      <c r="D85" s="38" t="inlineStr">
        <is>
          <t>Acyclovir</t>
        </is>
      </c>
      <c r="E85" s="38" t="inlineStr">
        <is>
          <t>Ganciclovir</t>
        </is>
      </c>
      <c r="F85" s="38" t="inlineStr">
        <is>
          <t>Valacyclovir</t>
        </is>
      </c>
      <c r="G85" s="38" t="inlineStr">
        <is>
          <t>Pencyclovir</t>
        </is>
      </c>
      <c r="H85" s="38" t="inlineStr">
        <is>
          <t>Famciclovir</t>
        </is>
      </c>
      <c r="I85" s="37" t="inlineStr">
        <is>
          <t>3</t>
        </is>
      </c>
      <c r="J85" s="38" t="inlineStr">
        <is>
          <t>✅ คำตอบที่ถูกต้อง: ข้อ ค. Valacyclovir
💡 Background:
การดูแลผู้ติดเชื้อ HIV เน้นเริ่ม Antiretroviral Therapy (ART) ทันทีเพื่อกด viral load ให้ undetectable (U=U) และฟื้นฟูระบบภูมิคุ้มกัน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85" s="38" t="n"/>
      <c r="L85" s="39" t="inlineStr">
        <is>
          <t>HIV infection</t>
        </is>
      </c>
      <c r="M85" s="39" t="inlineStr">
        <is>
          <t>Clinic</t>
        </is>
      </c>
      <c r="N85" s="38" t="inlineStr">
        <is>
          <t>ข้อ 6 Pharma Plus เล่มม่วง (เฉลยข้อ ค)</t>
        </is>
      </c>
      <c r="O85" s="39" t="n"/>
      <c r="P85" s="39" t="n"/>
    </row>
    <row r="86" ht="13.2" customHeight="1" s="49">
      <c r="A86" s="37" t="n">
        <v>84</v>
      </c>
      <c r="B86" s="38" t="inlineStr">
        <is>
          <t>เอนไซม์ในข้อใดต่อไปนี้ ที่มีบทบาทสำคัญในการเปลี่ยนแปลงให้ยา AZT อยู่ในรูป active form</t>
        </is>
      </c>
      <c r="C86" s="38" t="n"/>
      <c r="D86" s="38" t="inlineStr">
        <is>
          <t>Reverse transcriptase</t>
        </is>
      </c>
      <c r="E86" s="38" t="inlineStr">
        <is>
          <t>Hydroxylase</t>
        </is>
      </c>
      <c r="F86" s="38" t="inlineStr">
        <is>
          <t>Phosphodiesterase</t>
        </is>
      </c>
      <c r="G86" s="38" t="inlineStr">
        <is>
          <t>Kinase</t>
        </is>
      </c>
      <c r="H86" s="38" t="inlineStr">
        <is>
          <t>DNA polymerase</t>
        </is>
      </c>
      <c r="I86" s="37" t="inlineStr">
        <is>
          <t>3</t>
        </is>
      </c>
      <c r="J86" s="38" t="inlineStr">
        <is>
          <t>✅ คำตอบที่ถูกต้อง: ข้อ ค. Phosphodiesterase
💡 Background:
การดูแลผู้ติดเชื้อ HIV เน้นเริ่ม Antiretroviral Therapy (ART) ทันทีเพื่อกด viral load ให้ undetectable (U=U) และฟื้นฟูระบบภูมิคุ้มกัน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6" s="38" t="n"/>
      <c r="L86" s="39" t="inlineStr">
        <is>
          <t>HIV infection</t>
        </is>
      </c>
      <c r="M86" s="39" t="inlineStr">
        <is>
          <t>Clinic</t>
        </is>
      </c>
      <c r="N86" s="38" t="inlineStr">
        <is>
          <t>ข้อ 6 Pharma Plus เล่มม่วง (เฉลยข้อ ค)</t>
        </is>
      </c>
      <c r="O86" s="39" t="n"/>
      <c r="P86" s="39" t="n"/>
    </row>
    <row r="87" ht="13.2" customHeight="1" s="49">
      <c r="A87" s="37" t="n">
        <v>85</v>
      </c>
      <c r="B87" s="38"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38" t="n"/>
      <c r="D87" s="38" t="inlineStr">
        <is>
          <t>Praziquantel 5-25 mg/kg/day po once</t>
        </is>
      </c>
      <c r="E87" s="38" t="inlineStr">
        <is>
          <t>Niclosamide 2 q single dose</t>
        </is>
      </c>
      <c r="F87" s="38" t="inlineStr">
        <is>
          <t>Albendazole 400 mg single dose</t>
        </is>
      </c>
      <c r="G87" s="38" t="inlineStr">
        <is>
          <t>Mebendazole 500 mg single dose</t>
        </is>
      </c>
      <c r="H87" s="38" t="inlineStr">
        <is>
          <t>ได้ทั้งข้อ ค และ ข้อ ง</t>
        </is>
      </c>
      <c r="I87" s="37" t="inlineStr">
        <is>
          <t>3</t>
        </is>
      </c>
      <c r="J87" s="38"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38" t="n"/>
      <c r="L87" s="39" t="inlineStr">
        <is>
          <t>Parasitic infections</t>
        </is>
      </c>
      <c r="M87" s="39" t="inlineStr">
        <is>
          <t>Clinic</t>
        </is>
      </c>
      <c r="N87" s="38" t="inlineStr">
        <is>
          <t>ข้อ 6 Pharma Plus เล่มม่วง (เฉลยข้อ ค)</t>
        </is>
      </c>
      <c r="O87" s="39" t="n"/>
      <c r="P87" s="39" t="n"/>
    </row>
    <row r="88" ht="13.2" customHeight="1" s="49">
      <c r="A88" s="37" t="n">
        <v>86</v>
      </c>
      <c r="B88" s="38" t="inlineStr">
        <is>
          <t>ยา sulfonamides มีกลไกการออกฤทธิ์เป็นอย่างไร</t>
        </is>
      </c>
      <c r="C88" s="38" t="n"/>
      <c r="D88" s="38" t="inlineStr">
        <is>
          <t>ขัดขวางการสร้างผนังเซลล์</t>
        </is>
      </c>
      <c r="E88" s="38" t="inlineStr">
        <is>
          <t>ขัดขวางการสร้างผนังหุ้มเซลล์</t>
        </is>
      </c>
      <c r="F88" s="38" t="inlineStr">
        <is>
          <t>ขัดขวางการสร้าง folic acid</t>
        </is>
      </c>
      <c r="G88" s="38" t="inlineStr">
        <is>
          <t>ขัดขวางการสังเคราะห์ nucleic acid</t>
        </is>
      </c>
      <c r="H88" s="38" t="inlineStr">
        <is>
          <t>ขัดขวางการสังเคราะห์ polypeptide</t>
        </is>
      </c>
      <c r="I88" s="37" t="inlineStr">
        <is>
          <t>2</t>
        </is>
      </c>
      <c r="J88" s="38" t="inlineStr">
        <is>
          <t>✅ คำตอบที่ถูกต้อง: ข้อ ข. ขัดขวางการสร้างผนังหุ้มเซลล์
💡 Background:
การดูแลผู้ติดเชื้อ HIV เน้นเริ่ม Antiretroviral Therapy (ART) ทันทีเพื่อกด viral load ให้ undetectable (U=U) และฟื้นฟูระบบภูมิคุ้มกัน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88" s="38" t="n"/>
      <c r="L88" s="39" t="inlineStr">
        <is>
          <t>HIV infection</t>
        </is>
      </c>
      <c r="M88" s="39" t="inlineStr">
        <is>
          <t>Clinic</t>
        </is>
      </c>
      <c r="N88" s="38" t="inlineStr">
        <is>
          <t>ข้อ 7 Pharma Plus เล่มม่วง (เฉลยข้อ ข)</t>
        </is>
      </c>
      <c r="O88" s="39" t="n"/>
      <c r="P88" s="39" t="n"/>
    </row>
    <row r="89" ht="13.2" customHeight="1" s="49">
      <c r="A89" s="37" t="n">
        <v>87</v>
      </c>
      <c r="B8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38" t="n"/>
      <c r="D89" s="38" t="inlineStr">
        <is>
          <t>Valvovaginal candidiasis</t>
        </is>
      </c>
      <c r="E89" s="38" t="inlineStr">
        <is>
          <t>Gonorrhoea</t>
        </is>
      </c>
      <c r="F89" s="38" t="inlineStr">
        <is>
          <t>Non gonococcalurethritis</t>
        </is>
      </c>
      <c r="G89" s="38" t="inlineStr">
        <is>
          <t>Trichomoniasis</t>
        </is>
      </c>
      <c r="H89" s="38" t="inlineStr">
        <is>
          <t>Bacterial cystitis</t>
        </is>
      </c>
      <c r="I89" s="37" t="inlineStr">
        <is>
          <t>2</t>
        </is>
      </c>
      <c r="J89" s="38"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38" t="n"/>
      <c r="L89" s="39" t="inlineStr">
        <is>
          <t>STDs &amp; vaginitis</t>
        </is>
      </c>
      <c r="M89" s="39" t="inlineStr">
        <is>
          <t>Clinic</t>
        </is>
      </c>
      <c r="N89" s="38" t="inlineStr">
        <is>
          <t>ข้อ 7 Pharma Plus เล่มม่วง (เฉลยข้อ ข)</t>
        </is>
      </c>
      <c r="O89" s="39" t="n"/>
      <c r="P89" s="39" t="n"/>
    </row>
    <row r="90" ht="13.2" customHeight="1" s="49">
      <c r="A90" s="37" t="n">
        <v>88</v>
      </c>
      <c r="B90" s="38" t="inlineStr">
        <is>
          <t>สมุนไพรในข้อใดที่อาจรักษาโรคเริมและงูสวัดได้</t>
        </is>
      </c>
      <c r="C90" s="38" t="n"/>
      <c r="D90" s="38" t="inlineStr">
        <is>
          <t>ยาแคปซูลสกัดใบฟ้าทะลายโจร</t>
        </is>
      </c>
      <c r="E90" s="38" t="inlineStr">
        <is>
          <t>ใบชุมเห็ดเทศ</t>
        </is>
      </c>
      <c r="F90" s="38" t="inlineStr">
        <is>
          <t>แคปซูลผงขมิ้นชัน</t>
        </is>
      </c>
      <c r="G90" s="38" t="inlineStr">
        <is>
          <t>ครีมสกัดจากใบพญายอ</t>
        </is>
      </c>
      <c r="H90" s="38" t="inlineStr">
        <is>
          <t>ตะไคร้หอม</t>
        </is>
      </c>
      <c r="I90" s="37" t="inlineStr">
        <is>
          <t>2</t>
        </is>
      </c>
      <c r="J90" s="38" t="inlineStr">
        <is>
          <t>✅ คำตอบที่ถูกต้อง: ข้อ ข. ใบชุมเห็ดเทศ
💡 Background:
การดูแลผู้ติดเชื้อ HIV เน้นเริ่ม Antiretroviral Therapy (ART) ทันทีเพื่อกด viral load ให้ undetectable (U=U) และฟื้นฟูระบบภูมิคุ้มกัน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0" s="38" t="n"/>
      <c r="L90" s="39" t="inlineStr">
        <is>
          <t>HIV infection</t>
        </is>
      </c>
      <c r="M90" s="39" t="inlineStr">
        <is>
          <t>Clinic</t>
        </is>
      </c>
      <c r="N90" s="38" t="inlineStr">
        <is>
          <t>ข้อ 7 Pharma Plus เล่มม่วง (เฉลยข้อ ข)</t>
        </is>
      </c>
      <c r="O90" s="39" t="n"/>
      <c r="P90" s="39" t="n"/>
    </row>
    <row r="91" ht="13.2" customHeight="1" s="49">
      <c r="A91" s="37" t="n">
        <v>89</v>
      </c>
      <c r="B9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38" t="n"/>
      <c r="D91" s="38" t="inlineStr">
        <is>
          <t>Acute HIV infection</t>
        </is>
      </c>
      <c r="E91" s="38" t="inlineStr">
        <is>
          <t>Asymptomatic HIV infection</t>
        </is>
      </c>
      <c r="F91" s="38" t="inlineStr">
        <is>
          <t>Clinical latency</t>
        </is>
      </c>
      <c r="G91" s="38" t="inlineStr">
        <is>
          <t>Primary HIV infection</t>
        </is>
      </c>
      <c r="H91" s="38" t="inlineStr">
        <is>
          <t>AIDS</t>
        </is>
      </c>
      <c r="I91" s="37" t="inlineStr">
        <is>
          <t>2</t>
        </is>
      </c>
      <c r="J91" s="38" t="inlineStr">
        <is>
          <t>✅ คำตอบที่ถูกต้อง: ข้อ ข. Asymptomatic HIV infection
💡 Background:
การดูแลผู้ติดเชื้อ HIV เน้นเริ่ม Antiretroviral Therapy (ART) ทันทีเพื่อกด viral load ให้ undetectable (U=U) และฟื้นฟูระบบภูมิคุ้มกัน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1" s="38" t="n"/>
      <c r="L91" s="39" t="inlineStr">
        <is>
          <t>HIV infection</t>
        </is>
      </c>
      <c r="M91" s="39" t="inlineStr">
        <is>
          <t>Clinic</t>
        </is>
      </c>
      <c r="N91" s="38" t="inlineStr">
        <is>
          <t>ข้อ 7 Pharma Plus เล่มม่วง (เฉลยข้อ ข)</t>
        </is>
      </c>
      <c r="O91" s="39" t="n"/>
      <c r="P91" s="39" t="n"/>
    </row>
    <row r="92" ht="13.2" customHeight="1" s="49">
      <c r="A92" s="37" t="n">
        <v>90</v>
      </c>
      <c r="B92" s="38" t="inlineStr">
        <is>
          <t>ข้อใดไม่ใช่ผลจากการติดเชื้อพยาธิปากขอ</t>
        </is>
      </c>
      <c r="C92" s="38" t="n"/>
      <c r="D92" s="38" t="inlineStr">
        <is>
          <t>แพ้ ผื่นคัน</t>
        </is>
      </c>
      <c r="E92" s="38" t="inlineStr">
        <is>
          <t>โลหิตจาง</t>
        </is>
      </c>
      <c r="F92" s="38" t="inlineStr">
        <is>
          <t>หลอดลมอักเสบ</t>
        </is>
      </c>
      <c r="G92" s="38" t="inlineStr">
        <is>
          <t>คันบริเวณรอบทวารหนัก</t>
        </is>
      </c>
      <c r="H92" s="38" t="inlineStr">
        <is>
          <t>ลำไส้อักเสบ</t>
        </is>
      </c>
      <c r="I92" s="37" t="inlineStr">
        <is>
          <t>2</t>
        </is>
      </c>
      <c r="J92" s="38"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38" t="n"/>
      <c r="L92" s="39" t="inlineStr">
        <is>
          <t>Parasitic infections</t>
        </is>
      </c>
      <c r="M92" s="39" t="inlineStr">
        <is>
          <t>Clinic</t>
        </is>
      </c>
      <c r="N92" s="38" t="inlineStr">
        <is>
          <t>ข้อ 7 Pharma Plus เล่มม่วง (เฉลยข้อ ข)</t>
        </is>
      </c>
      <c r="O92" s="39" t="n"/>
      <c r="P92" s="39" t="n"/>
    </row>
    <row r="93" ht="13.2" customHeight="1" s="49">
      <c r="A93" s="37" t="n">
        <v>91</v>
      </c>
      <c r="B93" s="38" t="inlineStr">
        <is>
          <t>ยากลุ่ม polymyxin มีกลไกการออกฤทธิ์เป็นอย่างไร</t>
        </is>
      </c>
      <c r="C93" s="38" t="n"/>
      <c r="D93" s="38" t="inlineStr">
        <is>
          <t>ขัดขวางการสร้างผนังเซลล์</t>
        </is>
      </c>
      <c r="E93" s="38" t="inlineStr">
        <is>
          <t>ทำให้เกิดรูรั่วผนังเซลล์</t>
        </is>
      </c>
      <c r="F93" s="38" t="inlineStr">
        <is>
          <t>ขัดขวางการสร้าง folic acid</t>
        </is>
      </c>
      <c r="G93" s="38" t="inlineStr">
        <is>
          <t>ขัดขวางการสังเคราะห์ nucleic acid</t>
        </is>
      </c>
      <c r="H93" s="38" t="inlineStr">
        <is>
          <t>ขัดขวางการสังเคราะห์ polypeptide</t>
        </is>
      </c>
      <c r="I93" s="37" t="inlineStr">
        <is>
          <t>5</t>
        </is>
      </c>
      <c r="J93" s="38" t="inlineStr">
        <is>
          <t>✅ คำตอบที่ถูกต้อง: ข้อ จ. ขัดขวางการสังเคราะห์ polypeptide
💡 Background:
การดูแลผู้ติดเชื้อ HIV เน้นเริ่ม Antiretroviral Therapy (ART) ทันทีเพื่อกด viral load ให้ undetectable (U=U) และฟื้นฟูระบบภูมิคุ้มกัน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3" s="38" t="n"/>
      <c r="L93" s="39" t="inlineStr">
        <is>
          <t>HIV infection</t>
        </is>
      </c>
      <c r="M93" s="39" t="inlineStr">
        <is>
          <t>Clinic</t>
        </is>
      </c>
      <c r="N93" s="38" t="inlineStr">
        <is>
          <t>ข้อ 8 Pharma Plus เล่มม่วง (เฉลยข้อ จ)</t>
        </is>
      </c>
      <c r="O93" s="39" t="n"/>
      <c r="P93" s="39" t="n"/>
    </row>
    <row r="94" ht="13.2" customHeight="1" s="49">
      <c r="A94" s="37" t="n">
        <v>92</v>
      </c>
      <c r="B9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38" t="n"/>
      <c r="D94" s="38" t="inlineStr">
        <is>
          <t>Clotrimazole 500 mg เหน็บช่องคลอดครั้งเดียว</t>
        </is>
      </c>
      <c r="E94" s="38" t="inlineStr">
        <is>
          <t>Ketoconazole 200 mg รับประทานหลังอาหาร เช้าและเย็น เป็นเวลา 5 วัน</t>
        </is>
      </c>
      <c r="F94" s="38" t="inlineStr">
        <is>
          <t>Metronidazole 2 g รับประทานครั้งเดียว</t>
        </is>
      </c>
      <c r="G94" s="38" t="inlineStr">
        <is>
          <t>Doxycycline 100 mg รับประทานหลังอาหาร เช้าและเย็น เป็นเวลา 7 วัน</t>
        </is>
      </c>
      <c r="H94" s="38" t="inlineStr">
        <is>
          <t>Ciprofloxacin 500 mg รับประทานครั้งเดียว</t>
        </is>
      </c>
      <c r="I94" s="37" t="inlineStr">
        <is>
          <t>5</t>
        </is>
      </c>
      <c r="J94" s="38"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38" t="n"/>
      <c r="L94" s="39" t="inlineStr">
        <is>
          <t>STDs &amp; vaginitis</t>
        </is>
      </c>
      <c r="M94" s="39" t="inlineStr">
        <is>
          <t>Clinic</t>
        </is>
      </c>
      <c r="N94" s="38" t="inlineStr">
        <is>
          <t>ข้อ 8 Pharma Plus เล่มม่วง (เฉลยข้อ จ)</t>
        </is>
      </c>
      <c r="O94" s="39" t="n"/>
      <c r="P94" s="39" t="n"/>
    </row>
    <row r="95" ht="13.2" customHeight="1" s="49">
      <c r="A95" s="37" t="n">
        <v>93</v>
      </c>
      <c r="B95" s="38" t="inlineStr">
        <is>
          <t>ตำรับยาของ acyclovir ดังตารางต่อไปนี้ อยู่ในรูปแบบใด</t>
        </is>
      </c>
      <c r="C95" s="38" t="n"/>
      <c r="D95" s="38" t="inlineStr">
        <is>
          <t>Lotions</t>
        </is>
      </c>
      <c r="E95" s="38" t="inlineStr">
        <is>
          <t>Ointments</t>
        </is>
      </c>
      <c r="F95" s="38" t="inlineStr">
        <is>
          <t>Creams</t>
        </is>
      </c>
      <c r="G95" s="38" t="inlineStr">
        <is>
          <t>Pastes</t>
        </is>
      </c>
      <c r="H95" s="38" t="inlineStr">
        <is>
          <t>Gels</t>
        </is>
      </c>
      <c r="I95" s="37" t="inlineStr">
        <is>
          <t>5</t>
        </is>
      </c>
      <c r="J95" s="38"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แนวทางการวินิจฉัยและรักษาโรคติดเชื้อในประเทศไทย พ.ศ. 2563 (สมาคมโรคติดเชื้อแห่งประเทศไทย)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38" t="n"/>
      <c r="L95" s="39" t="inlineStr">
        <is>
          <t>Cystitis</t>
        </is>
      </c>
      <c r="M95" s="39" t="inlineStr">
        <is>
          <t>Clinic</t>
        </is>
      </c>
      <c r="N95" s="38" t="inlineStr">
        <is>
          <t>ข้อ 8 Pharma Plus เล่มม่วง (เฉลยข้อ จ)</t>
        </is>
      </c>
      <c r="O95" s="39" t="n"/>
      <c r="P95" s="39" t="n"/>
    </row>
    <row r="96" ht="13.2" customHeight="1" s="49">
      <c r="A96" s="37" t="n">
        <v>94</v>
      </c>
      <c r="B96"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38" t="n"/>
      <c r="D96" s="38" t="inlineStr">
        <is>
          <t>NVP, d4T, 3TC</t>
        </is>
      </c>
      <c r="E96" s="38" t="inlineStr">
        <is>
          <t>d4T, 3TC, indinavir/ritonavir</t>
        </is>
      </c>
      <c r="F96" s="38" t="inlineStr">
        <is>
          <t>AZT, 3TC, indinavir/ritonavir</t>
        </is>
      </c>
      <c r="G96" s="38" t="inlineStr">
        <is>
          <t>d4T, 3TC, EFV</t>
        </is>
      </c>
      <c r="H96" s="38" t="inlineStr">
        <is>
          <t>AZT, 3TC, NVP</t>
        </is>
      </c>
      <c r="I96" s="37" t="inlineStr">
        <is>
          <t>5</t>
        </is>
      </c>
      <c r="J96" s="38" t="inlineStr">
        <is>
          <t>✅ คำตอบที่ถูกต้อง: ข้อ จ. AZT, 3TC, NVP
💡 Background:
การดูแลผู้ติดเชื้อ HIV เน้นเริ่ม Antiretroviral Therapy (ART) ทันทีเพื่อกด viral load ให้ undetectable (U=U) และฟื้นฟูระบบภูมิคุ้มกัน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6" s="38" t="n"/>
      <c r="L96" s="39" t="inlineStr">
        <is>
          <t>HIV infection</t>
        </is>
      </c>
      <c r="M96" s="39" t="inlineStr">
        <is>
          <t>Clinic</t>
        </is>
      </c>
      <c r="N96" s="38" t="inlineStr">
        <is>
          <t>ข้อ 8 Pharma Plus เล่มม่วง (เฉลยข้อ จ)</t>
        </is>
      </c>
      <c r="O96" s="39" t="n"/>
      <c r="P96" s="39" t="n"/>
    </row>
    <row r="97" ht="13.2" customHeight="1" s="49">
      <c r="A97" s="37" t="n">
        <v>95</v>
      </c>
      <c r="B97" s="38" t="inlineStr">
        <is>
          <t>คำแนะนำในการปฏิบัติตัวสำหรับผู้ป่วยรายนี้คือ</t>
        </is>
      </c>
      <c r="C97" s="38" t="n"/>
      <c r="D97" s="38" t="inlineStr">
        <is>
          <t>อาบน้ำหลังจากตื่นนอนในตอนเช้า</t>
        </is>
      </c>
      <c r="E97" s="38" t="inlineStr">
        <is>
          <t>ตัดเล็บมือให้สั้น และล้างมือให้สะอาดหลังเข้าห้องน้ำ</t>
        </is>
      </c>
      <c r="F97" s="38" t="inlineStr">
        <is>
          <t>สวมรองเท้าทุกครั้งที่ออกจากบ้าน</t>
        </is>
      </c>
      <c r="G97" s="38" t="inlineStr">
        <is>
          <t>รับประทานอาหารที่สุก ดื่มน้ำสะอาด</t>
        </is>
      </c>
      <c r="H97" s="38" t="inlineStr">
        <is>
          <t>ซักเสื้อผ้า และผ้าปูที่นอนให้สะอาด</t>
        </is>
      </c>
      <c r="I97" s="37" t="inlineStr">
        <is>
          <t>5</t>
        </is>
      </c>
      <c r="J97" s="38" t="inlineStr">
        <is>
          <t>✅ คำตอบที่ถูกต้อง: ข้อ จ. ซักเสื้อผ้า และผ้าปูที่นอนให้สะอาด
💡 Background:
การดูแลผู้ติดเชื้อ HIV เน้นเริ่ม Antiretroviral Therapy (ART) ทันทีเพื่อกด viral load ให้ undetectable (U=U) และฟื้นฟูระบบภูมิคุ้มกัน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7" s="38" t="n"/>
      <c r="L97" s="39" t="inlineStr">
        <is>
          <t>HIV infection</t>
        </is>
      </c>
      <c r="M97" s="39" t="inlineStr">
        <is>
          <t>Clinic</t>
        </is>
      </c>
      <c r="N97" s="38" t="inlineStr">
        <is>
          <t>ข้อ 8 Pharma Plus เล่มม่วง (เฉลยข้อ จ)</t>
        </is>
      </c>
      <c r="O97" s="39" t="n"/>
      <c r="P97" s="39" t="n"/>
    </row>
    <row r="98" ht="13.2" customHeight="1" s="49">
      <c r="A98" s="37" t="n">
        <v>96</v>
      </c>
      <c r="B98" s="38" t="inlineStr">
        <is>
          <t>ยาที่เกิด drug interaction กับ quinolone ได้ ยกเว้นข้อใดต่อไปนี้</t>
        </is>
      </c>
      <c r="C98" s="38" t="n"/>
      <c r="D98" s="38" t="inlineStr">
        <is>
          <t>Aluminum hydroxide</t>
        </is>
      </c>
      <c r="E98" s="38" t="inlineStr">
        <is>
          <t>Calcium carbonate</t>
        </is>
      </c>
      <c r="F98" s="38" t="inlineStr">
        <is>
          <t>Carminative mixture</t>
        </is>
      </c>
      <c r="G98" s="38" t="inlineStr">
        <is>
          <t>FBC</t>
        </is>
      </c>
      <c r="H98" s="38" t="inlineStr">
        <is>
          <t>Lithium</t>
        </is>
      </c>
      <c r="I98" s="37" t="inlineStr">
        <is>
          <t>4</t>
        </is>
      </c>
      <c r="J98" s="38" t="inlineStr">
        <is>
          <t>✅ คำตอบที่ถูกต้อง: ข้อ ง. FBC
💡 Background:
การดูแลผู้ติดเชื้อ HIV เน้นเริ่ม Antiretroviral Therapy (ART) ทันทีเพื่อกด viral load ให้ undetectable (U=U) และฟื้นฟูระบบภูมิคุ้มกัน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8" s="38" t="n"/>
      <c r="L98" s="39" t="inlineStr">
        <is>
          <t>HIV infection</t>
        </is>
      </c>
      <c r="M98" s="39" t="inlineStr">
        <is>
          <t>Clinic</t>
        </is>
      </c>
      <c r="N98" s="38" t="inlineStr">
        <is>
          <t>ข้อ 9 Pharma Plus เล่มม่วง (เฉลยข้อ ง)</t>
        </is>
      </c>
      <c r="O98" s="39" t="n"/>
      <c r="P98" s="39" t="n"/>
    </row>
    <row r="99" ht="13.2" customHeight="1" s="49">
      <c r="A99" s="37" t="n">
        <v>97</v>
      </c>
      <c r="B99"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38" t="n"/>
      <c r="D99" s="38" t="inlineStr">
        <is>
          <t>Clotrimazole เหน็บช่องคลอดทำให้เกิด super infection จาก bacteria</t>
        </is>
      </c>
      <c r="E99" s="38" t="inlineStr">
        <is>
          <t>Ketoconazole ชนิดรับประทานทำให้การรับรู้รสผิดปกติ</t>
        </is>
      </c>
      <c r="F99" s="38" t="inlineStr">
        <is>
          <t>Metronidazole ทำให้คลื่นไส้ อาเจียน</t>
        </is>
      </c>
      <c r="G99" s="38" t="inlineStr">
        <is>
          <t>Doxycycline ทำให้ผมร่วง</t>
        </is>
      </c>
      <c r="H99" s="38" t="inlineStr">
        <is>
          <t>Ciprofloxacin ทำให้ตับอักเสบ</t>
        </is>
      </c>
      <c r="I99" s="37" t="inlineStr">
        <is>
          <t>4</t>
        </is>
      </c>
      <c r="J99" s="38"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38" t="n"/>
      <c r="L99" s="39" t="inlineStr">
        <is>
          <t>STDs &amp; vaginitis</t>
        </is>
      </c>
      <c r="M99" s="39" t="inlineStr">
        <is>
          <t>Clinic</t>
        </is>
      </c>
      <c r="N99" s="38" t="inlineStr">
        <is>
          <t>ข้อ 9 Pharma Plus เล่มม่วง (เฉลยข้อ ง)</t>
        </is>
      </c>
      <c r="O99" s="39" t="n"/>
      <c r="P99" s="39" t="n"/>
    </row>
    <row r="100" ht="13.2" customHeight="1" s="49">
      <c r="A100" s="37" t="n">
        <v>98</v>
      </c>
      <c r="B100" s="38" t="inlineStr">
        <is>
          <t>ข้อใดถูกต้องเกี่ยวกับยาต้านไวรัสในด้านกฎหมาย</t>
        </is>
      </c>
      <c r="C100" s="38" t="n"/>
      <c r="D100" s="38" t="inlineStr">
        <is>
          <t>[NEED_REVIEW]</t>
        </is>
      </c>
      <c r="E100" s="38" t="inlineStr">
        <is>
          <t>ยาต้านไวรัสทุกชนิดต้องจ่ายตามใบสั่งแพทย์เท่านั้น</t>
        </is>
      </c>
      <c r="F100" s="38" t="inlineStr">
        <is>
          <t>ยาต้านไวรัส acyclovir ชนิดรับประทาน เป็นยาควบคุมพิเศษ</t>
        </is>
      </c>
      <c r="G100" s="38" t="inlineStr">
        <is>
          <t>ยาต้านไวรัสรักษาโรคเอดส์ จัดเป็นยาอันตราย</t>
        </is>
      </c>
      <c r="H100" s="38" t="inlineStr">
        <is>
          <t>บุคลากรทางการแพทย์ทุกวิชาชีพสามารถจ่ายยาต้านไวรัส acyclovir ชนิดทาเฉพาะที่ได้</t>
        </is>
      </c>
      <c r="I100" s="37" t="inlineStr">
        <is>
          <t>4</t>
        </is>
      </c>
      <c r="J100" s="38" t="inlineStr">
        <is>
          <t>✅ คำตอบที่ถูกต้อง: ข้อ ง. ยาต้านไวรัสรักษาโรคเอดส์ จัดเป็นยาอันตราย
💡 Background:
การดูแลผู้ติดเชื้อ HIV เน้นเริ่ม Antiretroviral Therapy (ART) ทันทีเพื่อกด viral load ให้ undetectable (U=U) และฟื้นฟูระบบภูมิคุ้มกัน
🎯 ทำไมข้อนี้ถึงถูก:
ยาต้านไวรัสรักษาโรคเอดส์ จัดเป็นยาอันตราย ตามกฎหมายยาในประเทศไทย ยาต้านไวรัส acyclovir ชนิดรับประทานจัดเป็น 'ยาควบคุมพิเศษ' ซึ่งต้องมีใบสั่งแพทย์ในการจ่ายยา ขณะที่รูปแบบยาทาอาจเป็นยาอันตรายหรือยาใช้ภายนอกตามเงื่อนไขประกาศกระทรวงสาธารณสุข
🔍 ข้ออื่นผิดเพราะอะไร:
• ข้อ ก. (ยาต้านไวรัสทุกชนิดสามารถขายได้ในร้านยาที่มีเภสัชกรประจำร้าน): ยาต้านไวรัสไม่ได้จัดเป็นยาที่สามารถจำหน่ายได้อย่างอิสระทุกชนิด ยาต้านไวรัสสำหรับรักษา HIV และยาต้านไวรัสบางชนิดควบคุมเข้มงวด ต้องได้รับการประเมินและสั่งจ่ายภายใต้การดูแลของแพทย์
• ข้อ ข. (ยาต้านไวรัสทุกชนิดต้องจ่ายตามใบสั่งแพทย์เท่านั้น): ยาต้านไวรัสบางชนิดในรูปแบบยาทาภายนอก เช่น ยาทา acyclovir สำหรับรักษาเริมที่ริมฝีปาก จัดเป็นยาอันตรายที่สามารถจำหน่ายในร้านยาแผนปัจจุบันภายใต้การดูแลและจ่ายยาโดยเภสัชกรได้โดยไม่ต้องใช้ใบสั่งแพทย์
• ข้อ ค. (ยาต้านไวรัส acyclovir ชนิดรับประทาน เป็นยาควบคุมพิเศษ): Acyclovir ชนิดรับประทานจัดเป็นยาอันตราย (Dangerous drug) ตามประกาศกระทรวงสาธารณสุข ไม่ได้จัดเป็นยาควบคุมพิเศษ (Special controlled drug) ซึ่งสามารถจ่ายได้ในร้านยาคุณภาพที่มีเภสัชกรปฏิบัติการ
• ข้อ จ. (บุคลากรทางการแพทย์ทุกวิชาชีพสามารถจ่ายยาต้านไวรัส acyclovir ชนิดทาเฉพาะที่ได้): ยาต้านไวรัส acyclovir ชนิดใช้ภายนอกจัดเป็นยาอันตรายหรือยาแผนปัจจุบันที่ต้องสั่งจ่ายโดยแพทย์หรือเภสัชกรชั้นหนึ่งตามกฎหมายวิชาชีพ บุคลากรทางการแพทย์ทุกวิชาชีพไม่สามารถจำหน่ายหรือจ่ายยาได้โดยอิสระ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0" s="38" t="n"/>
      <c r="L100" s="39" t="inlineStr">
        <is>
          <t>HIV infection</t>
        </is>
      </c>
      <c r="M100" s="39" t="inlineStr">
        <is>
          <t>Clinic</t>
        </is>
      </c>
      <c r="N100" s="38" t="inlineStr">
        <is>
          <t>ข้อ 9 Pharma Plus เล่มม่วง (เฉลยข้อ ง)</t>
        </is>
      </c>
      <c r="O100" s="39" t="n"/>
      <c r="P100" s="39" t="n"/>
    </row>
    <row r="101" ht="13.2" customHeight="1" s="49">
      <c r="A101" s="37" t="n">
        <v>99</v>
      </c>
      <c r="B101" s="38"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38" t="n"/>
      <c r="D101" s="38" t="inlineStr">
        <is>
          <t>Steven Johnson syndrome</t>
        </is>
      </c>
      <c r="E101" s="38" t="inlineStr">
        <is>
          <t>Toxic epidermal necrolysis</t>
        </is>
      </c>
      <c r="F101" s="38" t="inlineStr">
        <is>
          <t>Rash with blisters</t>
        </is>
      </c>
      <c r="G101" s="38" t="inlineStr">
        <is>
          <t>SGPT &gt; 5X</t>
        </is>
      </c>
      <c r="H101" s="38" t="inlineStr">
        <is>
          <t>ถูกทุกข้อ</t>
        </is>
      </c>
      <c r="I101" s="37" t="inlineStr">
        <is>
          <t>4</t>
        </is>
      </c>
      <c r="J101" s="38" t="inlineStr">
        <is>
          <t>✅ คำตอบที่ถูกต้อง: ข้อ ง. SGPT &gt; 5X
💡 Background:
การดูแลผู้ติดเชื้อ HIV เน้นเริ่ม Antiretroviral Therapy (ART) ทันทีเพื่อกด viral load ให้ undetectable (U=U) และฟื้นฟูระบบภูมิคุ้มกัน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1" s="38" t="n"/>
      <c r="L101" s="39" t="inlineStr">
        <is>
          <t>HIV infection</t>
        </is>
      </c>
      <c r="M101" s="39" t="inlineStr">
        <is>
          <t>Clinic</t>
        </is>
      </c>
      <c r="N101" s="38" t="inlineStr">
        <is>
          <t>ข้อ 9 Pharma Plus เล่มม่วง (เฉลยข้อ ง)</t>
        </is>
      </c>
      <c r="O101" s="39" t="n"/>
      <c r="P101" s="39" t="n"/>
    </row>
    <row r="102" ht="13.2" customHeight="1" s="49">
      <c r="A102" s="37" t="n">
        <v>100</v>
      </c>
      <c r="B102" s="38"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38" t="n"/>
      <c r="D102" s="38" t="inlineStr">
        <is>
          <t>พยาธิตัวตืด</t>
        </is>
      </c>
      <c r="E102" s="38" t="inlineStr">
        <is>
          <t>พยาธิปากขอ</t>
        </is>
      </c>
      <c r="F102" s="38" t="inlineStr">
        <is>
          <t>พยาธิเส้นด้าย</t>
        </is>
      </c>
      <c r="G102" s="38" t="inlineStr">
        <is>
          <t>พยาธิใบไม้</t>
        </is>
      </c>
      <c r="H102" s="38" t="inlineStr">
        <is>
          <t>พยาธิเท้าช้าง</t>
        </is>
      </c>
      <c r="I102" s="37" t="inlineStr">
        <is>
          <t>4</t>
        </is>
      </c>
      <c r="J102" s="38"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38" t="n"/>
      <c r="L102" s="39" t="inlineStr">
        <is>
          <t>Parasitic infections</t>
        </is>
      </c>
      <c r="M102" s="39" t="inlineStr">
        <is>
          <t>Clinic</t>
        </is>
      </c>
      <c r="N102" s="38" t="inlineStr">
        <is>
          <t>ข้อ 9 Pharma Plus เล่มม่วง (เฉลยข้อ ง)</t>
        </is>
      </c>
      <c r="O102" s="39" t="n"/>
      <c r="P102" s="39" t="n"/>
    </row>
    <row r="103" ht="13.2" customHeight="1" s="49">
      <c r="A103" s="37" t="n">
        <v>101</v>
      </c>
      <c r="B103" s="38" t="inlineStr">
        <is>
          <t>Trimethoprim สามารถทำให้อาการข้างเคียงตามข้อใด</t>
        </is>
      </c>
      <c r="C103" s="38" t="n"/>
      <c r="D103" s="38" t="inlineStr">
        <is>
          <t>Diarrhea</t>
        </is>
      </c>
      <c r="E103" s="38" t="inlineStr">
        <is>
          <t>Fatigue</t>
        </is>
      </c>
      <c r="F103" s="38" t="inlineStr">
        <is>
          <t>ปัสสาวะสีแดง</t>
        </is>
      </c>
      <c r="G103" s="38" t="inlineStr">
        <is>
          <t>Hypotension</t>
        </is>
      </c>
      <c r="H103" s="38" t="inlineStr">
        <is>
          <t>Megaloblastic anemia</t>
        </is>
      </c>
      <c r="I103" s="37" t="inlineStr">
        <is>
          <t>4</t>
        </is>
      </c>
      <c r="J103" s="38" t="inlineStr">
        <is>
          <t>✅ คำตอบที่ถูกต้อง: ข้อ ง. Hypotension
💡 Background:
การดูแลผู้ติดเชื้อ HIV เน้นเริ่ม Antiretroviral Therapy (ART) ทันทีเพื่อกด viral load ให้ undetectable (U=U) และฟื้นฟูระบบภูมิคุ้มกัน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3" s="38" t="n"/>
      <c r="L103" s="39" t="inlineStr">
        <is>
          <t>HIV infection</t>
        </is>
      </c>
      <c r="M103" s="39" t="inlineStr">
        <is>
          <t>Clinic</t>
        </is>
      </c>
      <c r="N103" s="38" t="inlineStr">
        <is>
          <t>ข้อ 10 Pharma Plus เล่มม่วง (เฉลยข้อ ง)</t>
        </is>
      </c>
      <c r="O103" s="39" t="n"/>
      <c r="P103" s="39" t="n"/>
    </row>
    <row r="104" ht="13.2" customHeight="1" s="49">
      <c r="A104" s="37" t="n">
        <v>102</v>
      </c>
      <c r="B104" s="38"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38" t="n"/>
      <c r="D104" s="38" t="inlineStr">
        <is>
          <t>การรักษาต้องรักษาทั้งผู้ป่วยและสามี แม้ว่าสามีจะไม่มีอาการใดๆ</t>
        </is>
      </c>
      <c r="E104" s="38" t="inlineStr">
        <is>
          <t>จำเป็นต้องให้ยาเพื่อป้องกันการกลับเป็นซ้ำเนื่องจากผู้ป่วยยังอายุน้อย</t>
        </is>
      </c>
      <c r="F104" s="38" t="inlineStr">
        <is>
          <t>ห้ามดื่มนมพร้อมยา เนื่องจากนมจะทำให้ยาถูกดูดซึมได้ลดลง</t>
        </is>
      </c>
      <c r="G104" s="38" t="inlineStr">
        <is>
          <t>อย่ากลั้นปัสสาวะ</t>
        </is>
      </c>
      <c r="H104" s="38" t="inlineStr">
        <is>
          <t>ไม่ควรล้างช่องคลอดอย่างพร่ำเพรื่อ</t>
        </is>
      </c>
      <c r="I104" s="37" t="inlineStr">
        <is>
          <t>4</t>
        </is>
      </c>
      <c r="J104" s="38"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38" t="n"/>
      <c r="L104" s="39" t="inlineStr">
        <is>
          <t>STDs &amp; vaginitis</t>
        </is>
      </c>
      <c r="M104" s="39" t="inlineStr">
        <is>
          <t>Clinic</t>
        </is>
      </c>
      <c r="N104" s="38" t="inlineStr">
        <is>
          <t>ข้อ 10 Pharma Plus เล่มม่วง (เฉลยข้อ ง)</t>
        </is>
      </c>
      <c r="O104" s="39" t="n"/>
      <c r="P104" s="39" t="n"/>
    </row>
    <row r="105" ht="13.2" customHeight="1" s="49">
      <c r="A105" s="37" t="n">
        <v>103</v>
      </c>
      <c r="B105" s="38"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38" t="n"/>
      <c r="D105" s="38" t="inlineStr">
        <is>
          <t>Indinavir</t>
        </is>
      </c>
      <c r="E105" s="38" t="inlineStr">
        <is>
          <t>Lamivudine</t>
        </is>
      </c>
      <c r="F105" s="38" t="inlineStr">
        <is>
          <t>Nevirapine</t>
        </is>
      </c>
      <c r="G105" s="38" t="inlineStr">
        <is>
          <t>Stavudine</t>
        </is>
      </c>
      <c r="H105" s="38" t="inlineStr">
        <is>
          <t>Zidovudine</t>
        </is>
      </c>
      <c r="I105" s="37" t="inlineStr">
        <is>
          <t>4</t>
        </is>
      </c>
      <c r="J105" s="38" t="inlineStr">
        <is>
          <t>✅ คำตอบที่ถูกต้อง: ข้อ ง. Stavudine
💡 Background:
การดูแลผู้ติดเชื้อ HIV เน้นเริ่ม Antiretroviral Therapy (ART) ทันทีเพื่อกด viral load ให้ undetectable (U=U) และฟื้นฟูระบบภูมิคุ้มกัน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5" s="38" t="n"/>
      <c r="L105" s="39" t="inlineStr">
        <is>
          <t>HIV infection</t>
        </is>
      </c>
      <c r="M105" s="39" t="inlineStr">
        <is>
          <t>Clinic</t>
        </is>
      </c>
      <c r="N105" s="38" t="inlineStr">
        <is>
          <t>ข้อ 10 Pharma Plus เล่มม่วง (เฉลยข้อ ง)</t>
        </is>
      </c>
      <c r="O105" s="39" t="n"/>
      <c r="P105" s="39" t="n"/>
    </row>
    <row r="106" ht="13.2" customHeight="1" s="49">
      <c r="A106" s="37" t="n">
        <v>104</v>
      </c>
      <c r="B106" s="38"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38" t="n"/>
      <c r="D106" s="38" t="inlineStr">
        <is>
          <t>Praziquantel 5-25 mg/kg/day po once</t>
        </is>
      </c>
      <c r="E106" s="38" t="inlineStr">
        <is>
          <t>Niclosamide 2 g single dose</t>
        </is>
      </c>
      <c r="F106" s="38" t="inlineStr">
        <is>
          <t>Albendazole 400 mg single dose</t>
        </is>
      </c>
      <c r="G106" s="38" t="inlineStr">
        <is>
          <t>Mebendazole 100 mg single dose</t>
        </is>
      </c>
      <c r="H106" s="38" t="inlineStr">
        <is>
          <t>ได้ทั้งข้อ 3 และ ข้อ 4</t>
        </is>
      </c>
      <c r="I106" s="37" t="inlineStr">
        <is>
          <t>4</t>
        </is>
      </c>
      <c r="J106" s="38" t="inlineStr">
        <is>
          <t>✅ คำตอบที่ถูกต้อง: ข้อ ง. Mebendazole 100 mg single dose
💡 Background:
การดูแลผู้ติดเชื้อ HIV เน้นเริ่ม Antiretroviral Therapy (ART) ทันทีเพื่อกด viral load ให้ undetectable (U=U) และฟื้นฟูระบบภูมิคุ้มกัน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6" s="38" t="n"/>
      <c r="L106" s="39" t="inlineStr">
        <is>
          <t>HIV infection</t>
        </is>
      </c>
      <c r="M106" s="39" t="inlineStr">
        <is>
          <t>Clinic</t>
        </is>
      </c>
      <c r="N106" s="38" t="inlineStr">
        <is>
          <t>ข้อ 10 Pharma Plus เล่มม่วง (เฉลยข้อ ง)</t>
        </is>
      </c>
      <c r="O106" s="39" t="n"/>
      <c r="P106" s="39" t="n"/>
    </row>
    <row r="107" ht="13.2" customHeight="1" s="49">
      <c r="A107" s="37" t="n">
        <v>105</v>
      </c>
      <c r="B107" s="38" t="inlineStr">
        <is>
          <t>ยาในกลุ่มใดต่อไปนี้ออกฤทธิ์เป็น Bactericidal</t>
        </is>
      </c>
      <c r="C107" s="38" t="n"/>
      <c r="D107" s="38" t="inlineStr">
        <is>
          <t>Cephalosporin</t>
        </is>
      </c>
      <c r="E107" s="38" t="inlineStr">
        <is>
          <t>Tetracycline</t>
        </is>
      </c>
      <c r="F107" s="38" t="inlineStr">
        <is>
          <t>Erythromycin</t>
        </is>
      </c>
      <c r="G107" s="38" t="inlineStr">
        <is>
          <t>Chloramphenicol</t>
        </is>
      </c>
      <c r="H107" s="38" t="inlineStr">
        <is>
          <t>Trimethoprim</t>
        </is>
      </c>
      <c r="I107" s="37" t="inlineStr">
        <is>
          <t>3</t>
        </is>
      </c>
      <c r="J107"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7" s="38" t="n"/>
      <c r="L107" s="39" t="inlineStr">
        <is>
          <t>HIV infection</t>
        </is>
      </c>
      <c r="M107" s="39" t="inlineStr">
        <is>
          <t>Clinic</t>
        </is>
      </c>
      <c r="N107" s="38" t="inlineStr">
        <is>
          <t>ข้อ 11 Pharma Plus เล่มม่วง (เฉลยข้อ ค)</t>
        </is>
      </c>
      <c r="O107" s="39" t="n"/>
      <c r="P107" s="39" t="n"/>
    </row>
    <row r="108" ht="13.2" customHeight="1" s="49">
      <c r="A108" s="37" t="n">
        <v>106</v>
      </c>
      <c r="B108"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38" t="n"/>
      <c r="D108" s="38" t="inlineStr">
        <is>
          <t>Tinea capitis</t>
        </is>
      </c>
      <c r="E108" s="38" t="inlineStr">
        <is>
          <t>Tinea caporis</t>
        </is>
      </c>
      <c r="F108" s="38" t="inlineStr">
        <is>
          <t>Tinea curis</t>
        </is>
      </c>
      <c r="G108" s="38" t="inlineStr">
        <is>
          <t>Tinea versicolor</t>
        </is>
      </c>
      <c r="H108" s="38" t="inlineStr">
        <is>
          <t>Tinea pedis</t>
        </is>
      </c>
      <c r="I108" s="37" t="inlineStr">
        <is>
          <t>3</t>
        </is>
      </c>
      <c r="J108" s="38" t="inlineStr">
        <is>
          <t>✅ คำตอบที่ถูกต้อง: ข้อ ค. Tinea curis
💡 Background:
การดูแลผู้ติดเชื้อ HIV เน้นเริ่ม Antiretroviral Therapy (ART) ทันทีเพื่อกด viral load ให้ undetectable (U=U) และฟื้นฟูระบบภูมิคุ้มกัน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8" s="38" t="n"/>
      <c r="L108" s="39" t="inlineStr">
        <is>
          <t>HIV infection</t>
        </is>
      </c>
      <c r="M108" s="39" t="inlineStr">
        <is>
          <t>Clinic</t>
        </is>
      </c>
      <c r="N108" s="38" t="inlineStr">
        <is>
          <t>ข้อ 11 Pharma Plus เล่มม่วง (เฉลยข้อ ค)</t>
        </is>
      </c>
      <c r="O108" s="39" t="n"/>
      <c r="P108" s="39" t="n"/>
    </row>
    <row r="109" ht="13.2" customHeight="1" s="49">
      <c r="A109" s="37" t="n">
        <v>107</v>
      </c>
      <c r="B109" s="38" t="inlineStr">
        <is>
          <t>การรักษาใดเหมาะสมในผู้ป่วยรายนี้</t>
        </is>
      </c>
      <c r="C109" s="38" t="n"/>
      <c r="D109" s="38" t="inlineStr">
        <is>
          <t>2HRZE/4HR และทานยาต้าน HIV ตามปกติ</t>
        </is>
      </c>
      <c r="E109" s="38" t="inlineStr">
        <is>
          <t>2HRZE/4HR และเพิ่ม ritonavir เป็น 800 mg q 12 hr</t>
        </is>
      </c>
      <c r="F109" s="38" t="inlineStr">
        <is>
          <t>2HRZE/4HR และเปลี่ยน ritonavir เป็น efavarenz</t>
        </is>
      </c>
      <c r="G109" s="38" t="inlineStr">
        <is>
          <t>2HES/10HE เพื่อป้องกัน rifampicin เกิด drug interaction กับ ritonavir</t>
        </is>
      </c>
      <c r="H109" s="38" t="inlineStr">
        <is>
          <t>2HES/10HE เพื่อป้องกัน rifampicin เกิด drug interaction กับ fluconazole</t>
        </is>
      </c>
      <c r="I109" s="37" t="inlineStr">
        <is>
          <t>3</t>
        </is>
      </c>
      <c r="J109" s="38" t="inlineStr">
        <is>
          <t>✅ คำตอบที่ถูกต้อง: ข้อ ค. 2HRZE/4HR และเปลี่ยน ritonavir เป็น efavarenz
💡 Background:
การดูแลผู้ติดเชื้อ HIV เน้นเริ่ม Antiretroviral Therapy (ART) ทันทีเพื่อกด viral load ให้ undetectable (U=U) และฟื้นฟูระบบภูมิคุ้มกัน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09" s="38" t="n"/>
      <c r="L109" s="39" t="inlineStr">
        <is>
          <t>HIV infection</t>
        </is>
      </c>
      <c r="M109" s="39" t="inlineStr">
        <is>
          <t>Clinic</t>
        </is>
      </c>
      <c r="N109" s="38" t="inlineStr">
        <is>
          <t>ข้อ 11 Pharma Plus เล่มม่วง (เฉลยข้อ ค)</t>
        </is>
      </c>
      <c r="O109" s="39" t="n"/>
      <c r="P109" s="39" t="n"/>
    </row>
    <row r="110" ht="13.2" customHeight="1" s="49">
      <c r="A110" s="37" t="n">
        <v>108</v>
      </c>
      <c r="B110" s="38" t="inlineStr">
        <is>
          <t>ข้อใดผิดเกี่ยวกับการรักษาการติดพยาธิเส้นด้าย</t>
        </is>
      </c>
      <c r="C110" s="38" t="n"/>
      <c r="D110" s="38" t="inlineStr">
        <is>
          <t>ควรให้การรักษาซ้ำในสัปดาห์ที่ 2</t>
        </is>
      </c>
      <c r="E110" s="38" t="inlineStr">
        <is>
          <t>ควรรักษาสมาชิกในครอบครัวทั้งหมดพร้อมกัน</t>
        </is>
      </c>
      <c r="F110" s="38" t="inlineStr">
        <is>
          <t>ควรรักษาสมาชิกในครอบครัวที่เป็นเด็กพร้อมกัน</t>
        </is>
      </c>
      <c r="G110" s="38" t="inlineStr">
        <is>
          <t>หากมีอาการคันมากบริเวณรอบทวารหนักเวลากลางคืน ควรปรึกษาแพทย์หรือเภสัชกรเพื่อรับยาครีมหรือขี้ผึ้งทาแก้คัน</t>
        </is>
      </c>
      <c r="H110" s="38" t="inlineStr">
        <is>
          <t>รับประทานยาหลังอาหารทันที</t>
        </is>
      </c>
      <c r="I110" s="37" t="inlineStr">
        <is>
          <t>3</t>
        </is>
      </c>
      <c r="J110" s="38"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38" t="n"/>
      <c r="L110" s="39" t="inlineStr">
        <is>
          <t>Parasitic infections</t>
        </is>
      </c>
      <c r="M110" s="39" t="inlineStr">
        <is>
          <t>Clinic</t>
        </is>
      </c>
      <c r="N110" s="38" t="inlineStr">
        <is>
          <t>ข้อ 11 Pharma Plus เล่มม่วง (เฉลยข้อ ค)</t>
        </is>
      </c>
      <c r="O110" s="39" t="n"/>
      <c r="P110" s="39" t="n"/>
    </row>
    <row r="111" ht="13.2" customHeight="1" s="49">
      <c r="A111" s="37" t="n">
        <v>109</v>
      </c>
      <c r="B111" s="38" t="inlineStr">
        <is>
          <t>ยาในข้อใดออกฤทธิ์เป็น Concentration-dependent bactericidal activity</t>
        </is>
      </c>
      <c r="C111" s="38" t="n"/>
      <c r="D111" s="38" t="inlineStr">
        <is>
          <t>Penicillin</t>
        </is>
      </c>
      <c r="E111" s="38" t="inlineStr">
        <is>
          <t>Ciprofloxacin</t>
        </is>
      </c>
      <c r="F111" s="38" t="inlineStr">
        <is>
          <t>Erythromycin</t>
        </is>
      </c>
      <c r="G111" s="38" t="inlineStr">
        <is>
          <t>Cefazolin</t>
        </is>
      </c>
      <c r="H111" s="38" t="inlineStr">
        <is>
          <t>Azithromycin</t>
        </is>
      </c>
      <c r="I111" s="37" t="inlineStr">
        <is>
          <t>3</t>
        </is>
      </c>
      <c r="J111" s="38" t="inlineStr">
        <is>
          <t>✅ คำตอบที่ถูกต้อง: ข้อ ค. Erythromycin
💡 Background:
การดูแลผู้ติดเชื้อ HIV เน้นเริ่ม Antiretroviral Therapy (ART) ทันทีเพื่อกด viral load ให้ undetectable (U=U) และฟื้นฟูระบบภูมิคุ้มกัน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1" s="38" t="n"/>
      <c r="L111" s="39" t="inlineStr">
        <is>
          <t>HIV infection</t>
        </is>
      </c>
      <c r="M111" s="39" t="inlineStr">
        <is>
          <t>Clinic</t>
        </is>
      </c>
      <c r="N111" s="38" t="inlineStr">
        <is>
          <t>ข้อ 12 Pharma Plus เล่มม่วง (เฉลยข้อ ค)</t>
        </is>
      </c>
      <c r="O111" s="39" t="n"/>
      <c r="P111" s="39" t="n"/>
    </row>
    <row r="112" ht="13.2" customHeight="1" s="49">
      <c r="A112" s="37" t="n">
        <v>110</v>
      </c>
      <c r="B112" s="38"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38" t="n"/>
      <c r="D112" s="38" t="inlineStr">
        <is>
          <t>14 วัน</t>
        </is>
      </c>
      <c r="E112" s="38" t="inlineStr">
        <is>
          <t>2 เดือน</t>
        </is>
      </c>
      <c r="F112" s="38" t="inlineStr">
        <is>
          <t>3 เดือน</t>
        </is>
      </c>
      <c r="G112" s="38" t="inlineStr">
        <is>
          <t>4 เดือน</t>
        </is>
      </c>
      <c r="H112" s="38" t="inlineStr">
        <is>
          <t>5 เดือน</t>
        </is>
      </c>
      <c r="I112" s="37" t="inlineStr">
        <is>
          <t>3</t>
        </is>
      </c>
      <c r="J112" s="38"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38" t="n"/>
      <c r="L112" s="39" t="inlineStr">
        <is>
          <t>Pneumonia</t>
        </is>
      </c>
      <c r="M112" s="39" t="inlineStr">
        <is>
          <t>Clinic</t>
        </is>
      </c>
      <c r="N112" s="38" t="inlineStr">
        <is>
          <t>ข้อ 12 Pharma Plus เล่มม่วง (เฉลยข้อ ค)</t>
        </is>
      </c>
      <c r="O112" s="39" t="n"/>
      <c r="P112" s="39" t="n"/>
    </row>
    <row r="113" ht="13.2" customHeight="1" s="49">
      <c r="A113" s="37" t="n">
        <v>111</v>
      </c>
      <c r="B113" s="38" t="inlineStr">
        <is>
          <t>หลังจากนี้ไม่ควรดำเนินการรักษาโรคของนางฟ้าได้อย่างไร</t>
        </is>
      </c>
      <c r="C113" s="38" t="n"/>
      <c r="D113" s="38" t="inlineStr">
        <is>
          <t>ดำเนินการรักษา TB ต่อไปอีก 6-9 สัปดาห์</t>
        </is>
      </c>
      <c r="E113" s="38" t="inlineStr">
        <is>
          <t>ให้ pyridoxine 10 mg/day ควบคู่กับการรักษา TB</t>
        </is>
      </c>
      <c r="F113" s="38" t="inlineStr">
        <is>
          <t>ให้การรักษาวัณโรคแบบ DOTS</t>
        </is>
      </c>
      <c r="G113" s="38" t="inlineStr">
        <is>
          <t>รับประทานยาติดต่อกันอย่างสม่ำเสมอ</t>
        </is>
      </c>
      <c r="H113" s="38" t="inlineStr">
        <is>
          <t>ตรวจ serology B hepatitis</t>
        </is>
      </c>
      <c r="I113" s="37" t="inlineStr">
        <is>
          <t>3</t>
        </is>
      </c>
      <c r="J113" s="38" t="inlineStr">
        <is>
          <t>✅ คำตอบที่ถูกต้อง: ข้อ ค. ให้การรักษาวัณโรคแบบ DOTS
💡 Background:
การดูแลผู้ติดเชื้อ HIV เน้นเริ่ม Antiretroviral Therapy (ART) ทันทีเพื่อกด viral load ให้ undetectable (U=U) และฟื้นฟูระบบภูมิคุ้มกัน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3" s="38" t="n"/>
      <c r="L113" s="39" t="inlineStr">
        <is>
          <t>HIV infection</t>
        </is>
      </c>
      <c r="M113" s="39" t="inlineStr">
        <is>
          <t>Clinic</t>
        </is>
      </c>
      <c r="N113" s="38" t="inlineStr">
        <is>
          <t>ข้อ 12 Pharma Plus เล่มม่วง (เฉลยข้อ ค)</t>
        </is>
      </c>
      <c r="O113" s="39" t="n"/>
      <c r="P113" s="39" t="n"/>
    </row>
    <row r="114" ht="13.2" customHeight="1" s="49">
      <c r="A114" s="37" t="n">
        <v>112</v>
      </c>
      <c r="B114" s="38" t="inlineStr">
        <is>
          <t>คำแนะนำใดมีประโยชน์น้อยที่สุดในการป้องกันการติดพยาธิดังกล่าว</t>
        </is>
      </c>
      <c r="C114" s="38" t="n"/>
      <c r="D114" s="38" t="inlineStr">
        <is>
          <t>ควรรับประทานอาหารที่ปรุงสุก สะอาด</t>
        </is>
      </c>
      <c r="E114" s="38" t="inlineStr">
        <is>
          <t>ล้างมือก่อนรับประทานอาหารทุกครั้ง</t>
        </is>
      </c>
      <c r="F114" s="38" t="inlineStr">
        <is>
          <t>ควรสวมรองเท้าทุกครั้งที่ออกจากบ้าน</t>
        </is>
      </c>
      <c r="G114" s="38" t="inlineStr">
        <is>
          <t>ซักเสื้อผ้า ผ้าห่ม ผ้าปูที่นอนเสมอ</t>
        </is>
      </c>
      <c r="H114" s="38" t="inlineStr">
        <is>
          <t>ตัดเล็บมือให้สั้น</t>
        </is>
      </c>
      <c r="I114" s="37" t="inlineStr">
        <is>
          <t>3</t>
        </is>
      </c>
      <c r="J114" s="38"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38" t="n"/>
      <c r="L114" s="39" t="inlineStr">
        <is>
          <t>Parasitic infections</t>
        </is>
      </c>
      <c r="M114" s="39" t="inlineStr">
        <is>
          <t>Clinic</t>
        </is>
      </c>
      <c r="N114" s="38" t="inlineStr">
        <is>
          <t>ข้อ 12 Pharma Plus เล่มม่วง (เฉลยข้อ ค)</t>
        </is>
      </c>
      <c r="O114" s="39" t="n"/>
      <c r="P114" s="39" t="n"/>
    </row>
    <row r="115" ht="13.2" customHeight="1" s="49">
      <c r="A115" s="37" t="n">
        <v>113</v>
      </c>
      <c r="B115" s="38" t="inlineStr">
        <is>
          <t>Vancomycin ผลิตมาจากเชื้ออะไร</t>
        </is>
      </c>
      <c r="C115" s="38" t="n"/>
      <c r="D115" s="38" t="inlineStr">
        <is>
          <t>Streptomyces orchidaceus</t>
        </is>
      </c>
      <c r="E115" s="38" t="inlineStr">
        <is>
          <t>Streptomyces fradiae</t>
        </is>
      </c>
      <c r="F115" s="38" t="inlineStr">
        <is>
          <t>Bacillus subtilis</t>
        </is>
      </c>
      <c r="G115" s="38" t="inlineStr">
        <is>
          <t>Streptococcus orientalis</t>
        </is>
      </c>
      <c r="H115" s="38" t="inlineStr">
        <is>
          <t>ไม่มีข้อถูก</t>
        </is>
      </c>
      <c r="I115" s="37" t="inlineStr">
        <is>
          <t>2</t>
        </is>
      </c>
      <c r="J115" s="38" t="inlineStr">
        <is>
          <t>✅ คำตอบที่ถูกต้อง: ข้อ ข. Streptomyces fradiae
💡 Background:
การดูแลผู้ติดเชื้อ HIV เน้นเริ่ม Antiretroviral Therapy (ART) ทันทีเพื่อกด viral load ให้ undetectable (U=U) และฟื้นฟูระบบภูมิคุ้มกัน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115" s="38" t="n"/>
      <c r="L115" s="39" t="inlineStr">
        <is>
          <t>HIV infection</t>
        </is>
      </c>
      <c r="M115" s="39" t="inlineStr">
        <is>
          <t>Clinic</t>
        </is>
      </c>
      <c r="N115" s="38" t="inlineStr">
        <is>
          <t>ข้อ 13 Pharma Plus เล่มม่วง (เฉลยข้อ ข ค)</t>
        </is>
      </c>
      <c r="O115" s="39" t="n"/>
      <c r="P115" s="39" t="n"/>
    </row>
    <row r="116" ht="13.2" customHeight="1" s="49">
      <c r="A116" s="37" t="n">
        <v>114</v>
      </c>
      <c r="B116" s="38" t="inlineStr">
        <is>
          <t>ข้อใดคือ กลไกการออกฤทธิ์ของยา griseofulvin</t>
        </is>
      </c>
      <c r="C116" s="38" t="n"/>
      <c r="D116" s="38" t="inlineStr">
        <is>
          <t>ยับยั้งการสังเคราะห์ ergosterol</t>
        </is>
      </c>
      <c r="E116" s="38" t="inlineStr">
        <is>
          <t>ยับยั้งการสร้าง mycolic acid ใน cell wall</t>
        </is>
      </c>
      <c r="F116" s="38" t="inlineStr">
        <is>
          <t>ยับยั้งการสร้าง mitosis ของ dermatophytes</t>
        </is>
      </c>
      <c r="G116" s="38" t="inlineStr">
        <is>
          <t>จับกับ phospholipids ยับยั้งการสร้าง cell wall</t>
        </is>
      </c>
      <c r="H116" s="38" t="inlineStr">
        <is>
          <t>จับกับ sterol ยับยั้งการสร้างผนังเซลล์</t>
        </is>
      </c>
      <c r="I116" s="37" t="inlineStr">
        <is>
          <t>2</t>
        </is>
      </c>
      <c r="J116" s="38" t="inlineStr">
        <is>
          <t>✅ คำตอบที่ถูกต้อง: ข้อ ข. ยับยั้งการสร้าง mycolic acid ใน cell wall
💡 Background:
การดูแลผู้ติดเชื้อ HIV เน้นเริ่ม Antiretroviral Therapy (ART) ทันทีเพื่อกด viral load ให้ undetectable (U=U) และฟื้นฟูระบบภูมิคุ้มกัน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6" s="38" t="n"/>
      <c r="L116" s="39" t="inlineStr">
        <is>
          <t>HIV infection</t>
        </is>
      </c>
      <c r="M116" s="39" t="inlineStr">
        <is>
          <t>Clinic</t>
        </is>
      </c>
      <c r="N116" s="38" t="inlineStr">
        <is>
          <t>ข้อ 13 Pharma Plus เล่มม่วง (เฉลยข้อ ข ค)</t>
        </is>
      </c>
      <c r="O116" s="39" t="n"/>
      <c r="P116" s="39" t="n"/>
    </row>
    <row r="117" ht="13.2" customHeight="1" s="49">
      <c r="A117" s="37" t="n">
        <v>115</v>
      </c>
      <c r="B117" s="38"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38" t="n"/>
      <c r="D117" s="38" t="inlineStr">
        <is>
          <t>2HR/16HE: INH 300 mg, Ethambutol 800 mg, Streptomycin 1 g</t>
        </is>
      </c>
      <c r="E117" s="38" t="inlineStr">
        <is>
          <t>2HRE/7HR: INH 300 mg, Rifampicin 450 mg, Ethambutol 800 mg</t>
        </is>
      </c>
      <c r="F117" s="38" t="inlineStr">
        <is>
          <t>2HR/16HE: INH 300 mg, Ethambutol 800 mg, Streptomycin 0.75 g</t>
        </is>
      </c>
      <c r="G117" s="38" t="inlineStr">
        <is>
          <t>2HRE/7HR: INH 300 mg, Rifampicin 600 mg, Ethambutol 1200 mg</t>
        </is>
      </c>
      <c r="H117" s="38" t="inlineStr">
        <is>
          <t>2HRE/7HR: INH 300 mg, Rifampicin 450 mg, Ethambutol 800 mg</t>
        </is>
      </c>
      <c r="I117" s="37" t="inlineStr">
        <is>
          <t>2</t>
        </is>
      </c>
      <c r="J117" s="38"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38" t="n"/>
      <c r="L117" s="39" t="inlineStr">
        <is>
          <t>Tuberculosis</t>
        </is>
      </c>
      <c r="M117" s="39" t="inlineStr">
        <is>
          <t>Clinic</t>
        </is>
      </c>
      <c r="N117" s="38" t="inlineStr">
        <is>
          <t>ข้อ 13 Pharma Plus เล่มม่วง (เฉลยข้อ ข ค)</t>
        </is>
      </c>
      <c r="O117" s="39" t="n"/>
      <c r="P117" s="39" t="n"/>
    </row>
    <row r="118" ht="13.2" customHeight="1" s="49">
      <c r="A118" s="37" t="n">
        <v>116</v>
      </c>
      <c r="B118" s="38" t="inlineStr">
        <is>
          <t>ยาใดมีผลข้างเคียงทำให้เกิดผิวหนังแพ้ต่อแสงผิวไหม้รู้สึกชาบริเวณที่ถูกแสง</t>
        </is>
      </c>
      <c r="C118" s="38" t="n"/>
      <c r="D118" s="38" t="inlineStr">
        <is>
          <t>Ciprofloxacin</t>
        </is>
      </c>
      <c r="E118" s="38" t="inlineStr">
        <is>
          <t>Erythromycin</t>
        </is>
      </c>
      <c r="F118" s="38" t="inlineStr">
        <is>
          <t>Cefazolin</t>
        </is>
      </c>
      <c r="G118" s="38" t="inlineStr">
        <is>
          <t>Azithromycin</t>
        </is>
      </c>
      <c r="H118" s="38" t="inlineStr">
        <is>
          <t>Doxycycline</t>
        </is>
      </c>
      <c r="I118" s="37" t="inlineStr">
        <is>
          <t>5</t>
        </is>
      </c>
      <c r="J118" s="38" t="inlineStr">
        <is>
          <t>✅ คำตอบที่ถูกต้อง: ข้อ จ. Doxycycline
💡 Background:
การดูแลผู้ติดเชื้อ HIV เน้นเริ่ม Antiretroviral Therapy (ART) ทันทีเพื่อกด viral load ให้ undetectable (U=U) และฟื้นฟูระบบภูมิคุ้มกัน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8" s="38" t="n"/>
      <c r="L118" s="39" t="inlineStr">
        <is>
          <t>HIV infection</t>
        </is>
      </c>
      <c r="M118" s="39" t="inlineStr">
        <is>
          <t>Clinic</t>
        </is>
      </c>
      <c r="N118" s="38" t="inlineStr">
        <is>
          <t>ข้อ 14 Pharma Plus เล่มม่วง (เฉลยข้อ จ)</t>
        </is>
      </c>
      <c r="O118" s="39" t="n"/>
      <c r="P118" s="39" t="n"/>
    </row>
    <row r="119" ht="13.2" customHeight="1" s="49">
      <c r="A119" s="37" t="n">
        <v>117</v>
      </c>
      <c r="B119" s="38" t="inlineStr">
        <is>
          <t>ถ้าต้องการใช้สมุนไพรในการรักษาอาการดังกล่าว สมุนไพรที่เลือกใช้</t>
        </is>
      </c>
      <c r="C119" s="38" t="n"/>
      <c r="D119" s="38" t="inlineStr">
        <is>
          <t>พญายอ</t>
        </is>
      </c>
      <c r="E119" s="38" t="inlineStr">
        <is>
          <t>ทองพันชั่ง</t>
        </is>
      </c>
      <c r="F119" s="38" t="inlineStr">
        <is>
          <t>มะแว้งต้น</t>
        </is>
      </c>
      <c r="G119" s="38" t="inlineStr">
        <is>
          <t>ใบบัวบก</t>
        </is>
      </c>
      <c r="H119" s="38" t="inlineStr">
        <is>
          <t>เปล้าน้อย</t>
        </is>
      </c>
      <c r="I119" s="37" t="inlineStr">
        <is>
          <t>5</t>
        </is>
      </c>
      <c r="J119" s="38" t="inlineStr">
        <is>
          <t>✅ คำตอบที่ถูกต้อง: ข้อ จ. เปล้าน้อย
💡 Background:
การดูแลผู้ติดเชื้อ HIV เน้นเริ่ม Antiretroviral Therapy (ART) ทันทีเพื่อกด viral load ให้ undetectable (U=U) และฟื้นฟูระบบภูมิคุ้มกัน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19" s="38" t="n"/>
      <c r="L119" s="39" t="inlineStr">
        <is>
          <t>HIV infection</t>
        </is>
      </c>
      <c r="M119" s="39" t="inlineStr">
        <is>
          <t>Clinic</t>
        </is>
      </c>
      <c r="N119" s="38" t="inlineStr">
        <is>
          <t>ข้อ 14 Pharma Plus เล่มม่วง (เฉลยข้อ จ)</t>
        </is>
      </c>
      <c r="O119" s="39" t="n"/>
      <c r="P119" s="39" t="n"/>
    </row>
    <row r="120" ht="13.2" customHeight="1" s="49">
      <c r="A120" s="37" t="n">
        <v>118</v>
      </c>
      <c r="B120" s="38" t="inlineStr">
        <is>
          <t>จากข้อ 13 นางฟ้าใสตานยาได้ 1 สัปดาห์ แล้วเกิดผิวหนังลอก (exfoliative dermatitis) ท่านจะทำอย่างไร</t>
        </is>
      </c>
      <c r="C120" s="38" t="n"/>
      <c r="D120" s="38" t="inlineStr">
        <is>
          <t>หยุด rifampicin แล้ว re-challenge ด้วยขนาดต่ำๆ</t>
        </is>
      </c>
      <c r="E120" s="38" t="inlineStr">
        <is>
          <t>หยุด INH แล้ว re-challenge ด้วยขนาดต่ำๆ</t>
        </is>
      </c>
      <c r="F120" s="38" t="inlineStr">
        <is>
          <t>เปลี่ยน rifampicin เป็น ofloxacin 400 mg bid</t>
        </is>
      </c>
      <c r="G120" s="38" t="inlineStr">
        <is>
          <t>หยุด ethambutol แล้ว re-challenge ด้วยขนาดต่ำๆ</t>
        </is>
      </c>
      <c r="H120" s="38" t="inlineStr">
        <is>
          <t>ให้ยา CPM ร่วมกับยาเดิม</t>
        </is>
      </c>
      <c r="I120" s="37" t="inlineStr">
        <is>
          <t>5</t>
        </is>
      </c>
      <c r="J120" s="38" t="inlineStr">
        <is>
          <t>✅ คำตอบที่ถูกต้อง: ข้อ จ. ให้ยา CPM ร่วมกับยาเดิม
💡 Background:
การดูแลผู้ติดเชื้อ HIV เน้นเริ่ม Antiretroviral Therapy (ART) ทันทีเพื่อกด viral load ให้ undetectable (U=U) และฟื้นฟูระบบภูมิคุ้มกัน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0" s="38" t="n"/>
      <c r="L120" s="39" t="inlineStr">
        <is>
          <t>HIV infection</t>
        </is>
      </c>
      <c r="M120" s="39" t="inlineStr">
        <is>
          <t>Clinic</t>
        </is>
      </c>
      <c r="N120" s="38" t="inlineStr">
        <is>
          <t>ข้อ 14 Pharma Plus เล่มม่วง (เฉลยข้อ จ)</t>
        </is>
      </c>
      <c r="O120" s="39" t="n"/>
      <c r="P120" s="39" t="n"/>
    </row>
    <row r="121" ht="13.2" customHeight="1" s="49">
      <c r="A121" s="37" t="n">
        <v>119</v>
      </c>
      <c r="B121" s="38" t="inlineStr">
        <is>
          <t>Gray baby syndrome มักเกิดในเด็กที่ได้รับยาอะไรในขนาดสูง</t>
        </is>
      </c>
      <c r="C121" s="38" t="n"/>
      <c r="D121" s="38" t="inlineStr">
        <is>
          <t>Azithromycin</t>
        </is>
      </c>
      <c r="E121" s="38" t="inlineStr">
        <is>
          <t>Doxycycline</t>
        </is>
      </c>
      <c r="F121" s="38" t="inlineStr">
        <is>
          <t>Chloramphenicol</t>
        </is>
      </c>
      <c r="G121" s="38" t="inlineStr">
        <is>
          <t>Neomycin</t>
        </is>
      </c>
      <c r="H121" s="38" t="inlineStr">
        <is>
          <t>Cephalexin</t>
        </is>
      </c>
      <c r="I121" s="37" t="inlineStr">
        <is>
          <t>4</t>
        </is>
      </c>
      <c r="J121"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1" s="38" t="n"/>
      <c r="L121" s="39" t="inlineStr">
        <is>
          <t>HIV infection</t>
        </is>
      </c>
      <c r="M121" s="39" t="inlineStr">
        <is>
          <t>Clinic</t>
        </is>
      </c>
      <c r="N121" s="38" t="inlineStr">
        <is>
          <t>ข้อ 15 Pharma Plus เล่มม่วง (เฉลยข้อ ง)</t>
        </is>
      </c>
      <c r="O121" s="39" t="n"/>
      <c r="P121" s="39" t="n"/>
    </row>
    <row r="122" ht="13.2" customHeight="1" s="49">
      <c r="A122" s="37" t="n">
        <v>120</v>
      </c>
      <c r="B122" s="38" t="inlineStr">
        <is>
          <t>ที่ฉลากยา griseofulvin มีคำว่า micronized form ข้อดีของ micronized form คือข้อใด</t>
        </is>
      </c>
      <c r="C122" s="38" t="n"/>
      <c r="D122" s="38" t="inlineStr">
        <is>
          <t>เพื่อเพิ่มการกระจายตัวไปยังตำแหน่งที่ออกฤทธิ์</t>
        </is>
      </c>
      <c r="E122" s="38" t="inlineStr">
        <is>
          <t>เพื่อลด first pass metabolism</t>
        </is>
      </c>
      <c r="F122" s="38" t="inlineStr">
        <is>
          <t>ให้อยู่ในร่างกายานขึ้น</t>
        </is>
      </c>
      <c r="G122" s="38" t="inlineStr">
        <is>
          <t>เพื่อป้องกันการดื้อยาของเชื้อรา</t>
        </is>
      </c>
      <c r="H122" s="38" t="inlineStr">
        <is>
          <t>เพื่อเพิ่มการดูดซึมยาจากทางเดินอาหาร</t>
        </is>
      </c>
      <c r="I122" s="37" t="inlineStr">
        <is>
          <t>4</t>
        </is>
      </c>
      <c r="J122" s="38"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Cystitis</t>
        </is>
      </c>
      <c r="M122" s="39" t="inlineStr">
        <is>
          <t>Clinic</t>
        </is>
      </c>
      <c r="N122" s="38" t="inlineStr">
        <is>
          <t>ข้อ 15 Pharma Plus เล่มม่วง (เฉลยข้อ ง)</t>
        </is>
      </c>
      <c r="O122" s="39" t="n"/>
      <c r="P122" s="39" t="n"/>
    </row>
    <row r="123" ht="13.2" customHeight="1" s="49">
      <c r="A123" s="37" t="n">
        <v>121</v>
      </c>
      <c r="B123" s="38"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38" t="n"/>
      <c r="D123" s="38" t="inlineStr">
        <is>
          <t>กลไกการออกฤทธิ์ คือ DNA polymerase inhibitor อาการข้างเคียงคือ neuropathy</t>
        </is>
      </c>
      <c r="E123" s="38" t="inlineStr">
        <is>
          <t>กลไกการออกฤทธิ์ คือ protein synthesis อาการข้างเคียงคือ GI disturbance</t>
        </is>
      </c>
      <c r="F123" s="38" t="inlineStr">
        <is>
          <t>กลไกการออกฤทธิ์ คือ cell wall อาการข้างเคียงคือ SJS</t>
        </is>
      </c>
      <c r="G123" s="38" t="inlineStr">
        <is>
          <t>กลไกการออกฤทธิ์ คือ DNA synthesis อาการข้างเคียงคือ anemia</t>
        </is>
      </c>
      <c r="H123" s="38" t="inlineStr">
        <is>
          <t>กลไกการออกฤทธิ์ คือ ergosterol อาการข้างเคียงคือ gynecomastia</t>
        </is>
      </c>
      <c r="I123" s="37" t="inlineStr">
        <is>
          <t>4</t>
        </is>
      </c>
      <c r="J123" s="38" t="inlineStr">
        <is>
          <t>✅ คำตอบที่ถูกต้อง: ข้อ ง. กลไกการออกฤทธิ์ คือ DNA synthesis อาการข้างเคียงคือ anemia
💡 Background:
การดูแลผู้ติดเชื้อ HIV เน้นเริ่ม Antiretroviral Therapy (ART) ทันทีเพื่อกด viral load ให้ undetectable (U=U) และฟื้นฟูระบบภูมิคุ้มกัน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3" s="38" t="n"/>
      <c r="L123" s="39" t="inlineStr">
        <is>
          <t>HIV infection</t>
        </is>
      </c>
      <c r="M123" s="39" t="inlineStr">
        <is>
          <t>Clinic</t>
        </is>
      </c>
      <c r="N123" s="38" t="inlineStr">
        <is>
          <t>ข้อ 15 Pharma Plus เล่มม่วง (เฉลยข้อ ง)</t>
        </is>
      </c>
      <c r="O123" s="39" t="n"/>
      <c r="P123" s="39" t="n"/>
    </row>
    <row r="124" ht="13.2" customHeight="1" s="49">
      <c r="A124" s="37" t="n">
        <v>122</v>
      </c>
      <c r="B124" s="38" t="inlineStr">
        <is>
          <t>คุณสมบัติของยาตามโครงสร้างนี้ ข้อใดผิด</t>
        </is>
      </c>
      <c r="C124" s="38" t="n"/>
      <c r="D124" s="38" t="inlineStr">
        <is>
          <t>ละลายน้ำได้น้อย</t>
        </is>
      </c>
      <c r="E124" s="38" t="inlineStr">
        <is>
          <t>มีคุณสมบัติในการฆ่าเชื้อเป็นแบบ concentration-dependent</t>
        </is>
      </c>
      <c r="F124" s="38" t="inlineStr">
        <is>
          <t>คุณสมบัติเป็น weak base</t>
        </is>
      </c>
      <c r="G124" s="38" t="inlineStr">
        <is>
          <t>เกิด Gl cramping</t>
        </is>
      </c>
      <c r="H124" s="38" t="inlineStr">
        <is>
          <t>ยาเข้าสู่สมองได้น้อยมาก</t>
        </is>
      </c>
      <c r="I124" s="37" t="inlineStr">
        <is>
          <t>2</t>
        </is>
      </c>
      <c r="J124" s="38" t="inlineStr">
        <is>
          <t>✅ คำตอบที่ถูกต้อง: ข้อ ข. มีคุณสมบัติในการฆ่าเชื้อเป็นแบบ concentration-dependent
💡 Background:
การดูแลผู้ติดเชื้อ HIV เน้นเริ่ม Antiretroviral Therapy (ART) ทันทีเพื่อกด viral load ให้ undetectable (U=U) และฟื้นฟูระบบภูมิคุ้มกัน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4" s="38" t="n"/>
      <c r="L124" s="39" t="inlineStr">
        <is>
          <t>HIV infection</t>
        </is>
      </c>
      <c r="M124" s="39" t="inlineStr">
        <is>
          <t>Clinic</t>
        </is>
      </c>
      <c r="N124" s="38" t="inlineStr">
        <is>
          <t>ข้อ 16 Pharma Plus เล่มม่วง (เฉลยข้อ ข จ)</t>
        </is>
      </c>
      <c r="O124" s="39" t="n"/>
      <c r="P124" s="39" t="n"/>
    </row>
    <row r="125" ht="13.2" customHeight="1" s="49">
      <c r="A125" s="37" t="n">
        <v>123</v>
      </c>
      <c r="B125" s="38"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38" t="n"/>
      <c r="D125" s="38" t="inlineStr">
        <is>
          <t>มีเฉพาะยาฉีดเท่านั้น</t>
        </is>
      </c>
      <c r="E125" s="38" t="inlineStr">
        <is>
          <t>มีเฉพาะยาใช้ภายนอก</t>
        </is>
      </c>
      <c r="F125" s="38" t="inlineStr">
        <is>
          <t>มีอาการข้างเคียงน้อย</t>
        </is>
      </c>
      <c r="G125" s="38" t="inlineStr">
        <is>
          <t>ถูกเมตาบอไลต์ช้า อยู่ในร่างกายได้นาน</t>
        </is>
      </c>
      <c r="H125" s="38" t="inlineStr">
        <is>
          <t>มีปฏิกิริยาระหว่างยาลดลง</t>
        </is>
      </c>
      <c r="I125" s="37" t="inlineStr">
        <is>
          <t>2</t>
        </is>
      </c>
      <c r="J125" s="38" t="inlineStr">
        <is>
          <t>✅ คำตอบที่ถูกต้อง: ข้อ ข. มีเฉพาะยาใช้ภายนอก
💡 Background:
การดูแลผู้ติดเชื้อ HIV เน้นเริ่ม Antiretroviral Therapy (ART) ทันทีเพื่อกด viral load ให้ undetectable (U=U) และฟื้นฟูระบบภูมิคุ้มกัน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5" s="38" t="n"/>
      <c r="L125" s="39" t="inlineStr">
        <is>
          <t>HIV infection</t>
        </is>
      </c>
      <c r="M125" s="39" t="inlineStr">
        <is>
          <t>Clinic</t>
        </is>
      </c>
      <c r="N125" s="38" t="inlineStr">
        <is>
          <t>ข้อ 16 Pharma Plus เล่มม่วง (เฉลยข้อ ข จ)</t>
        </is>
      </c>
      <c r="O125" s="39" t="n"/>
      <c r="P125" s="39" t="n"/>
    </row>
    <row r="126" ht="13.2" customHeight="1" s="49">
      <c r="A126" s="37" t="n">
        <v>124</v>
      </c>
      <c r="B126" s="38" t="inlineStr">
        <is>
          <t>ยาในข้อต่อไปนี้ เมื่อให้ร่วมกับยาอื่น อาทิ ritonavir มีผลทำให้ระดับยา ritonavir ในพลาสมาลดลง</t>
        </is>
      </c>
      <c r="C126" s="38" t="n"/>
      <c r="D126" s="38" t="inlineStr">
        <is>
          <t>Co- trimoxazole - CYP3A inducers</t>
        </is>
      </c>
      <c r="E126" s="38" t="inlineStr">
        <is>
          <t>Fluconazole - CYP3A inhibitors</t>
        </is>
      </c>
      <c r="F126" s="38" t="inlineStr">
        <is>
          <t>Isoniazid - CYP 2C inducers</t>
        </is>
      </c>
      <c r="G126" s="38" t="inlineStr">
        <is>
          <t>Pyrazinamide - CYP 2C inhibitors</t>
        </is>
      </c>
      <c r="H126" s="38" t="inlineStr">
        <is>
          <t>Rifampicin - CYP3A inducers</t>
        </is>
      </c>
      <c r="I126" s="37" t="inlineStr">
        <is>
          <t>2</t>
        </is>
      </c>
      <c r="J126" s="38" t="inlineStr">
        <is>
          <t>✅ คำตอบที่ถูกต้อง: ข้อ ข. Fluconazole - CYP3A inhibitors
💡 Background:
การดูแลผู้ติดเชื้อ HIV เน้นเริ่ม Antiretroviral Therapy (ART) ทันทีเพื่อกด viral load ให้ undetectable (U=U) และฟื้นฟูระบบภูมิคุ้มกัน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6" s="38" t="n"/>
      <c r="L126" s="39" t="inlineStr">
        <is>
          <t>HIV infection</t>
        </is>
      </c>
      <c r="M126" s="39" t="inlineStr">
        <is>
          <t>Clinic</t>
        </is>
      </c>
      <c r="N126" s="38" t="inlineStr">
        <is>
          <t>ข้อ 16 Pharma Plus เล่มม่วง (เฉลยข้อ ข จ)</t>
        </is>
      </c>
      <c r="O126" s="39" t="n"/>
      <c r="P126" s="39" t="n"/>
    </row>
    <row r="127" ht="13.2" customHeight="1" s="49">
      <c r="A127" s="37" t="n">
        <v>125</v>
      </c>
      <c r="B127" s="38" t="inlineStr">
        <is>
          <t>ข้อใดไม่ใช่เชื้อกลุ่ม anaerobic</t>
        </is>
      </c>
      <c r="C127" s="38" t="n"/>
      <c r="D127" s="38" t="inlineStr">
        <is>
          <t>Peptococcus</t>
        </is>
      </c>
      <c r="E127" s="38" t="inlineStr">
        <is>
          <t>Peptostreptococcus</t>
        </is>
      </c>
      <c r="F127" s="38" t="inlineStr">
        <is>
          <t>Clostridium</t>
        </is>
      </c>
      <c r="G127" s="38" t="inlineStr">
        <is>
          <t>Chlamydia</t>
        </is>
      </c>
      <c r="H127" s="38" t="inlineStr">
        <is>
          <t>Escherichia</t>
        </is>
      </c>
      <c r="I127" s="37" t="inlineStr">
        <is>
          <t>3</t>
        </is>
      </c>
      <c r="J127" s="38" t="inlineStr">
        <is>
          <t>✅ คำตอบที่ถูกต้อง: ข้อ ค. Clostridium
💡 Background:
การดูแลผู้ติดเชื้อ HIV เน้นเริ่ม Antiretroviral Therapy (ART) ทันทีเพื่อกด viral load ให้ undetectable (U=U) และฟื้นฟูระบบภูมิคุ้มกัน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7" s="38" t="n"/>
      <c r="L127" s="39" t="inlineStr">
        <is>
          <t>HIV infection</t>
        </is>
      </c>
      <c r="M127" s="39" t="inlineStr">
        <is>
          <t>Clinic</t>
        </is>
      </c>
      <c r="N127" s="38" t="inlineStr">
        <is>
          <t>ข้อ 17 Pharma Plus เล่มม่วง (เฉลยข้อ ค)</t>
        </is>
      </c>
      <c r="O127" s="39" t="n"/>
      <c r="P127" s="39" t="n"/>
    </row>
    <row r="128" ht="13.2" customHeight="1" s="49">
      <c r="A128" s="37" t="n">
        <v>126</v>
      </c>
      <c r="B128" s="38" t="inlineStr">
        <is>
          <t>จากโครงสร้างยา Itraconazole สารนี้มีคุณสมบัติเป็นอย่างไร</t>
        </is>
      </c>
      <c r="C128" s="38" t="n"/>
      <c r="D128" s="38" t="inlineStr">
        <is>
          <t>เป็นกรดอ่อน</t>
        </is>
      </c>
      <c r="E128" s="38" t="inlineStr">
        <is>
          <t>เป็นเบสอ่อน</t>
        </is>
      </c>
      <c r="F128" s="38" t="inlineStr">
        <is>
          <t>ละลายได้ดีในน้ำ</t>
        </is>
      </c>
      <c r="G128" s="38" t="inlineStr">
        <is>
          <t>ละลายได้ดีใน methanol</t>
        </is>
      </c>
      <c r="H128" s="38" t="inlineStr">
        <is>
          <t>ละลายได้ดีในสารละลายเบสแก่</t>
        </is>
      </c>
      <c r="I128" s="37" t="inlineStr">
        <is>
          <t>3</t>
        </is>
      </c>
      <c r="J128" s="38" t="inlineStr">
        <is>
          <t>✅ คำตอบที่ถูกต้อง: ข้อ ค. ละลายได้ดีในน้ำ
💡 Background:
การดูแลผู้ติดเชื้อ HIV เน้นเริ่ม Antiretroviral Therapy (ART) ทันทีเพื่อกด viral load ให้ undetectable (U=U) และฟื้นฟูระบบภูมิคุ้มกัน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28" s="38" t="n"/>
      <c r="L128" s="39" t="inlineStr">
        <is>
          <t>HIV infection</t>
        </is>
      </c>
      <c r="M128" s="39" t="inlineStr">
        <is>
          <t>Clinic</t>
        </is>
      </c>
      <c r="N128" s="38" t="inlineStr">
        <is>
          <t>ข้อ 17 Pharma Plus เล่มม่วง (เฉลยข้อ ค)</t>
        </is>
      </c>
      <c r="O128" s="39" t="n"/>
      <c r="P128" s="39" t="n"/>
    </row>
    <row r="129" ht="13.2" customHeight="1" s="49">
      <c r="A129" s="37" t="n">
        <v>127</v>
      </c>
      <c r="B129" s="38" t="inlineStr">
        <is>
          <t>ยา rifampicin ใช้ป้องกันหรือรักษาโรคใดได้ นอกจากวัณโรค</t>
        </is>
      </c>
      <c r="C129" s="38" t="n"/>
      <c r="D129" s="38" t="inlineStr">
        <is>
          <t>Meningococcal infection</t>
        </is>
      </c>
      <c r="E129" s="38" t="inlineStr">
        <is>
          <t>HACEK endocarditis</t>
        </is>
      </c>
      <c r="F129" s="38" t="inlineStr">
        <is>
          <t>Leptospirosis</t>
        </is>
      </c>
      <c r="G129" s="38" t="inlineStr">
        <is>
          <t>Severe malaria</t>
        </is>
      </c>
      <c r="H129" s="38" t="inlineStr">
        <is>
          <t>Typhus</t>
        </is>
      </c>
      <c r="I129" s="37" t="inlineStr">
        <is>
          <t>3</t>
        </is>
      </c>
      <c r="J129" s="38"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38" t="n"/>
      <c r="L129" s="39" t="inlineStr">
        <is>
          <t>Tuberculosis</t>
        </is>
      </c>
      <c r="M129" s="39" t="inlineStr">
        <is>
          <t>Clinic</t>
        </is>
      </c>
      <c r="N129" s="38" t="inlineStr">
        <is>
          <t>ข้อ 17 Pharma Plus เล่มม่วง (เฉลยข้อ ค)</t>
        </is>
      </c>
      <c r="O129" s="39" t="n"/>
      <c r="P129" s="39" t="n"/>
    </row>
    <row r="130" ht="13.2" customHeight="1" s="49">
      <c r="A130" s="37" t="n">
        <v>128</v>
      </c>
      <c r="B130" s="38" t="inlineStr">
        <is>
          <t>ยากลุ่มใดที่ขัดขวางการทำงานของไรโบโซมชนิด 50S</t>
        </is>
      </c>
      <c r="C130" s="38" t="n"/>
      <c r="D130" s="38" t="inlineStr">
        <is>
          <t>Erythromycin</t>
        </is>
      </c>
      <c r="E130" s="38" t="inlineStr">
        <is>
          <t>Doxycycline</t>
        </is>
      </c>
      <c r="F130" s="38" t="inlineStr">
        <is>
          <t>Chloramphenicol</t>
        </is>
      </c>
      <c r="G130" s="38" t="inlineStr">
        <is>
          <t>Cephalexin</t>
        </is>
      </c>
      <c r="H130" s="38" t="inlineStr">
        <is>
          <t>Rifampicin</t>
        </is>
      </c>
      <c r="I130" s="37" t="inlineStr">
        <is>
          <t>5</t>
        </is>
      </c>
      <c r="J130" s="38" t="inlineStr">
        <is>
          <t>✅ คำตอบที่ถูกต้อง: ข้อ จ. Rifampicin
💡 Background:
การดูแลผู้ติดเชื้อ HIV เน้นเริ่ม Antiretroviral Therapy (ART) ทันทีเพื่อกด viral load ให้ undetectable (U=U) และฟื้นฟูระบบภูมิคุ้มกัน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0" s="38" t="n"/>
      <c r="L130" s="39" t="inlineStr">
        <is>
          <t>HIV infection</t>
        </is>
      </c>
      <c r="M130" s="39" t="inlineStr">
        <is>
          <t>Clinic</t>
        </is>
      </c>
      <c r="N130" s="38" t="inlineStr">
        <is>
          <t>ข้อ 18 Pharma Plus เล่มม่วง (เฉลยข้อ จ)</t>
        </is>
      </c>
      <c r="O130" s="39" t="n"/>
      <c r="P130" s="39" t="n"/>
    </row>
    <row r="131" ht="13.2" customHeight="1" s="49">
      <c r="A131" s="37" t="n">
        <v>129</v>
      </c>
      <c r="B131" s="38" t="inlineStr">
        <is>
          <t>Itraconazole เป็น high hydrophilic at pH 8.1 Log P = 5.96 (octanol/water) pKa= 3.7 การเพิ่ม dissolution ข้อใดผิด</t>
        </is>
      </c>
      <c r="C131" s="38" t="n"/>
      <c r="D131" s="38" t="inlineStr">
        <is>
          <t>ใช้ crystalline Itraconazole</t>
        </is>
      </c>
      <c r="E131" s="38" t="inlineStr">
        <is>
          <t>ใช้ micronized Itraconazole</t>
        </is>
      </c>
      <c r="F131" s="38" t="inlineStr">
        <is>
          <t>SLS ในตำรับ</t>
        </is>
      </c>
      <c r="G131" s="38" t="inlineStr">
        <is>
          <t>เตรียมแบบ Solid dispersion</t>
        </is>
      </c>
      <c r="H131" s="38" t="inlineStr">
        <is>
          <t>ไม่มีข้อถูก</t>
        </is>
      </c>
      <c r="I131" s="37" t="inlineStr">
        <is>
          <t>5</t>
        </is>
      </c>
      <c r="J131" s="38"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Cystitis</t>
        </is>
      </c>
      <c r="M131" s="39" t="inlineStr">
        <is>
          <t>Clinic</t>
        </is>
      </c>
      <c r="N131" s="38" t="inlineStr">
        <is>
          <t>ข้อ 18 Pharma Plus เล่มม่วง (เฉลยข้อ จ)</t>
        </is>
      </c>
      <c r="O131" s="39" t="n"/>
      <c r="P131" s="39" t="n"/>
    </row>
    <row r="132" ht="13.2" customHeight="1" s="49">
      <c r="A132" s="37" t="n">
        <v>130</v>
      </c>
      <c r="B132" s="38"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38" t="n"/>
      <c r="D132" s="38" t="inlineStr">
        <is>
          <t>Isoniazid, Rifampicin, Pyrazinamide</t>
        </is>
      </c>
      <c r="E132" s="38" t="inlineStr">
        <is>
          <t>Rifampicin, Pyrazinamide, Streptomycin</t>
        </is>
      </c>
      <c r="F132" s="38" t="inlineStr">
        <is>
          <t>Isoniazid, Pyrazinamide, Ethambutol</t>
        </is>
      </c>
      <c r="G132" s="38" t="inlineStr">
        <is>
          <t>Rifampicin, Ethambutol, Streptomycin</t>
        </is>
      </c>
      <c r="H132" s="38" t="inlineStr">
        <is>
          <t>Isoniazid, Streptomycin, Ethambutol</t>
        </is>
      </c>
      <c r="I132" s="37" t="inlineStr">
        <is>
          <t>5</t>
        </is>
      </c>
      <c r="J132" s="38" t="inlineStr">
        <is>
          <t>✅ คำตอบที่ถูกต้อง: ข้อ จ. Isoniazid, Streptomycin, Ethambutol
💡 Background:
การดูแลผู้ติดเชื้อ HIV เน้นเริ่ม Antiretroviral Therapy (ART) ทันทีเพื่อกด viral load ให้ undetectable (U=U) และฟื้นฟูระบบภูมิคุ้มกัน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32" s="38" t="n"/>
      <c r="L132" s="39" t="inlineStr">
        <is>
          <t>HIV infection</t>
        </is>
      </c>
      <c r="M132" s="39" t="inlineStr">
        <is>
          <t>Clinic</t>
        </is>
      </c>
      <c r="N132" s="38" t="inlineStr">
        <is>
          <t>ข้อ 18 Pharma Plus เล่มม่วง (เฉลยข้อ จ)</t>
        </is>
      </c>
      <c r="O132" s="39" t="n"/>
      <c r="P132" s="39" t="n"/>
    </row>
    <row r="133" ht="13.2" customHeight="1" s="49">
      <c r="A133" s="37" t="n">
        <v>131</v>
      </c>
      <c r="B133" s="38" t="inlineStr">
        <is>
          <t>ยาใดยับยั้งการสังเคราะห์โปรตีนโดยการขัดขวางการทำงานของไรโบโซมชนิด 30S และออกฤทธิ์แบบ Bactericidal</t>
        </is>
      </c>
      <c r="C133" s="38" t="n"/>
      <c r="D133" s="38" t="inlineStr">
        <is>
          <t>Azithromycin</t>
        </is>
      </c>
      <c r="E133" s="38" t="inlineStr">
        <is>
          <t>Doxycycline</t>
        </is>
      </c>
      <c r="F133" s="38" t="inlineStr">
        <is>
          <t>Chloramphenicol</t>
        </is>
      </c>
      <c r="G133" s="38" t="inlineStr">
        <is>
          <t>Neomycin</t>
        </is>
      </c>
      <c r="H133" s="38" t="inlineStr">
        <is>
          <t>Cephalexin</t>
        </is>
      </c>
      <c r="I133" s="37" t="inlineStr">
        <is>
          <t>4</t>
        </is>
      </c>
      <c r="J133" s="38" t="inlineStr">
        <is>
          <t>✅ คำตอบที่ถูกต้อง: ข้อ ง. Neomycin
💡 Background:
การดูแลผู้ติดเชื้อ HIV เน้นเริ่ม Antiretroviral Therapy (ART) ทันทีเพื่อกด viral load ให้ undetectable (U=U) และฟื้นฟูระบบภูมิคุ้มกัน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38" t="n"/>
      <c r="L133" s="39" t="inlineStr">
        <is>
          <t>HIV infection</t>
        </is>
      </c>
      <c r="M133" s="39" t="inlineStr">
        <is>
          <t>Clinic</t>
        </is>
      </c>
      <c r="N133" s="38" t="inlineStr">
        <is>
          <t>ข้อ 19 Pharma Plus เล่มม่วง (เฉลยข้อ ง จ)</t>
        </is>
      </c>
      <c r="O133" s="39" t="n"/>
      <c r="P133" s="39" t="n"/>
    </row>
    <row r="134" ht="13.2" customHeight="1" s="49">
      <c r="A134" s="37" t="n">
        <v>132</v>
      </c>
      <c r="B134" s="38" t="inlineStr">
        <is>
          <t>ข้อใดถูกต้องเกี่ยวกับการรักษาวัณโรค</t>
        </is>
      </c>
      <c r="C134" s="38" t="n"/>
      <c r="D134" s="38" t="inlineStr">
        <is>
          <t>การตรวจเสมหะเป็นวิธีที่ง่าย ประหยัด แต่ไม่เฉพาะเจาะจง</t>
        </is>
      </c>
      <c r="E134" s="38" t="inlineStr">
        <is>
          <t>ผู้ป่วยเบาหวานเป็นสาเหตุทำให้เกิดความชุกของวัณโรคมากขึ้น</t>
        </is>
      </c>
      <c r="F134" s="38" t="inlineStr">
        <is>
          <t>ผู้ที่ใช้ยากดภูมิต่างๆจะมีสิทธิ์ติดเชื้อวัณโรคได้ง่าย</t>
        </is>
      </c>
      <c r="G134" s="38" t="inlineStr">
        <is>
          <t>หลักการรักษาวัณโรคป้องกันไม่ให้ติดต่อไปสู่อื่น+ลองทดสอบประสิทธิภาพยาโดยใช้เวลาสั้น</t>
        </is>
      </c>
      <c r="H134" s="38" t="inlineStr">
        <is>
          <t>การรักษาวัณโรคคือใช้ยาขนาดสูงสุด+ใช้เวลานานๆ</t>
        </is>
      </c>
      <c r="I134" s="37" t="inlineStr">
        <is>
          <t>4</t>
        </is>
      </c>
      <c r="J134" s="38"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38" t="n"/>
      <c r="L134" s="39" t="inlineStr">
        <is>
          <t>Tuberculosis</t>
        </is>
      </c>
      <c r="M134" s="39" t="inlineStr">
        <is>
          <t>Clinic</t>
        </is>
      </c>
      <c r="N134" s="38" t="inlineStr">
        <is>
          <t>ข้อ 19 Pharma Plus เล่มม่วง (เฉลยข้อ ง จ)</t>
        </is>
      </c>
      <c r="O134" s="39" t="n"/>
      <c r="P134" s="39" t="n"/>
    </row>
    <row r="135" ht="13.2" customHeight="1" s="49">
      <c r="A135" s="37" t="n">
        <v>133</v>
      </c>
      <c r="B135" s="38" t="inlineStr">
        <is>
          <t>Cefepime เป็นยากลุ่ม cephalosporin gen ใด</t>
        </is>
      </c>
      <c r="C135" s="38" t="n"/>
      <c r="D135" s="38" t="inlineStr">
        <is>
          <t>Dolutegravir 50 mg OD</t>
        </is>
      </c>
      <c r="E135" s="38" t="inlineStr">
        <is>
          <t>Vancomycin 1 g IV Q12H</t>
        </is>
      </c>
      <c r="F135" s="38" t="inlineStr">
        <is>
          <t>Meropenem 1 g IV Q8H</t>
        </is>
      </c>
      <c r="G135" s="38" t="inlineStr">
        <is>
          <t>Cefazolin 1 g IV Q8H</t>
        </is>
      </c>
      <c r="H135" s="38" t="inlineStr">
        <is>
          <t>Amoxicillin/Clavulanate 1 g BID</t>
        </is>
      </c>
      <c r="I135" s="37" t="inlineStr">
        <is>
          <t>1</t>
        </is>
      </c>
      <c r="J135"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135" s="38" t="n"/>
      <c r="L135" s="39" t="inlineStr">
        <is>
          <t>HIV infection</t>
        </is>
      </c>
      <c r="M135" s="39" t="inlineStr">
        <is>
          <t>Clinic</t>
        </is>
      </c>
      <c r="N135" s="38" t="inlineStr">
        <is>
          <t>ข้อ 20 Pharma Plus เล่มม่วง (เฉลยข้อ ก)</t>
        </is>
      </c>
      <c r="O135" s="39" t="n"/>
      <c r="P135" s="39" t="n"/>
    </row>
    <row r="136" ht="13.2" customHeight="1" s="49">
      <c r="A136" s="37" t="n">
        <v>134</v>
      </c>
      <c r="B136" s="38" t="inlineStr">
        <is>
          <t>ยาในข้อใดจัดเป็น second line ในการรักษา TB</t>
        </is>
      </c>
      <c r="C136" s="38" t="n"/>
      <c r="D136" s="38" t="inlineStr">
        <is>
          <t>Streptomycin</t>
        </is>
      </c>
      <c r="E136" s="38" t="inlineStr">
        <is>
          <t>Augmentin</t>
        </is>
      </c>
      <c r="F136" s="38" t="inlineStr">
        <is>
          <t>Cyclosporine</t>
        </is>
      </c>
      <c r="G136" s="38" t="inlineStr">
        <is>
          <t>Ofloxacin</t>
        </is>
      </c>
      <c r="H136" s="38" t="inlineStr">
        <is>
          <t>Capreomycin</t>
        </is>
      </c>
      <c r="I136" s="37" t="inlineStr">
        <is>
          <t>1</t>
        </is>
      </c>
      <c r="J136" s="38"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38" t="n"/>
      <c r="L136" s="39" t="inlineStr">
        <is>
          <t>Tuberculosis</t>
        </is>
      </c>
      <c r="M136" s="39" t="inlineStr">
        <is>
          <t>Clinic</t>
        </is>
      </c>
      <c r="N136" s="38" t="inlineStr">
        <is>
          <t>ข้อ 20 Pharma Plus เล่มม่วง (เฉลยข้อ ก)</t>
        </is>
      </c>
      <c r="O136" s="39" t="n"/>
      <c r="P136" s="39" t="n"/>
    </row>
    <row r="137" ht="13.2" customHeight="1" s="49">
      <c r="A137" s="37" t="n">
        <v>135</v>
      </c>
      <c r="B137" s="38" t="inlineStr">
        <is>
          <t>ข้อใดถูกต้องเกี่ยวกับยาต้านไวรัสเอดส์</t>
        </is>
      </c>
      <c r="C137" s="38" t="n"/>
      <c r="D137" s="38" t="inlineStr">
        <is>
          <t>NNRTIs สามารถออกฤทธิ์ได้โดยต้องผ่านกระบวนการเปลี่ยนแปลงในร่างกายก่อน</t>
        </is>
      </c>
      <c r="E137" s="38" t="inlineStr">
        <is>
          <t>NRTIs นอกจากรักษา HIV infection ยังสามารถรักษา Hep B ได้ด้วย</t>
        </is>
      </c>
      <c r="F137" s="38" t="inlineStr">
        <is>
          <t>NRTIs จะต้องถูกเติมหมู่ฟอสเฟตก่อนถึงจะเข้าไปยับยั้ง reverse transcriptase ได้</t>
        </is>
      </c>
      <c r="G137" s="38" t="inlineStr">
        <is>
          <t>Abacavir และ entecavir จัดอยู่ในกลุ่ม protease inhibitor (PIs)</t>
        </is>
      </c>
      <c r="H137" s="38" t="inlineStr">
        <is>
          <t>PIs ทุกชนิดใช้เพื่อรักษาการติดเชื้อไวรัสเอดส์เพียงอย่างเดียว</t>
        </is>
      </c>
      <c r="I137" s="37" t="inlineStr">
        <is>
          <t>3</t>
        </is>
      </c>
      <c r="J137" s="38" t="inlineStr">
        <is>
          <t>✅ คำตอบที่ถูกต้อง: ข้อ ค. NRTIs จะต้องถูกเติมหมู่ฟอสเฟตก่อนถึงจะเข้าไปยับยั้ง reverse transcriptase ได้
💡 Background:
การดูแลผู้ติดเชื้อ HIV เน้นเริ่ม Antiretroviral Therapy (ART) ทันทีเพื่อกด viral load ให้ undetectable (U=U) และฟื้นฟูระบบภูมิคุ้มกัน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7" s="38" t="n"/>
      <c r="L137" s="39" t="inlineStr">
        <is>
          <t>HIV infection</t>
        </is>
      </c>
      <c r="M137" s="39" t="inlineStr">
        <is>
          <t>Clinic</t>
        </is>
      </c>
      <c r="N137" s="38" t="inlineStr">
        <is>
          <t>ข้อ 21 Pharma Plus เล่มม่วง (เฉลยข้อ ค)</t>
        </is>
      </c>
      <c r="O137" s="39" t="n"/>
      <c r="P137" s="39" t="n"/>
    </row>
    <row r="138" ht="13.2" customHeight="1" s="49">
      <c r="A138" s="37" t="n">
        <v>136</v>
      </c>
      <c r="B138" s="38" t="inlineStr">
        <is>
          <t>ข้อใดผิดเกี่ยวกับยาในกลุ่ม NNRTIs</t>
        </is>
      </c>
      <c r="C138" s="38" t="n"/>
      <c r="D138" s="38" t="inlineStr">
        <is>
          <t>ยาในกลุ่มนี้ไม่ต้องเติมหมู่ฟอสเฟตจากร่างกายในการออกฤทธิ์</t>
        </is>
      </c>
      <c r="E138" s="38" t="inlineStr">
        <is>
          <t>Nevirapine ห้ามให้ในผู้ป่วยหญิง HIV ที่มี CD4+ สูงกว่า 250 cell/mm3</t>
        </is>
      </c>
      <c r="F138" s="38" t="inlineStr">
        <is>
          <t>Efavirenz ควรรับประทานยาพร้อมอาหารที่มีไขมันสูง</t>
        </is>
      </c>
      <c r="G138" s="38" t="inlineStr">
        <is>
          <t>อาการไม่พึงประสงค์ที่สำคัญของ nevirapine คือ SJS, Hepatitis</t>
        </is>
      </c>
      <c r="H138" s="38" t="inlineStr">
        <is>
          <t>NNRTIs ที่ได้รับการรับรองจาก FDA ล่าสุด คือ rilpivirine</t>
        </is>
      </c>
      <c r="I138" s="37" t="inlineStr">
        <is>
          <t>4</t>
        </is>
      </c>
      <c r="J138" s="38" t="inlineStr">
        <is>
          <t>✅ คำตอบที่ถูกต้อง: ข้อ ง. อาการไม่พึงประสงค์ที่สำคัญของ nevirapine คือ SJS, Hepatitis
💡 Background:
การดูแลผู้ติดเชื้อ HIV เน้นเริ่ม Antiretroviral Therapy (ART) ทันทีเพื่อกด viral load ให้ undetectable (U=U) และฟื้นฟูระบบภูมิคุ้มกัน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8" s="38" t="n"/>
      <c r="L138" s="39" t="inlineStr">
        <is>
          <t>HIV infection</t>
        </is>
      </c>
      <c r="M138" s="39" t="inlineStr">
        <is>
          <t>Clinic</t>
        </is>
      </c>
      <c r="N138" s="38" t="inlineStr">
        <is>
          <t>ข้อ 22 Pharma Plus เล่มม่วง (เฉลยข้อ ง)</t>
        </is>
      </c>
      <c r="O138" s="39" t="n"/>
      <c r="P138" s="39" t="n"/>
    </row>
    <row r="139" ht="13.2" customHeight="1" s="49">
      <c r="A139" s="37" t="n">
        <v>137</v>
      </c>
      <c r="B139" s="38" t="inlineStr">
        <is>
          <t>ข้อใดผิดเกี่ยวกับยาในกลุ่ม protease inhibitor</t>
        </is>
      </c>
      <c r="C139" s="38" t="n"/>
      <c r="D139" s="38" t="inlineStr">
        <is>
          <t>PIs ห้ามให้ร่วมกับ ergotamine เนื่องจากจะทำให้เกิดภาวะ ergotism</t>
        </is>
      </c>
      <c r="E139" s="38" t="inlineStr">
        <is>
          <t>PIs ทุกตัวมีผลทำให้การกระจายตัวของไขมันผิดปกติแต่ไม่ได้ทำให้ระดับไขมันในเลือดผิดปกติ</t>
        </is>
      </c>
      <c r="F139" s="38" t="inlineStr">
        <is>
          <t>Ritonavir ช่วยทำให้ระดับของ lopinavir ในเลือดสูงขึ้น</t>
        </is>
      </c>
      <c r="G139" s="38" t="inlineStr">
        <is>
          <t>Atazanavir ทำให้ผู้ป่วยมีความร่วมมือในการรับประทานยาจากการรับประทานเพียงวันละครั้ง</t>
        </is>
      </c>
      <c r="H139" s="38" t="inlineStr">
        <is>
          <t>Indinavir ทำให้เกิด nephrolithiasis ต้องดื่มน้ำอย่างเพียงพอ</t>
        </is>
      </c>
      <c r="I139" s="37" t="inlineStr">
        <is>
          <t>1</t>
        </is>
      </c>
      <c r="J139" s="38" t="inlineStr">
        <is>
          <t>✅ คำตอบที่ถูกต้อง: ข้อ ก. PIs ห้ามให้ร่วมกับ ergotamine เนื่องจากจะทำให้เกิดภาวะ ergotism
💡 Background:
การดูแลผู้ติดเชื้อ HIV เน้นเริ่ม Antiretroviral Therapy (ART) ทันทีเพื่อกด viral load ให้ undetectable (U=U) และฟื้นฟูระบบภูมิคุ้มกัน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9" s="38" t="n"/>
      <c r="L139" s="39" t="inlineStr">
        <is>
          <t>HIV infection</t>
        </is>
      </c>
      <c r="M139" s="39" t="inlineStr">
        <is>
          <t>Clinic</t>
        </is>
      </c>
      <c r="N139" s="38" t="inlineStr">
        <is>
          <t>ข้อ 23 Pharma Plus เล่มม่วง (เฉลยข้อ ก)</t>
        </is>
      </c>
      <c r="O139" s="39" t="n"/>
      <c r="P139" s="39" t="n"/>
    </row>
    <row r="140" ht="13.2" customHeight="1" s="49">
      <c r="A140" s="37" t="n">
        <v>138</v>
      </c>
      <c r="B140" s="38"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38" t="n"/>
      <c r="D140" s="38" t="inlineStr">
        <is>
          <t>Zidovudine</t>
        </is>
      </c>
      <c r="E140" s="38" t="inlineStr">
        <is>
          <t>Lamivudine</t>
        </is>
      </c>
      <c r="F140" s="38" t="inlineStr">
        <is>
          <t>Nevirapine</t>
        </is>
      </c>
      <c r="G140" s="38" t="inlineStr">
        <is>
          <t>Efavirenz</t>
        </is>
      </c>
      <c r="H140" s="38" t="inlineStr">
        <is>
          <t>Stavudine</t>
        </is>
      </c>
      <c r="I140" s="37" t="inlineStr">
        <is>
          <t>1</t>
        </is>
      </c>
      <c r="J140" s="38" t="inlineStr">
        <is>
          <t>✅ คำตอบที่ถูกต้อง: ข้อ ก. Zidovudine
💡 Background:
การดูแลผู้ติดเชื้อ HIV เน้นเริ่ม Antiretroviral Therapy (ART) ทันทีเพื่อกด viral load ให้ undetectable (U=U) และฟื้นฟูระบบภูมิคุ้มกัน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0" s="38" t="n"/>
      <c r="L140" s="39" t="inlineStr">
        <is>
          <t>HIV infection</t>
        </is>
      </c>
      <c r="M140" s="39" t="inlineStr">
        <is>
          <t>Clinic</t>
        </is>
      </c>
      <c r="N140" s="38" t="inlineStr">
        <is>
          <t>ข้อ 24 Pharma Plus เล่มม่วง (เฉลยข้อ ก)</t>
        </is>
      </c>
      <c r="O140" s="39" t="n"/>
      <c r="P140" s="39" t="n"/>
    </row>
    <row r="141" ht="13.2" customHeight="1" s="49">
      <c r="A141" s="37" t="n">
        <v>139</v>
      </c>
      <c r="B141" s="38"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38" t="n"/>
      <c r="D141" s="38" t="inlineStr">
        <is>
          <t>Abacavir</t>
        </is>
      </c>
      <c r="E141" s="38" t="inlineStr">
        <is>
          <t>Ritonavir</t>
        </is>
      </c>
      <c r="F141" s="38" t="inlineStr">
        <is>
          <t>Nevirapine</t>
        </is>
      </c>
      <c r="G141" s="38" t="inlineStr">
        <is>
          <t>Lamivudine</t>
        </is>
      </c>
      <c r="H141" s="38" t="inlineStr">
        <is>
          <t>Diravirdine</t>
        </is>
      </c>
      <c r="I141" s="37" t="inlineStr">
        <is>
          <t>2</t>
        </is>
      </c>
      <c r="J141"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38" t="n"/>
      <c r="L141" s="39" t="inlineStr">
        <is>
          <t>HIV infection</t>
        </is>
      </c>
      <c r="M141" s="39" t="inlineStr">
        <is>
          <t>Clinic</t>
        </is>
      </c>
      <c r="N141" s="38" t="inlineStr">
        <is>
          <t>ข้อ 25 Pharma Plus เล่มม่วง (เฉลยข้อ ข)</t>
        </is>
      </c>
      <c r="O141" s="39" t="n"/>
      <c r="P141" s="39" t="n"/>
    </row>
    <row r="142" ht="13.2" customHeight="1" s="49">
      <c r="A142" s="37" t="n">
        <v>140</v>
      </c>
      <c r="B142" s="38" t="inlineStr">
        <is>
          <t>เมื่อพิจารณาโครงสร้างของ ritonavir ท่านคิดว่าข้อใดไม่ถูกต้อง</t>
        </is>
      </c>
      <c r="C142" s="38" t="n"/>
      <c r="D142" s="38" t="inlineStr">
        <is>
          <t>เมื่อให้ยาร่วมกับอาหารจะดูดซึมได้มากขึ้น</t>
        </is>
      </c>
      <c r="E142" s="38" t="inlineStr">
        <is>
          <t>ยามีการละลายน้ำต่ำ จึงดูดซึมไม่ดี</t>
        </is>
      </c>
      <c r="F142" s="38" t="inlineStr">
        <is>
          <t>สลายตัวได้ง่ายในความร้อน</t>
        </is>
      </c>
      <c r="G142" s="38" t="inlineStr">
        <is>
          <t>มีลักษณะเป็น peptide-like</t>
        </is>
      </c>
      <c r="H142" s="38" t="inlineStr">
        <is>
          <t>ยามี ค่า log P 5.22 แสดงว่าละลายน้ำได้ไม่ดี</t>
        </is>
      </c>
      <c r="I142" s="37" t="inlineStr">
        <is>
          <t>1</t>
        </is>
      </c>
      <c r="J142" s="38" t="inlineStr">
        <is>
          <t>✅ คำตอบที่ถูกต้อง: ข้อ ก. เมื่อให้ยาร่วมกับอาหารจะดูดซึมได้มากขึ้น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2" s="38" t="n"/>
      <c r="L142" s="39" t="inlineStr">
        <is>
          <t>HIV infection</t>
        </is>
      </c>
      <c r="M142" s="39" t="inlineStr">
        <is>
          <t>Clinic</t>
        </is>
      </c>
      <c r="N142" s="38" t="inlineStr">
        <is>
          <t>ข้อ 26 Pharma Plus เล่มม่วง (เฉลยข้อ ก)</t>
        </is>
      </c>
      <c r="O142" s="39" t="n"/>
      <c r="P142" s="39" t="n"/>
    </row>
    <row r="143" ht="13.2" customHeight="1" s="49">
      <c r="A143" s="37" t="n">
        <v>141</v>
      </c>
      <c r="B143" s="38" t="inlineStr">
        <is>
          <t>สมุนไพรใดมีฤทธิ์ยับยั้ง HIV ได้ในหลอดทดลอง และเริ่มมีการใช้ในผู้ป่วย HIV บ้างแล้ว</t>
        </is>
      </c>
      <c r="C143" s="38" t="n"/>
      <c r="D143" s="38" t="inlineStr">
        <is>
          <t>ฟ้าทะลายโจร</t>
        </is>
      </c>
      <c r="E143" s="38" t="inlineStr">
        <is>
          <t>มะระขี้นก</t>
        </is>
      </c>
      <c r="F143" s="38" t="inlineStr">
        <is>
          <t>ปลาไหลเผือก</t>
        </is>
      </c>
      <c r="G143" s="38" t="inlineStr">
        <is>
          <t>หญ้าปักกิ่ง</t>
        </is>
      </c>
      <c r="H143" s="38" t="inlineStr">
        <is>
          <t>ดอกดาวเรือง</t>
        </is>
      </c>
      <c r="I143" s="37" t="inlineStr">
        <is>
          <t>2</t>
        </is>
      </c>
      <c r="J143" s="38" t="inlineStr">
        <is>
          <t>✅ คำตอบที่ถูกต้อง: ข้อ ข. มะระขี้นก
💡 Background:
การดูแลผู้ติดเชื้อ HIV เน้นเริ่ม Antiretroviral Therapy (ART) ทันทีเพื่อกด viral load ให้ undetectable (U=U) และฟื้นฟูระบบภูมิคุ้มกัน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3" s="38" t="n"/>
      <c r="L143" s="39" t="inlineStr">
        <is>
          <t>HIV infection</t>
        </is>
      </c>
      <c r="M143" s="39" t="inlineStr">
        <is>
          <t>Clinic</t>
        </is>
      </c>
      <c r="N143" s="38" t="inlineStr">
        <is>
          <t>ข้อ 27 Pharma Plus เล่มม่วง (เฉลยข้อ ข)</t>
        </is>
      </c>
      <c r="O143" s="39" t="n"/>
      <c r="P143" s="39" t="n"/>
    </row>
    <row r="144" ht="13.2" customHeight="1" s="49">
      <c r="A144" s="37" t="n">
        <v>142</v>
      </c>
      <c r="B144" s="38" t="inlineStr">
        <is>
          <t>ยาหลักที่ใช้ในการรักษา PCP คือ</t>
        </is>
      </c>
      <c r="C144" s="38" t="n"/>
      <c r="D144" s="38" t="inlineStr">
        <is>
          <t>Zidovudine</t>
        </is>
      </c>
      <c r="E144" s="38" t="inlineStr">
        <is>
          <t>Cotrimoxazole</t>
        </is>
      </c>
      <c r="F144" s="38" t="inlineStr">
        <is>
          <t>Ceftriaxone</t>
        </is>
      </c>
      <c r="G144" s="38" t="inlineStr">
        <is>
          <t>Acyclovir</t>
        </is>
      </c>
      <c r="H144" s="38" t="inlineStr">
        <is>
          <t>Ciprofloxacin</t>
        </is>
      </c>
      <c r="I144" s="37" t="inlineStr">
        <is>
          <t>1</t>
        </is>
      </c>
      <c r="J144" s="38"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38" t="n"/>
      <c r="L144" s="39" t="inlineStr">
        <is>
          <t>Pneumonia</t>
        </is>
      </c>
      <c r="M144" s="39" t="inlineStr">
        <is>
          <t>Clinic</t>
        </is>
      </c>
      <c r="N144" s="38" t="inlineStr">
        <is>
          <t>ข้อ 28 Pharma Plus เล่มม่วง (เฉลยข้อ ก)</t>
        </is>
      </c>
      <c r="O144" s="39" t="n"/>
      <c r="P144" s="39" t="n"/>
    </row>
    <row r="145" ht="13.2" customHeight="1" s="49">
      <c r="A145" s="37" t="n">
        <v>143</v>
      </c>
      <c r="B145" s="38"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38" t="n"/>
      <c r="D145" s="38" t="inlineStr">
        <is>
          <t>กลไกการออกฤทธิ์คือ DNA polymerase inhibitor อาการข้างเคียงคือ neuropathy</t>
        </is>
      </c>
      <c r="E145" s="38" t="inlineStr">
        <is>
          <t>กลไกการออกฤทธิ์คือ Protein synthesis อาการข้างเคียงคือ GI disturbance</t>
        </is>
      </c>
      <c r="F145" s="38" t="inlineStr">
        <is>
          <t>กลไกการออกฤทธิ์คือ cell wall อาการข้างเคียงคือ SJS</t>
        </is>
      </c>
      <c r="G145" s="38" t="inlineStr">
        <is>
          <t>กลไกการออกฤทธิ์คือ DNA synthesis อาการข้างเคียงคือ anemia</t>
        </is>
      </c>
      <c r="H145" s="38" t="inlineStr">
        <is>
          <t>กลไกการออกฤทธิ์คือ ergosterol อาการข้างเคียงคือ gynecomastia</t>
        </is>
      </c>
      <c r="I145" s="37" t="inlineStr">
        <is>
          <t>1</t>
        </is>
      </c>
      <c r="J145" s="38"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38" t="n"/>
      <c r="L145" s="39" t="inlineStr">
        <is>
          <t>Cystitis</t>
        </is>
      </c>
      <c r="M145" s="39" t="inlineStr">
        <is>
          <t>Clinic</t>
        </is>
      </c>
      <c r="N145" s="38" t="inlineStr">
        <is>
          <t>ข้อ 29 Pharma Plus เล่มม่วง (เฉลยข้อ ก)</t>
        </is>
      </c>
      <c r="O145" s="39" t="n"/>
      <c r="P145" s="39" t="n"/>
    </row>
    <row r="146" ht="13.2" customHeight="1" s="49">
      <c r="A146" s="37" t="n">
        <v>144</v>
      </c>
      <c r="B146" s="38" t="inlineStr">
        <is>
          <t>คำแนะนำเกี่ยวกับเรื่องการใช้ยาเพื่อป้องกัน PCP อย่างไรจึงจะเหมาะสม</t>
        </is>
      </c>
      <c r="C146" s="38" t="n"/>
      <c r="D146" s="38" t="inlineStr">
        <is>
          <t>ห้ามรับประทานร่วมกับนม ยาลดกรด</t>
        </is>
      </c>
      <c r="E146" s="38" t="inlineStr">
        <is>
          <t>รับประทานยาอย่างสม่ำเสมอและปัสสาวะอาจมีสีแดงได้</t>
        </is>
      </c>
      <c r="F146" s="38" t="inlineStr">
        <is>
          <t>รักษาสุขภาพให้แข็งแรงและทำจิตใจให้สดชื่นแจ่มใส</t>
        </is>
      </c>
      <c r="G146" s="38" t="inlineStr">
        <is>
          <t>ให้กินยาหลังอาหารทันที เนื่องจากมีผลระคายเคืองกระเพาะอาหาร</t>
        </is>
      </c>
      <c r="H146" s="38" t="inlineStr">
        <is>
          <t>อาจทำให้เกิดผื่นชนิดรุนแรง ควรสังเกตอาการและแจ้งให้แพทย์ทราบทันที</t>
        </is>
      </c>
      <c r="I146" s="37" t="inlineStr">
        <is>
          <t>4</t>
        </is>
      </c>
      <c r="J146" s="38"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38" t="n"/>
      <c r="L146" s="39" t="inlineStr">
        <is>
          <t>Cystitis</t>
        </is>
      </c>
      <c r="M146" s="39" t="inlineStr">
        <is>
          <t>Clinic</t>
        </is>
      </c>
      <c r="N146" s="38" t="inlineStr">
        <is>
          <t>ข้อ 30 Pharma Plus เล่มม่วง (เฉลยข้อ ง)</t>
        </is>
      </c>
      <c r="O146" s="39" t="n"/>
      <c r="P146" s="39" t="n"/>
    </row>
    <row r="147" ht="13.2" customHeight="1" s="49">
      <c r="A147" s="37" t="n">
        <v>145</v>
      </c>
      <c r="B147" s="38" t="inlineStr">
        <is>
          <t>ผู้ป่วยรายนี้หลังจากกลับบ้านควรได้รับยาป้องกัน PCP แบบ secondary prophylaxis อย่างไร</t>
        </is>
      </c>
      <c r="C147" s="38" t="n"/>
      <c r="D147" s="38" t="inlineStr">
        <is>
          <t>Cotrimoxazole (80 TMP/400 SMZ) 1/2 เม็ด วันละ 1 ครั้ง</t>
        </is>
      </c>
      <c r="E147" s="38" t="inlineStr">
        <is>
          <t>Cotrimoxazole (80 TMP/400 SMZ) 2 เม็ด วันละ 1 ครั้ง</t>
        </is>
      </c>
      <c r="F147" s="38" t="inlineStr">
        <is>
          <t>Cotrimoxazole (80 TMP/400 SMZ) 2 เม็ด สัปดาห์ละ 3 ครั้ง</t>
        </is>
      </c>
      <c r="G147" s="38" t="inlineStr">
        <is>
          <t>Cotrimozazole vaginal tablets ครึ่งเม็ด วันละ 3 ครั้ง</t>
        </is>
      </c>
      <c r="H147" s="38" t="inlineStr">
        <is>
          <t>Fluconazole 2 เม็ด ทุกสัปดาห์</t>
        </is>
      </c>
      <c r="I147" s="37" t="inlineStr">
        <is>
          <t>2</t>
        </is>
      </c>
      <c r="J147" s="38" t="inlineStr">
        <is>
          <t>✅ คำตอบที่ถูกต้อง: ข้อ ข. Cotrimoxazole (80 TMP/400 SMZ) 2 เม็ด วันละ 1 ครั้ง
💡 Background:
การดูแลผู้ติดเชื้อ HIV เน้นเริ่ม Antiretroviral Therapy (ART) ทันทีเพื่อกด viral load ให้ undetectable (U=U) และฟื้นฟูระบบภูมิคุ้มกัน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7" s="38" t="n"/>
      <c r="L147" s="39" t="inlineStr">
        <is>
          <t>HIV infection</t>
        </is>
      </c>
      <c r="M147" s="39" t="inlineStr">
        <is>
          <t>Clinic</t>
        </is>
      </c>
      <c r="N147" s="38" t="inlineStr">
        <is>
          <t>ข้อ 31 Pharma Plus เล่มม่วง (เฉลยข้อ ข)</t>
        </is>
      </c>
      <c r="O147" s="39" t="n"/>
      <c r="P147" s="39" t="n"/>
    </row>
    <row r="148" ht="13.2" customHeight="1" s="49">
      <c r="A148" s="37" t="n">
        <v>146</v>
      </c>
      <c r="B148" s="38" t="inlineStr">
        <is>
          <t>ยาต้านเชื้อราที่สามารถรักษา oral candidiasis ยกเว้นข้อใด</t>
        </is>
      </c>
      <c r="C148" s="38" t="n"/>
      <c r="D148" s="38" t="inlineStr">
        <is>
          <t>Cotrimazole lozenges</t>
        </is>
      </c>
      <c r="E148" s="38" t="inlineStr">
        <is>
          <t>Nystatin suspensions</t>
        </is>
      </c>
      <c r="F148" s="38" t="inlineStr">
        <is>
          <t>Miconazole oral gels</t>
        </is>
      </c>
      <c r="G148" s="38" t="inlineStr">
        <is>
          <t>Ketoconazole tablets</t>
        </is>
      </c>
      <c r="H148" s="38" t="inlineStr">
        <is>
          <t>Fluconazole tablets</t>
        </is>
      </c>
      <c r="I148" s="37" t="inlineStr">
        <is>
          <t>1</t>
        </is>
      </c>
      <c r="J148" s="38" t="inlineStr">
        <is>
          <t>✅ คำตอบที่ถูกต้อง: ข้อ ก. Cotrimazole lozenges
💡 Background:
การดูแลผู้ติดเชื้อ HIV เน้นเริ่ม Antiretroviral Therapy (ART) ทันทีเพื่อกด viral load ให้ undetectable (U=U) และฟื้นฟูระบบภูมิคุ้มกัน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8" s="38" t="n"/>
      <c r="L148" s="39" t="inlineStr">
        <is>
          <t>HIV infection</t>
        </is>
      </c>
      <c r="M148" s="39" t="inlineStr">
        <is>
          <t>Clinic</t>
        </is>
      </c>
      <c r="N148" s="38" t="inlineStr">
        <is>
          <t>ข้อ 32 Pharma Plus เล่มม่วง (เฉลยข้อ )</t>
        </is>
      </c>
      <c r="O148" s="39" t="n"/>
      <c r="P148" s="39" t="n"/>
    </row>
    <row r="149" ht="13.2" customHeight="1" s="49">
      <c r="A149" s="37" t="n">
        <v>147</v>
      </c>
      <c r="B149" s="38"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38" t="n"/>
      <c r="D149" s="38" t="inlineStr">
        <is>
          <t>พบเชื้อมากในมูลนกพิราบ</t>
        </is>
      </c>
      <c r="E149" s="38" t="inlineStr">
        <is>
          <t>พบในดินและอุจจาระค้างคาว</t>
        </is>
      </c>
      <c r="F149" s="38" t="inlineStr">
        <is>
          <t>เชื้อเป็น normal flora ในระบบทางเดินอาหาร</t>
        </is>
      </c>
      <c r="G149" s="38" t="inlineStr">
        <is>
          <t>อยู่ตามธรรมชาติ เชื้อเข้าสู่ร่างกายทางบาดแผลที่ผิวหนัง</t>
        </is>
      </c>
      <c r="H149" s="38" t="inlineStr">
        <is>
          <t>เป็น opportunistic fungi</t>
        </is>
      </c>
      <c r="I149" s="37" t="inlineStr">
        <is>
          <t>5</t>
        </is>
      </c>
      <c r="J149" s="38" t="inlineStr">
        <is>
          <t>✅ คำตอบที่ถูกต้อง: ข้อ จ. เป็น opportunistic fungi
💡 Background:
การดูแลผู้ติดเชื้อ HIV เน้นเริ่ม Antiretroviral Therapy (ART) ทันทีเพื่อกด viral load ให้ undetectable (U=U) และฟื้นฟูระบบภูมิคุ้มกัน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9" s="38" t="n"/>
      <c r="L149" s="39" t="inlineStr">
        <is>
          <t>HIV infection</t>
        </is>
      </c>
      <c r="M149" s="39" t="inlineStr">
        <is>
          <t>Clinic</t>
        </is>
      </c>
      <c r="N149" s="38" t="inlineStr">
        <is>
          <t>ข้อ 33 Pharma Plus เล่มม่วง (เฉลยข้อ จ)</t>
        </is>
      </c>
      <c r="O149" s="39" t="n"/>
      <c r="P149" s="39" t="n"/>
    </row>
    <row r="150" ht="13.2" customHeight="1" s="49">
      <c r="A150" s="37" t="n">
        <v>148</v>
      </c>
      <c r="B150" s="38" t="inlineStr">
        <is>
          <t>ผู้ป่วยรายนี้จำเป็นต้องได้รับยาเพื่อป้องกัน cryptococcosis หรือไม่ (ถ้าควรได้รับ ผู้ป่วยจะต้องได้รับยาใด)</t>
        </is>
      </c>
      <c r="C150" s="38" t="n"/>
      <c r="D150" s="38" t="inlineStr">
        <is>
          <t>[NEED_REVIEW]</t>
        </is>
      </c>
      <c r="E150" s="38" t="inlineStr">
        <is>
          <t>[NEED_REVIEW]</t>
        </is>
      </c>
      <c r="F150" s="38" t="inlineStr">
        <is>
          <t>[NEED_REVIEW]</t>
        </is>
      </c>
      <c r="G150" s="38" t="inlineStr">
        <is>
          <t>[NEED_REVIEW]</t>
        </is>
      </c>
      <c r="H150" s="38" t="inlineStr">
        <is>
          <t>[NEED_REVIEW]</t>
        </is>
      </c>
      <c r="I150" s="37" t="inlineStr">
        <is>
          <t>5</t>
        </is>
      </c>
      <c r="J150" s="38" t="inlineStr">
        <is>
          <t>✅ คำตอบที่ถูกต้อง: ข้อ จ. ไม่จำเป็นต้องได้รับยาเพื่อป้องกัน cryptococcosis อีก
💡 Background:
การดูแลผู้ติดเชื้อ HIV เน้นเริ่ม Antiretroviral Therapy (ART) ทันทีเพื่อกด viral load ให้ undetectable (U=U) และฟื้นฟูระบบภูมิคุ้มกัน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ส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0" s="38" t="n"/>
      <c r="L150" s="39" t="inlineStr">
        <is>
          <t>HIV infection</t>
        </is>
      </c>
      <c r="M150" s="39" t="inlineStr">
        <is>
          <t>Clinic</t>
        </is>
      </c>
      <c r="N150" s="38" t="inlineStr">
        <is>
          <t>ข้อ 34 Pharma Plus เล่มม่วง (เฉลยข้อ จ)</t>
        </is>
      </c>
      <c r="O150" s="39" t="n"/>
      <c r="P150" s="39" t="n"/>
    </row>
    <row r="151" ht="13.2" customHeight="1" s="49">
      <c r="A151" s="37" t="n">
        <v>149</v>
      </c>
      <c r="B151" s="38" t="inlineStr">
        <is>
          <t>ผู้ป่วยรายนี้จะพิจารณาหยุดยาป้องกัน histoplasmosis เมื่อใด</t>
        </is>
      </c>
      <c r="C151" s="38" t="n"/>
      <c r="D151" s="38" t="inlineStr">
        <is>
          <t>CD4 ≥ 50 cells/mm³</t>
        </is>
      </c>
      <c r="E151" s="38" t="inlineStr">
        <is>
          <t>CD4 ≥ 100 cells/mm³</t>
        </is>
      </c>
      <c r="F151" s="38" t="inlineStr">
        <is>
          <t>CD4 ≥ 150 cells/mm³</t>
        </is>
      </c>
      <c r="G151" s="38" t="inlineStr">
        <is>
          <t>CD4 ≥ 200 cells/mm³</t>
        </is>
      </c>
      <c r="H151" s="38" t="inlineStr">
        <is>
          <t>CD4 ≥ 250 cells/mm³</t>
        </is>
      </c>
      <c r="I151" s="37" t="inlineStr">
        <is>
          <t>3</t>
        </is>
      </c>
      <c r="J151" s="38" t="inlineStr">
        <is>
          <t>✅ คำตอบที่ถูกต้อง: ข้อ ค. CD4 ≥ 150 cells/mm³
💡 Background:
การดูแลผู้ติดเชื้อ HIV เน้นเริ่ม Antiretroviral Therapy (ART) ทันทีเพื่อกด viral load ให้ undetectable (U=U) และฟื้นฟูระบบภูมิคุ้มกัน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ซึ่งเกณฑ์สากลกำหนดไว้ที่ระดับตั้งแต่ 150 cells/mm³ ขึ้นไป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1" s="38" t="n"/>
      <c r="L151" s="39" t="inlineStr">
        <is>
          <t>HIV infection</t>
        </is>
      </c>
      <c r="M151" s="39" t="inlineStr">
        <is>
          <t>Clinic</t>
        </is>
      </c>
      <c r="N151" s="38" t="inlineStr">
        <is>
          <t>ข้อ 35 Pharma Plus เล่มม่วง (เฉลยข้อ ค)</t>
        </is>
      </c>
      <c r="O151" s="39" t="n"/>
      <c r="P151" s="39" t="n"/>
    </row>
    <row r="152" ht="13.2" customHeight="1" s="49">
      <c r="A152" s="37" t="n">
        <v>150</v>
      </c>
      <c r="B152" s="38"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38" t="n"/>
      <c r="D152" s="38" t="inlineStr">
        <is>
          <t>Cryptococcus sp.</t>
        </is>
      </c>
      <c r="E152" s="38" t="inlineStr">
        <is>
          <t>Aspergillus sp.</t>
        </is>
      </c>
      <c r="F152" s="38" t="inlineStr">
        <is>
          <t>Candida sp.</t>
        </is>
      </c>
      <c r="G152" s="38" t="inlineStr">
        <is>
          <t>Histoplasma sp.</t>
        </is>
      </c>
      <c r="H152" s="38" t="inlineStr">
        <is>
          <t>Blastomyces sp.</t>
        </is>
      </c>
      <c r="I152" s="37" t="inlineStr">
        <is>
          <t>1</t>
        </is>
      </c>
      <c r="J152" s="38" t="inlineStr">
        <is>
          <t>✅ คำตอบที่ถูกต้อง: ข้อ ก. Cryptococcus sp.
💡 Background:
การดูแลผู้ติดเชื้อ HIV เน้นเริ่ม Antiretroviral Therapy (ART) ทันทีเพื่อกด viral load ให้ undetectable (U=U) และฟื้นฟูระบบภูมิคุ้มกัน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2" s="38" t="n"/>
      <c r="L152" s="39" t="inlineStr">
        <is>
          <t>HIV infection</t>
        </is>
      </c>
      <c r="M152" s="39" t="inlineStr">
        <is>
          <t>Clinic</t>
        </is>
      </c>
      <c r="N152" s="38" t="inlineStr">
        <is>
          <t>ข้อ 36 Pharma Plus เล่มม่วง (เฉลยข้อ ก)</t>
        </is>
      </c>
      <c r="O152" s="39" t="n"/>
      <c r="P152" s="39" t="n"/>
    </row>
    <row r="153" ht="13.2" customHeight="1" s="49">
      <c r="A153" s="37" t="n">
        <v>151</v>
      </c>
      <c r="B153" s="38" t="inlineStr">
        <is>
          <t>การรักษาที่เหมาะสมสำหรับผู้ป่วยรายนี้คือข้อใด</t>
        </is>
      </c>
      <c r="C153" s="38" t="n"/>
      <c r="D153" s="38" t="inlineStr">
        <is>
          <t>Induction phase: Amphotericin B 0.6-0.7 mg/kg/day หยดเข้าหลอดเลือดดำเป็นเวลา 7-14 วัน, Consolidation phase: Itraconazole 200 mg กินวันละ 2 ครั้ง เป็นเวลา 10-12 สัปดาห์</t>
        </is>
      </c>
      <c r="E153" s="38" t="inlineStr">
        <is>
          <t>Induction phase: Amphotericin B 0.7-1.0 mg/kg/day IV ร่วมกับ Fluconazole 800 mg/day</t>
        </is>
      </c>
      <c r="F153" s="38" t="inlineStr">
        <is>
          <t>Induction phase: Amphotericin B 0.3-0.5 mg/kg/day หยดเข้าหลอดเลือดดำ เป็นเวลา 7-14 วัน, Consolidation phase: Fluconazole 200 mg กินวันละครั้ง เป็นเวลา 14-21 วัน</t>
        </is>
      </c>
      <c r="G153" s="38"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38" t="inlineStr">
        <is>
          <t>Fluconazole 400-800 mg/day ร่วมกับ intrathecal Amphotericin B 1-1.5 mg/day</t>
        </is>
      </c>
      <c r="I153" s="37" t="inlineStr">
        <is>
          <t>2</t>
        </is>
      </c>
      <c r="J153" s="38"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การดูแลผู้ติดเชื้อ HIV เน้นเริ่ม Antiretroviral Therapy (ART) ทันทีเพื่อกด viral load ให้ undetectable (U=U) และฟื้นฟูระบบภูมิคุ้มกัน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3" s="38" t="n"/>
      <c r="L153" s="39" t="inlineStr">
        <is>
          <t>HIV infection</t>
        </is>
      </c>
      <c r="M153" s="39" t="inlineStr">
        <is>
          <t>Clinic</t>
        </is>
      </c>
      <c r="N153" s="38" t="inlineStr">
        <is>
          <t>ข้อ 37 Pharma Plus เล่มม่วง (เฉลยข้อ ข)</t>
        </is>
      </c>
      <c r="O153" s="39" t="n"/>
      <c r="P153" s="39" t="n"/>
    </row>
    <row r="154" ht="13.2" customHeight="1" s="49">
      <c r="A154" s="37" t="n">
        <v>152</v>
      </c>
      <c r="B154" s="38"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38" t="n"/>
      <c r="D154" s="38" t="inlineStr">
        <is>
          <t>วัณโรค</t>
        </is>
      </c>
      <c r="E154" s="38" t="inlineStr">
        <is>
          <t>ปอดบวม</t>
        </is>
      </c>
      <c r="F154" s="38" t="inlineStr">
        <is>
          <t>หนองใน</t>
        </is>
      </c>
      <c r="G154" s="38" t="inlineStr">
        <is>
          <t>เชื้อราแคนดิดา</t>
        </is>
      </c>
      <c r="H154" s="38" t="inlineStr">
        <is>
          <t>เอดส์</t>
        </is>
      </c>
      <c r="I154" s="37" t="inlineStr">
        <is>
          <t>1</t>
        </is>
      </c>
      <c r="J154" s="38" t="inlineStr">
        <is>
          <t>✅ คำตอบที่ถูกต้อง: ข้อ ก. วัณโรค
💡 Background:
การดูแลผู้ติดเชื้อ HIV เน้นเริ่ม Antiretroviral Therapy (ART) ทันทีเพื่อกด viral load ให้ undetectable (U=U) และฟื้นฟูระบบภูมิคุ้มกัน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4" s="38" t="n"/>
      <c r="L154" s="39" t="inlineStr">
        <is>
          <t>HIV infection</t>
        </is>
      </c>
      <c r="M154" s="39" t="inlineStr">
        <is>
          <t>Clinic</t>
        </is>
      </c>
      <c r="N154" s="38" t="inlineStr">
        <is>
          <t>ข้อ 38 Pharma Plus เล่มม่วง (เฉลยข้อ )</t>
        </is>
      </c>
      <c r="O154" s="39" t="n"/>
      <c r="P154" s="39" t="n"/>
    </row>
    <row r="155" ht="13.2" customHeight="1" s="49">
      <c r="A155" s="37" t="n">
        <v>153</v>
      </c>
      <c r="B155" s="38" t="inlineStr">
        <is>
          <t>ยา GPOvir ขององค์การเภสัชกรรมประกอบด้วย</t>
        </is>
      </c>
      <c r="C155" s="38" t="n"/>
      <c r="D155" s="38" t="inlineStr">
        <is>
          <t>Zidovudine + Didanosine + Ritonavir</t>
        </is>
      </c>
      <c r="E155" s="38" t="inlineStr">
        <is>
          <t>Stavudine + Lamivudine + Saquinavir</t>
        </is>
      </c>
      <c r="F155" s="38" t="inlineStr">
        <is>
          <t>Stavudine + Lamivudine + Nevirapine</t>
        </is>
      </c>
      <c r="G155" s="38" t="inlineStr">
        <is>
          <t>Stavudine + Lamivudine + Tenofovir</t>
        </is>
      </c>
      <c r="H155" s="38" t="inlineStr">
        <is>
          <t>ไม่มีข้อใดถูก</t>
        </is>
      </c>
      <c r="I155" s="37" t="inlineStr">
        <is>
          <t>3</t>
        </is>
      </c>
      <c r="J155" s="38" t="inlineStr">
        <is>
          <t>✅ คำตอบที่ถูกต้อง: ข้อ ค. Stavudine + Lamivudine + Nevirapine
💡 Background:
การดูแลผู้ติดเชื้อ HIV เน้นเริ่ม Antiretroviral Therapy (ART) ทันทีเพื่อกด viral load ให้ undetectable (U=U) และฟื้นฟูระบบภูมิคุ้มกัน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5" s="38" t="n"/>
      <c r="L155" s="39" t="inlineStr">
        <is>
          <t>HIV infection</t>
        </is>
      </c>
      <c r="M155" s="39" t="inlineStr">
        <is>
          <t>Clinic</t>
        </is>
      </c>
      <c r="N155" s="38" t="inlineStr">
        <is>
          <t>ข้อ 39 Pharma Plus เล่มม่วง (เฉลยข้อ ค)</t>
        </is>
      </c>
      <c r="O155" s="39" t="n"/>
      <c r="P155" s="39" t="n"/>
    </row>
    <row r="156" ht="13.2" customHeight="1" s="49">
      <c r="A156" s="37" t="n">
        <v>154</v>
      </c>
      <c r="B156" s="38"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38" t="n"/>
      <c r="D156" s="38" t="inlineStr">
        <is>
          <t>Abacavir</t>
        </is>
      </c>
      <c r="E156" s="38" t="inlineStr">
        <is>
          <t>Ritonavir</t>
        </is>
      </c>
      <c r="F156" s="38" t="inlineStr">
        <is>
          <t>Nevirapine</t>
        </is>
      </c>
      <c r="G156" s="38" t="inlineStr">
        <is>
          <t>Lamivudine</t>
        </is>
      </c>
      <c r="H156" s="38" t="inlineStr">
        <is>
          <t>Diravirdine</t>
        </is>
      </c>
      <c r="I156" s="37" t="inlineStr">
        <is>
          <t>2</t>
        </is>
      </c>
      <c r="J156" s="38"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38" t="n"/>
      <c r="L156" s="39" t="inlineStr">
        <is>
          <t>HIV infection</t>
        </is>
      </c>
      <c r="M156" s="39" t="inlineStr">
        <is>
          <t>Clinic</t>
        </is>
      </c>
      <c r="N156" s="38" t="inlineStr">
        <is>
          <t>ข้อ 40 Pharma Plus เล่มม่วง (เฉลยข้อ ข)</t>
        </is>
      </c>
      <c r="O156" s="39" t="n"/>
      <c r="P156" s="39" t="n"/>
    </row>
    <row r="157" ht="13.2" customHeight="1" s="49">
      <c r="A157" s="37" t="n">
        <v>155</v>
      </c>
      <c r="B157" s="38" t="inlineStr">
        <is>
          <t>ฝ้าขาวที่เกิดที่กระพุ้งแก้มในรูปแบบยาน้ำกลั้วปาก สามารถรักษาได้โดยยาชนิดใด</t>
        </is>
      </c>
      <c r="C157" s="38" t="n"/>
      <c r="D157" s="38" t="inlineStr">
        <is>
          <t>Cotrimazole</t>
        </is>
      </c>
      <c r="E157" s="38" t="inlineStr">
        <is>
          <t>Nystatin</t>
        </is>
      </c>
      <c r="F157" s="38" t="inlineStr">
        <is>
          <t>Claritromycin</t>
        </is>
      </c>
      <c r="G157" s="38" t="inlineStr">
        <is>
          <t>Itraconazole</t>
        </is>
      </c>
      <c r="H157" s="38" t="inlineStr">
        <is>
          <t>Amphotericin B</t>
        </is>
      </c>
      <c r="I157" s="37" t="inlineStr">
        <is>
          <t>2</t>
        </is>
      </c>
      <c r="J157" s="38" t="inlineStr">
        <is>
          <t>✅ คำตอบที่ถูกต้อง: ข้อ ข. Nystatin
💡 Background:
การดูแลผู้ติดเชื้อ HIV เน้นเริ่ม Antiretroviral Therapy (ART) ทันทีเพื่อกด viral load ให้ undetectable (U=U) และฟื้นฟูระบบภูมิคุ้มกัน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7" s="38" t="n"/>
      <c r="L157" s="39" t="inlineStr">
        <is>
          <t>HIV infection</t>
        </is>
      </c>
      <c r="M157" s="39" t="inlineStr">
        <is>
          <t>Clinic</t>
        </is>
      </c>
      <c r="N157" s="38" t="inlineStr">
        <is>
          <t>ข้อ 41 Pharma Plus เล่มม่วง (เฉลยข้อ ข ง)</t>
        </is>
      </c>
      <c r="O157" s="39" t="n"/>
      <c r="P157" s="39" t="n"/>
    </row>
    <row r="158" ht="13.2" customHeight="1" s="49">
      <c r="A158" s="37" t="n">
        <v>156</v>
      </c>
      <c r="B158" s="38" t="inlineStr">
        <is>
          <t>จงบอกกลไกออกฤทธิ์ของ zidovudine</t>
        </is>
      </c>
      <c r="C158" s="38" t="n"/>
      <c r="D158" s="38" t="inlineStr">
        <is>
          <t>Inhibit protein synthesis</t>
        </is>
      </c>
      <c r="E158" s="38" t="inlineStr">
        <is>
          <t>Inhibit HIV protease</t>
        </is>
      </c>
      <c r="F158" s="38" t="inlineStr">
        <is>
          <t>Inhibit HIV reverse transcriptase</t>
        </is>
      </c>
      <c r="G158" s="38" t="inlineStr">
        <is>
          <t>Inhibit thymidine kinase</t>
        </is>
      </c>
      <c r="H158" s="38" t="inlineStr">
        <is>
          <t>Inhibit cell wall synthesis</t>
        </is>
      </c>
      <c r="I158" s="37" t="inlineStr">
        <is>
          <t>3</t>
        </is>
      </c>
      <c r="J158" s="38" t="inlineStr">
        <is>
          <t>✅ คำตอบที่ถูกต้อง: ข้อ ค. Inhibit HIV reverse transcriptase
💡 Background:
การดูแลผู้ติดเชื้อ HIV เน้นเริ่ม Antiretroviral Therapy (ART) ทันทีเพื่อกด viral load ให้ undetectable (U=U) และฟื้นฟูระบบภูมิคุ้มกัน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8" s="38" t="n"/>
      <c r="L158" s="39" t="inlineStr">
        <is>
          <t>HIV infection</t>
        </is>
      </c>
      <c r="M158" s="39" t="inlineStr">
        <is>
          <t>Clinic</t>
        </is>
      </c>
      <c r="N158" s="38" t="inlineStr">
        <is>
          <t>ข้อ 42 Pharma Plus เล่มม่วง (เฉลยข้อ ค)</t>
        </is>
      </c>
      <c r="O158" s="39" t="n"/>
      <c r="P158" s="39" t="n"/>
    </row>
    <row r="159" ht="13.2" customHeight="1" s="49">
      <c r="A159" s="37" t="n">
        <v>157</v>
      </c>
      <c r="B159" s="38" t="inlineStr">
        <is>
          <t>พิจารณาโครงสร้างของ Ritonavir ท่านคิดว่าข้อใดไม่ถูกต้อง</t>
        </is>
      </c>
      <c r="C159" s="38" t="n"/>
      <c r="D159" s="38" t="inlineStr">
        <is>
          <t>เมื่อให้ยาร่วมกับอาหารยาจะออกฤทธิ์ช้าลง</t>
        </is>
      </c>
      <c r="E159" s="38" t="inlineStr">
        <is>
          <t>ยามีการละลายน้ำต่ำ จึงดูดซึมได้ไม่ดี</t>
        </is>
      </c>
      <c r="F159" s="38" t="inlineStr">
        <is>
          <t>เนื่องจากเป็น peptide-like จึงสลายตัวได้ง่ายในกรดในกระเพาะอาหาร</t>
        </is>
      </c>
      <c r="G159" s="38" t="inlineStr">
        <is>
          <t>ไม่มี basic functionality จึงไม่ ionize ในทางเดินอาหาร</t>
        </is>
      </c>
      <c r="H159" s="38" t="inlineStr">
        <is>
          <t>ยามี polar functionality จึงละลายน้ำได้ดี</t>
        </is>
      </c>
      <c r="I159" s="37" t="inlineStr">
        <is>
          <t>1</t>
        </is>
      </c>
      <c r="J159" s="38" t="inlineStr">
        <is>
          <t>✅ คำตอบที่ถูกต้อง: ข้อ ก. เมื่อให้ยาร่วมกับอาหารยาจะออกฤทธิ์ช้าลง
💡 Background:
การดูแลผู้ติดเชื้อ HIV เน้นเริ่ม Antiretroviral Therapy (ART) ทันทีเพื่อกด viral load ให้ undetectable (U=U) และฟื้นฟูระบบภูมิคุ้มกัน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9" s="38" t="n"/>
      <c r="L159" s="39" t="inlineStr">
        <is>
          <t>HIV infection</t>
        </is>
      </c>
      <c r="M159" s="39" t="inlineStr">
        <is>
          <t>Clinic</t>
        </is>
      </c>
      <c r="N159" s="38" t="inlineStr">
        <is>
          <t>ข้อ 43 Pharma Plus เล่มม่วง (เฉลยข้อ ก ง จ)</t>
        </is>
      </c>
      <c r="O159" s="39" t="n"/>
      <c r="P159" s="39" t="n"/>
    </row>
    <row r="160" ht="13.2" customHeight="1" s="49">
      <c r="A160" s="37" t="n">
        <v>158</v>
      </c>
      <c r="B160" s="38"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38" t="n"/>
      <c r="D160" s="38" t="inlineStr">
        <is>
          <t>ยาเสียเนื่องจาก air oxidation</t>
        </is>
      </c>
      <c r="E160" s="38" t="inlineStr">
        <is>
          <t>ยาเสียเนื่องจาก hydrolysis ของส่วน hydrozone</t>
        </is>
      </c>
      <c r="F160" s="38" t="inlineStr">
        <is>
          <t>ยาไม่เสีย เป็นธรรมชาติของยาเม็ดชนิดนี้</t>
        </is>
      </c>
      <c r="G160" s="38" t="inlineStr">
        <is>
          <t>ยาเสียเนื่องจากความชื้นในอากาศ</t>
        </is>
      </c>
      <c r="H160" s="38" t="inlineStr">
        <is>
          <t>ยาไม่เสีย สีที่เกิดขึ้นนั้นเกิดกับการแต่งสี</t>
        </is>
      </c>
      <c r="I160" s="37" t="inlineStr">
        <is>
          <t>3</t>
        </is>
      </c>
      <c r="J160" s="38" t="inlineStr">
        <is>
          <t>✅ คำตอบที่ถูกต้อง: ข้อ ค. ยาไม่เสีย เป็นธรรมชาติของยาเม็ดชนิดนี้
💡 Background:
การดูแลผู้ติดเชื้อ HIV เน้นเริ่ม Antiretroviral Therapy (ART) ทันทีเพื่อกด viral load ให้ undetectable (U=U) และฟื้นฟูระบบภูมิคุ้มกัน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0" s="38" t="n"/>
      <c r="L160" s="39" t="inlineStr">
        <is>
          <t>HIV infection</t>
        </is>
      </c>
      <c r="M160" s="39" t="inlineStr">
        <is>
          <t>Clinic</t>
        </is>
      </c>
      <c r="N160" s="38" t="inlineStr">
        <is>
          <t>ข้อ 44 Pharma Plus เล่มม่วง (เฉลยข้อ ค)</t>
        </is>
      </c>
      <c r="O160" s="39" t="n"/>
      <c r="P160" s="39" t="n"/>
    </row>
    <row r="161" ht="13.2" customHeight="1" s="49">
      <c r="A161" s="37" t="n">
        <v>159</v>
      </c>
      <c r="B161" s="38"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38" t="n"/>
      <c r="D161" s="38" t="inlineStr">
        <is>
          <t>ขาด Vitamin D เนื่องจากได้รับแสงแดดไม่พอ</t>
        </is>
      </c>
      <c r="E161" s="38" t="inlineStr">
        <is>
          <t>ขาด Vitamin B6 เนื่องจากได้รับการรักษาด้วยยา isoniazid</t>
        </is>
      </c>
      <c r="F161" s="38" t="inlineStr">
        <is>
          <t>ขาด folate เนื่องจากสูญเสียปัสสาวะเพิ่มขึ้น</t>
        </is>
      </c>
      <c r="G161" s="38" t="inlineStr">
        <is>
          <t>ขาด Vitamin B12 เนื่องจากการดูดซึมผิดปกติ</t>
        </is>
      </c>
      <c r="H161" s="38" t="inlineStr">
        <is>
          <t>ขาด Zn เนื่องจากยาท าให้เบื่ออาหาร จึงได้รับ Zn จากอาหารน้อยลง</t>
        </is>
      </c>
      <c r="I161" s="37" t="inlineStr">
        <is>
          <t>1</t>
        </is>
      </c>
      <c r="J161" s="38" t="inlineStr">
        <is>
          <t>✅ คำตอบที่ถูกต้อง: ข้อ ก. ขาด Vitamin D เนื่องจากได้รับแสงแดดไม่พอ
💡 Background:
การดูแลผู้ติดเชื้อ HIV เน้นเริ่ม Antiretroviral Therapy (ART) ทันทีเพื่อกด viral load ให้ undetectable (U=U) และฟื้นฟูระบบภูมิคุ้มกัน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1" s="38" t="n"/>
      <c r="L161" s="39" t="inlineStr">
        <is>
          <t>HIV infection</t>
        </is>
      </c>
      <c r="M161" s="39" t="inlineStr">
        <is>
          <t>Infectious Diseases</t>
        </is>
      </c>
      <c r="N161" s="38" t="inlineStr">
        <is>
          <t>Mock PLE-CC 1 ข้อ 104</t>
        </is>
      </c>
      <c r="O161" s="39" t="n"/>
      <c r="P161" s="39" t="n"/>
      <c r="Q161" s="2" t="n"/>
    </row>
    <row r="162" ht="13.2" customHeight="1" s="49">
      <c r="A162" s="37" t="n">
        <v>160</v>
      </c>
      <c r="B162" s="38" t="inlineStr">
        <is>
          <t>อาการของผู้ป่วยเข้าได้กับโรคใด</t>
        </is>
      </c>
      <c r="C162" s="38" t="n"/>
      <c r="D162" s="38" t="inlineStr">
        <is>
          <t>photosensitivity</t>
        </is>
      </c>
      <c r="E162" s="38" t="inlineStr">
        <is>
          <t>eczema</t>
        </is>
      </c>
      <c r="F162" s="38" t="inlineStr">
        <is>
          <t>impetigo</t>
        </is>
      </c>
      <c r="G162" s="38" t="inlineStr">
        <is>
          <t>canker sore</t>
        </is>
      </c>
      <c r="H162" s="38" t="inlineStr">
        <is>
          <t>Cold sore</t>
        </is>
      </c>
      <c r="I162" s="37" t="inlineStr">
        <is>
          <t>4</t>
        </is>
      </c>
      <c r="J162" s="38" t="inlineStr">
        <is>
          <t>✅ คำตอบที่ถูกต้อง: ข้อ ง. canker sore
💡 Background:
การดูแลผู้ติดเชื้อ HIV เน้นเริ่ม Antiretroviral Therapy (ART) ทันทีเพื่อกด viral load ให้ undetectable (U=U) และฟื้นฟูระบบภูมิคุ้มกัน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2" s="38" t="n"/>
      <c r="L162" s="39" t="inlineStr">
        <is>
          <t>HIV infection</t>
        </is>
      </c>
      <c r="M162" s="39" t="inlineStr">
        <is>
          <t>Infectious Diseases</t>
        </is>
      </c>
      <c r="N162" s="38" t="inlineStr">
        <is>
          <t>Mock PLE-CC 1 ข้อ 119</t>
        </is>
      </c>
      <c r="O162" s="39" t="n"/>
      <c r="P162" s="39" t="n"/>
      <c r="Q162" s="2" t="n"/>
    </row>
    <row r="163" ht="13.2" customHeight="1" s="49">
      <c r="A163" s="37" t="n">
        <v>161</v>
      </c>
      <c r="B163" s="38" t="inlineStr">
        <is>
          <t>ข้อใดไม่ใช่ปัจจัยกระตุ้นที่สำคัญที่ทำให้โรคนี้กำเริบ</t>
        </is>
      </c>
      <c r="C163" s="38" t="n"/>
      <c r="D163" s="38" t="inlineStr">
        <is>
          <t>การนอนหลับไม่เพียงพอ</t>
        </is>
      </c>
      <c r="E163" s="38" t="inlineStr">
        <is>
          <t>ภาวะเครียด</t>
        </is>
      </c>
      <c r="F163" s="38" t="inlineStr">
        <is>
          <t>เจอแสงแดดจัด</t>
        </is>
      </c>
      <c r="G163" s="38" t="inlineStr">
        <is>
          <t>การได้รับ amoxicillin</t>
        </is>
      </c>
      <c r="H163" s="38" t="inlineStr">
        <is>
          <t>ติดเชื้อไวรัสเช่นไข้หวัด</t>
        </is>
      </c>
      <c r="I163" s="37" t="inlineStr">
        <is>
          <t>2</t>
        </is>
      </c>
      <c r="J163" s="38" t="inlineStr">
        <is>
          <t>✅ คำตอบที่ถูกต้อง: ข้อ ข. ภาวะเครียด
💡 Background:
การดูแลผู้ติดเชื้อ HIV เน้นเริ่ม Antiretroviral Therapy (ART) ทันทีเพื่อกด viral load ให้ undetectable (U=U) และฟื้นฟูระบบภูมิคุ้มกัน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3" s="38" t="n"/>
      <c r="L163" s="39" t="inlineStr">
        <is>
          <t>HIV infection</t>
        </is>
      </c>
      <c r="M163" s="39" t="inlineStr">
        <is>
          <t>Infectious Diseases</t>
        </is>
      </c>
      <c r="N163" s="38" t="inlineStr">
        <is>
          <t>Mock PLE-CC 1 ข้อ 123</t>
        </is>
      </c>
      <c r="O163" s="39" t="n"/>
      <c r="P163" s="39" t="n"/>
      <c r="Q163" s="2" t="n"/>
    </row>
    <row r="164" ht="13.2" customHeight="1" s="49">
      <c r="A164" s="37" t="n">
        <v>162</v>
      </c>
      <c r="B164"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38" t="n"/>
      <c r="D164" s="38" t="inlineStr">
        <is>
          <t>Omeprazole + Metronidazole + Bismuth subsalicylate + tetracycline</t>
        </is>
      </c>
      <c r="E164" s="38" t="inlineStr">
        <is>
          <t>Omeprazole + Levofloxacin + Amoxicillin</t>
        </is>
      </c>
      <c r="F164" s="38" t="inlineStr">
        <is>
          <t>Lansoprazole + Clarithromycin + Amoxicillin</t>
        </is>
      </c>
      <c r="G164" s="38" t="inlineStr">
        <is>
          <t>Lansoprazole + Amoxicillin + Metronidazole + Bismuth subsalicylate</t>
        </is>
      </c>
      <c r="H164" s="38" t="inlineStr">
        <is>
          <t>Lansoprazole + Clarithromycin + Bismuth subsalicylate + Amoxicillin (ไม่มั่นใจ choice ข้อนี้)</t>
        </is>
      </c>
      <c r="I164" s="37" t="inlineStr">
        <is>
          <t>1</t>
        </is>
      </c>
      <c r="J164" s="38" t="inlineStr">
        <is>
          <t>✅ คำตอบที่ถูกต้อง: ข้อ ก. Omeprazole + Metronidazole + Bismuth subsalicylate + tetracycline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4" s="38" t="n"/>
      <c r="L164" s="39" t="inlineStr">
        <is>
          <t>HIV infection</t>
        </is>
      </c>
      <c r="M164" s="39" t="inlineStr">
        <is>
          <t>Infectious Diseases</t>
        </is>
      </c>
      <c r="N164" s="38" t="inlineStr">
        <is>
          <t>PLE_CC1_2567_Key ข้อ 9</t>
        </is>
      </c>
      <c r="O164" s="39" t="n"/>
      <c r="P164" s="39" t="n"/>
      <c r="Q164" s="2" t="n"/>
    </row>
    <row r="165" ht="13.2" customHeight="1" s="49">
      <c r="A165" s="37" t="n">
        <v>163</v>
      </c>
      <c r="B165" s="38"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38" t="n"/>
      <c r="D165" s="38" t="inlineStr">
        <is>
          <t>Cefixime</t>
        </is>
      </c>
      <c r="E165" s="38" t="inlineStr">
        <is>
          <t>Levofloxacin</t>
        </is>
      </c>
      <c r="F165" s="38" t="inlineStr">
        <is>
          <t>Clindamycin</t>
        </is>
      </c>
      <c r="G165" s="38" t="inlineStr">
        <is>
          <t>Erythromycin</t>
        </is>
      </c>
      <c r="H165" s="38" t="inlineStr">
        <is>
          <t>Amoxicillin clavulanate</t>
        </is>
      </c>
      <c r="I165" s="37" t="inlineStr">
        <is>
          <t>1</t>
        </is>
      </c>
      <c r="J165" s="38"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38" t="n"/>
      <c r="L165" s="39" t="inlineStr">
        <is>
          <t>Pneumonia</t>
        </is>
      </c>
      <c r="M165" s="39" t="inlineStr">
        <is>
          <t>Infectious Diseases</t>
        </is>
      </c>
      <c r="N165" s="38" t="inlineStr">
        <is>
          <t>PLE_CC1_2567_Key ข้อ 37</t>
        </is>
      </c>
      <c r="O165" s="39" t="n"/>
      <c r="P165" s="39" t="n"/>
      <c r="Q165" s="2" t="n"/>
    </row>
    <row r="166" ht="13.2" customHeight="1" s="49">
      <c r="A166" s="37" t="n">
        <v>164</v>
      </c>
      <c r="B166" s="38" t="inlineStr">
        <is>
          <t>Case HIV CD4 &lt; 150 ต้องได้ยาป้องกัน OI (Opportunistic Infection) อะไรบ้าง " A</t>
        </is>
      </c>
      <c r="C166" s="38" t="n"/>
      <c r="D166" s="38" t="inlineStr">
        <is>
          <t>Co-trimoxazole</t>
        </is>
      </c>
      <c r="E166" s="38" t="inlineStr">
        <is>
          <t>Fluconazole</t>
        </is>
      </c>
      <c r="F166" s="38" t="inlineStr">
        <is>
          <t>Azithromycin</t>
        </is>
      </c>
      <c r="G166" s="38" t="inlineStr">
        <is>
          <t>Co-trimoxazole + Fluconazole</t>
        </is>
      </c>
      <c r="H166" s="38" t="inlineStr">
        <is>
          <t>Co-trimoxazole + Fluconazole + azithromycin X ร</t>
        </is>
      </c>
      <c r="I166" s="37" t="inlineStr">
        <is>
          <t>1</t>
        </is>
      </c>
      <c r="J166" s="38" t="inlineStr">
        <is>
          <t>✅ คำตอบที่ถูกต้อง: ข้อ ก. Co-trimoxazole
💡 Background:
การดูแลผู้ติดเชื้อ HIV เน้นเริ่ม Antiretroviral Therapy (ART) ทันทีเพื่อกด viral load ให้ undetectable (U=U) และฟื้นฟูระบบภูมิคุ้มกัน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t>
        </is>
      </c>
      <c r="K166" s="38" t="n"/>
      <c r="L166" s="39" t="inlineStr">
        <is>
          <t>HIV infection</t>
        </is>
      </c>
      <c r="M166" s="39" t="inlineStr">
        <is>
          <t>Infectious Diseases</t>
        </is>
      </c>
      <c r="N166" s="38" t="inlineStr">
        <is>
          <t>PLE_CC1_2567_Key ข้อ 75</t>
        </is>
      </c>
      <c r="O166" s="39" t="n"/>
      <c r="P166" s="39" t="n"/>
      <c r="Q166" s="2" t="n"/>
    </row>
    <row r="167" ht="13.2" customHeight="1" s="49">
      <c r="A167" s="37" t="n">
        <v>165</v>
      </c>
      <c r="B167" s="38" t="inlineStr">
        <is>
          <t>โครงสร้างหมายเลขใดของ triamcinolone acetonide มีบทบาทสำคัญในการเพิ่ม lipophilicity PLE-PC1 Preparation 2567</t>
        </is>
      </c>
      <c r="C167" s="38" t="n"/>
      <c r="D167" s="38" t="inlineStr">
        <is>
          <t>Infectious Diseases</t>
        </is>
      </c>
      <c r="E167" s="38" t="inlineStr">
        <is>
          <t>Ciprofloxacin 500 mg BID</t>
        </is>
      </c>
      <c r="F167" s="38" t="inlineStr">
        <is>
          <t>Azithromycin 500 mg OD</t>
        </is>
      </c>
      <c r="G167" s="38" t="inlineStr">
        <is>
          <t>Doxycycline 100 mg BID</t>
        </is>
      </c>
      <c r="H167" s="38" t="inlineStr">
        <is>
          <t>Cotrimoxazole 160/800 mg BID</t>
        </is>
      </c>
      <c r="I167" s="37" t="inlineStr">
        <is>
          <t>1</t>
        </is>
      </c>
      <c r="J16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67" s="38" t="n"/>
      <c r="L167" s="39" t="inlineStr">
        <is>
          <t>HIV infection</t>
        </is>
      </c>
      <c r="M167" s="39" t="inlineStr">
        <is>
          <t>Infectious Diseases</t>
        </is>
      </c>
      <c r="N167" s="38" t="inlineStr">
        <is>
          <t>PLE_CC1_2567_Key ข้อ 95</t>
        </is>
      </c>
      <c r="O167" s="39" t="n"/>
      <c r="P167" s="39" t="n"/>
    </row>
    <row r="168" ht="13.2" customHeight="1" s="49">
      <c r="A168" s="37" t="n">
        <v>166</v>
      </c>
      <c r="B168" s="38" t="inlineStr">
        <is>
          <t>อาการใดที่ใช@แยก acute bacterial rhinosinusitis ออกจากการติดเชื้อในระบบทางเดินหายใจส6วนบน</t>
        </is>
      </c>
      <c r="C168" s="38" t="n"/>
      <c r="D168" s="38" t="inlineStr">
        <is>
          <t>Maxillary pain</t>
        </is>
      </c>
      <c r="E168" s="38" t="inlineStr">
        <is>
          <t>Sneezing</t>
        </is>
      </c>
      <c r="F168" s="38" t="inlineStr">
        <is>
          <t>Purulent conjunctivitis</t>
        </is>
      </c>
      <c r="G168" s="38" t="inlineStr">
        <is>
          <t>ไอ</t>
        </is>
      </c>
      <c r="H168" s="38" t="inlineStr">
        <is>
          <t>[NEED_REVIEW]</t>
        </is>
      </c>
      <c r="I168" s="37" t="inlineStr">
        <is>
          <t>1</t>
        </is>
      </c>
      <c r="J168" s="38"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38" t="n"/>
      <c r="L168" s="39" t="inlineStr">
        <is>
          <t>URTI</t>
        </is>
      </c>
      <c r="M168" s="39" t="inlineStr">
        <is>
          <t>Infectious Diseases</t>
        </is>
      </c>
      <c r="N168" s="38" t="inlineStr">
        <is>
          <t>PLE_CC1_2567_Key ข้อ 104</t>
        </is>
      </c>
      <c r="O168" s="39" t="n"/>
      <c r="P168" s="39" t="n"/>
      <c r="Q168" s="2" t="n"/>
    </row>
    <row r="169" ht="13.2" customHeight="1" s="49">
      <c r="A169" s="37" t="n">
        <v>167</v>
      </c>
      <c r="B169" s="38"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t>
        </is>
      </c>
      <c r="C169" s="38" t="n"/>
      <c r="D169" s="38" t="inlineStr">
        <is>
          <t>Infectious Diseases</t>
        </is>
      </c>
      <c r="E169" s="38" t="inlineStr">
        <is>
          <t>Tenofovir/Emtricitabine 300/200 mg OD</t>
        </is>
      </c>
      <c r="F169" s="38" t="inlineStr">
        <is>
          <t>Dolutegravir 50 mg OD</t>
        </is>
      </c>
      <c r="G169" s="38" t="inlineStr">
        <is>
          <t>Vancomycin 1 g IV Q12H</t>
        </is>
      </c>
      <c r="H169" s="38" t="inlineStr">
        <is>
          <t>Meropenem 1 g IV Q8H</t>
        </is>
      </c>
      <c r="I169" s="37" t="inlineStr">
        <is>
          <t>1</t>
        </is>
      </c>
      <c r="J16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69" s="38" t="n"/>
      <c r="L169" s="39" t="inlineStr">
        <is>
          <t>HIV infection</t>
        </is>
      </c>
      <c r="M169" s="39" t="inlineStr">
        <is>
          <t>Infectious Diseases</t>
        </is>
      </c>
      <c r="N169" s="38" t="inlineStr">
        <is>
          <t>PLE_CC1_2567_Set1_Key ข้อ 9</t>
        </is>
      </c>
      <c r="O169" s="39" t="n"/>
      <c r="P169" s="39" t="n"/>
    </row>
    <row r="170" ht="13.2" customHeight="1" s="49">
      <c r="A170" s="37" t="n">
        <v>168</v>
      </c>
      <c r="B170" s="38" t="inlineStr">
        <is>
          <t>จากตำรับน้ำตาเทียม หากไม่มี Hydroxypropyl-guar สามารถใช้สารในข้อใดทำหน้าที่แทนได้ สารเพิ่มความหนืด ติดเชื้อ bacteria</t>
        </is>
      </c>
      <c r="C170" s="38" t="n"/>
      <c r="D170" s="38" t="inlineStr">
        <is>
          <t>ethyl cellulose</t>
        </is>
      </c>
      <c r="E170" s="38" t="inlineStr">
        <is>
          <t>Cellulose acetate</t>
        </is>
      </c>
      <c r="F170" s="38" t="inlineStr">
        <is>
          <t>Polysorbate 80</t>
        </is>
      </c>
      <c r="G170" s="38" t="inlineStr">
        <is>
          <t>Sorbitol</t>
        </is>
      </c>
      <c r="H170" s="38" t="inlineStr">
        <is>
          <t>PVA</t>
        </is>
      </c>
      <c r="I170" s="37" t="inlineStr">
        <is>
          <t>1</t>
        </is>
      </c>
      <c r="J170" s="38" t="inlineStr">
        <is>
          <t>✅ คำตอบที่ถูกต้อง: ข้อ ก. ethyl cellulose
💡 Background:
การดูแลผู้ติดเชื้อ HIV เน้นเริ่ม Antiretroviral Therapy (ART) ทันทีเพื่อกด viral load ให้ undetectable (U=U) และฟื้นฟูระบบภูมิคุ้มกัน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t>
        </is>
      </c>
      <c r="K170" s="38" t="n"/>
      <c r="L170" s="39" t="inlineStr">
        <is>
          <t>HIV infection</t>
        </is>
      </c>
      <c r="M170" s="39" t="inlineStr">
        <is>
          <t>Infectious Diseases</t>
        </is>
      </c>
      <c r="N170" s="38" t="inlineStr">
        <is>
          <t>PLE_CC1_2567_Set1_Key ข้อ 32</t>
        </is>
      </c>
      <c r="O170" s="39" t="n"/>
      <c r="P170" s="39" t="n"/>
      <c r="Q170" s="2" t="n"/>
    </row>
    <row r="171" ht="13.2" customHeight="1" s="49">
      <c r="A171" s="37" t="n">
        <v>169</v>
      </c>
      <c r="B171" s="38" t="inlineStr">
        <is>
          <t>Case HIV CD4 &lt; 150 ต้องได้ยาป้องกัน OI (Opportunistic Infection) อะไรบ้าง " A</t>
        </is>
      </c>
      <c r="C171" s="38" t="n"/>
      <c r="D171" s="38" t="inlineStr">
        <is>
          <t>Docusate Sodium - lubricant</t>
        </is>
      </c>
      <c r="E171" s="38" t="inlineStr">
        <is>
          <t>glycerin - Osmotic</t>
        </is>
      </c>
      <c r="F171" s="38" t="inlineStr">
        <is>
          <t>psyllium husk - stimulant</t>
        </is>
      </c>
      <c r="G171" s="38" t="inlineStr">
        <is>
          <t>bisacodyl - bulk forming</t>
        </is>
      </c>
      <c r="H171" s="38" t="inlineStr">
        <is>
          <t>[NEED_REVIEW]</t>
        </is>
      </c>
      <c r="I171" s="37" t="inlineStr">
        <is>
          <t>1</t>
        </is>
      </c>
      <c r="J171" s="38" t="inlineStr">
        <is>
          <t>✅ คำตอบที่ถูกต้อง: ข้อ ก. Docusate Sodium - lubricant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1" s="38" t="n"/>
      <c r="L171" s="39" t="inlineStr">
        <is>
          <t>HIV infection</t>
        </is>
      </c>
      <c r="M171" s="39" t="inlineStr">
        <is>
          <t>Infectious Diseases</t>
        </is>
      </c>
      <c r="N171" s="38" t="inlineStr">
        <is>
          <t>PLE_CC1_2567_Set1_Key ข้อ 75</t>
        </is>
      </c>
      <c r="O171" s="39" t="n"/>
      <c r="P171" s="39" t="n"/>
      <c r="Q171" s="2" t="n"/>
    </row>
    <row r="172" ht="13.2" customHeight="1" s="49">
      <c r="A172" s="37" t="n">
        <v>170</v>
      </c>
      <c r="B172" s="38" t="inlineStr">
        <is>
          <t>ยาชนิดใดน่าจะเป็นสาเหตุของการแพ้มากที่สุดในผู้ป่วยรายนี้ &amp; &lt; PLE-PC1 Preparation 2567 PLE-PC1 Preparation 2567</t>
        </is>
      </c>
      <c r="C172" s="38" t="n"/>
      <c r="D172" s="38" t="inlineStr">
        <is>
          <t>Infectious Diseases</t>
        </is>
      </c>
      <c r="E172" s="38" t="inlineStr">
        <is>
          <t>Doxycycline 100 mg BID</t>
        </is>
      </c>
      <c r="F172" s="38" t="inlineStr">
        <is>
          <t>Cotrimoxazole 160/800 mg BID</t>
        </is>
      </c>
      <c r="G172" s="38" t="inlineStr">
        <is>
          <t>Metronidazole 400 mg TID</t>
        </is>
      </c>
      <c r="H172" s="38" t="inlineStr">
        <is>
          <t>Nitrofurantoin 100 mg BID</t>
        </is>
      </c>
      <c r="I172" s="37" t="inlineStr">
        <is>
          <t>1</t>
        </is>
      </c>
      <c r="J172"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2" s="38" t="n"/>
      <c r="L172" s="39" t="inlineStr">
        <is>
          <t>HIV infection</t>
        </is>
      </c>
      <c r="M172" s="39" t="inlineStr">
        <is>
          <t>Infectious Diseases</t>
        </is>
      </c>
      <c r="N172" s="38" t="inlineStr">
        <is>
          <t>PLE_CC1_2567_Set1_Key ข้อ 77</t>
        </is>
      </c>
      <c r="O172" s="39" t="n"/>
      <c r="P172" s="39" t="n"/>
    </row>
    <row r="173" ht="13.2" customHeight="1" s="49">
      <c r="A173" s="37" t="n">
        <v>171</v>
      </c>
      <c r="B173" s="38" t="inlineStr">
        <is>
          <t>หญิงอายุ 65 ปี มา รพ. ด้วยอาการหน้าเบี้ยว ปากเบี้ยว เป็นมาแล้ว 3 ชม. NIHSS score =2 ยาใดต่อไปนี้ เหมาะสมที่สุดสำหรับผู้ป่วยรายนี้ PLE-PC1 Preparation 2567 PLE-PC1 Preparation 2567</t>
        </is>
      </c>
      <c r="C173" s="38" t="n"/>
      <c r="D173" s="38" t="inlineStr">
        <is>
          <t>Infectious Diseases</t>
        </is>
      </c>
      <c r="E173" s="38" t="inlineStr">
        <is>
          <t>Nitrofurantoin 100 mg BID</t>
        </is>
      </c>
      <c r="F173" s="38" t="inlineStr">
        <is>
          <t>Tenofovir/Emtricitabine 300/200 mg OD</t>
        </is>
      </c>
      <c r="G173" s="38" t="inlineStr">
        <is>
          <t>Dolutegravir 50 mg OD</t>
        </is>
      </c>
      <c r="H173" s="38" t="inlineStr">
        <is>
          <t>Vancomycin 1 g IV Q12H</t>
        </is>
      </c>
      <c r="I173" s="37" t="inlineStr">
        <is>
          <t>1</t>
        </is>
      </c>
      <c r="J173"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3" s="38" t="n"/>
      <c r="L173" s="39" t="inlineStr">
        <is>
          <t>HIV infection</t>
        </is>
      </c>
      <c r="M173" s="39" t="inlineStr">
        <is>
          <t>Infectious Diseases</t>
        </is>
      </c>
      <c r="N173" s="38" t="inlineStr">
        <is>
          <t>PLE_CC1_2567_Set1_Key ข้อ 86</t>
        </is>
      </c>
      <c r="O173" s="39" t="n"/>
      <c r="P173" s="39" t="n"/>
    </row>
    <row r="174" ht="13.2" customHeight="1" s="49">
      <c r="A174" s="37" t="n">
        <v>172</v>
      </c>
      <c r="B174" s="38" t="inlineStr">
        <is>
          <t>สูตรยาPrep. ตัวเลือก</t>
        </is>
      </c>
      <c r="C174" s="38" t="n"/>
      <c r="D174" s="38" t="inlineStr">
        <is>
          <t>Infectious Diseases</t>
        </is>
      </c>
      <c r="E174" s="38" t="inlineStr">
        <is>
          <t>Vancomycin 1 g IV Q12H</t>
        </is>
      </c>
      <c r="F174" s="38" t="inlineStr">
        <is>
          <t>Meropenem 1 g IV Q8H</t>
        </is>
      </c>
      <c r="G174" s="38" t="inlineStr">
        <is>
          <t>Cefazolin 1 g IV Q8H</t>
        </is>
      </c>
      <c r="H174" s="38" t="inlineStr">
        <is>
          <t>Amoxicillin/Clavulanate 1 g BID</t>
        </is>
      </c>
      <c r="I174" s="37" t="inlineStr">
        <is>
          <t>1</t>
        </is>
      </c>
      <c r="J174"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4" s="38" t="n"/>
      <c r="L174" s="39" t="inlineStr">
        <is>
          <t>HIV infection</t>
        </is>
      </c>
      <c r="M174" s="39" t="inlineStr">
        <is>
          <t>Infectious Diseases</t>
        </is>
      </c>
      <c r="N174" s="38" t="inlineStr">
        <is>
          <t>PLE-CC1 ปี 2566 Day 1 ข้อ 1</t>
        </is>
      </c>
      <c r="O174" s="39" t="n"/>
      <c r="P174" s="39" t="n"/>
    </row>
    <row r="175" ht="13.2" customHeight="1" s="49">
      <c r="A175" s="37" t="n">
        <v>173</v>
      </c>
      <c r="B175" s="38" t="inlineStr">
        <is>
          <t>Fasting blood glucose ??? Prophylaxis สำหรับป้องกันHIV ใช้สูตรยาใด Favipiravir ขายในร้านยาได้มั้ยเพราะอะไร</t>
        </is>
      </c>
      <c r="C175" s="38" t="n"/>
      <c r="D175" s="38" t="inlineStr">
        <is>
          <t>Infectious Diseases</t>
        </is>
      </c>
      <c r="E175" s="38" t="inlineStr">
        <is>
          <t>Amoxicillin/Clavulanate 1 g BID</t>
        </is>
      </c>
      <c r="F175" s="38" t="inlineStr">
        <is>
          <t>Ceftriaxone 1 g IV OD</t>
        </is>
      </c>
      <c r="G175" s="38" t="inlineStr">
        <is>
          <t>Ciprofloxacin 500 mg BID</t>
        </is>
      </c>
      <c r="H175" s="38" t="inlineStr">
        <is>
          <t>Azithromycin 500 mg OD</t>
        </is>
      </c>
      <c r="I175" s="37" t="inlineStr">
        <is>
          <t>1</t>
        </is>
      </c>
      <c r="J175"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5" s="38" t="n"/>
      <c r="L175" s="39" t="inlineStr">
        <is>
          <t>HIV infection</t>
        </is>
      </c>
      <c r="M175" s="39" t="inlineStr">
        <is>
          <t>Infectious Diseases</t>
        </is>
      </c>
      <c r="N175" s="38" t="inlineStr">
        <is>
          <t>PLE-CC1 ปี 2566 Day 1 ข้อ 5</t>
        </is>
      </c>
      <c r="O175" s="39" t="n"/>
      <c r="P175" s="39" t="n"/>
    </row>
    <row r="176" ht="13.2" customHeight="1" s="49">
      <c r="A176" s="37" t="n">
        <v>174</v>
      </c>
      <c r="B176" s="38" t="inlineStr">
        <is>
          <t>Oral antibiotics</t>
        </is>
      </c>
      <c r="C176" s="38" t="n"/>
      <c r="D176" s="38" t="inlineStr">
        <is>
          <t>Infectious Diseases</t>
        </is>
      </c>
      <c r="E176" s="38" t="inlineStr">
        <is>
          <t>Azithromycin 500 mg OD</t>
        </is>
      </c>
      <c r="F176" s="38" t="inlineStr">
        <is>
          <t>Doxycycline 100 mg BID</t>
        </is>
      </c>
      <c r="G176" s="38" t="inlineStr">
        <is>
          <t>Cotrimoxazole 160/800 mg BID</t>
        </is>
      </c>
      <c r="H176" s="38" t="inlineStr">
        <is>
          <t>Metronidazole 400 mg TID</t>
        </is>
      </c>
      <c r="I176" s="37" t="inlineStr">
        <is>
          <t>1</t>
        </is>
      </c>
      <c r="J17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6" s="38" t="n"/>
      <c r="L176" s="39" t="inlineStr">
        <is>
          <t>HIV infection</t>
        </is>
      </c>
      <c r="M176" s="39" t="inlineStr">
        <is>
          <t>Infectious Diseases</t>
        </is>
      </c>
      <c r="N176" s="38" t="inlineStr">
        <is>
          <t>PLE-CC1 ปี 2566 Day 2 ข้อ 4</t>
        </is>
      </c>
      <c r="O176" s="39" t="n"/>
      <c r="P176" s="39" t="n"/>
    </row>
    <row r="177" ht="13.2" customHeight="1" s="49">
      <c r="A177" s="37" t="n">
        <v>175</v>
      </c>
      <c r="B177" s="38" t="inlineStr">
        <is>
          <t>ondansetron + dexsamethasone + Aprepitant</t>
        </is>
      </c>
      <c r="C177" s="38" t="n"/>
      <c r="D177" s="38" t="inlineStr">
        <is>
          <t>Infectious Diseases</t>
        </is>
      </c>
      <c r="E177" s="38" t="inlineStr">
        <is>
          <t>Metronidazole 400 mg TID</t>
        </is>
      </c>
      <c r="F177" s="38" t="inlineStr">
        <is>
          <t>Nitrofurantoin 100 mg BID</t>
        </is>
      </c>
      <c r="G177" s="38" t="inlineStr">
        <is>
          <t>Tenofovir/Emtricitabine 300/200 mg OD</t>
        </is>
      </c>
      <c r="H177" s="38" t="inlineStr">
        <is>
          <t>Dolutegravir 50 mg OD</t>
        </is>
      </c>
      <c r="I177" s="37" t="inlineStr">
        <is>
          <t>1</t>
        </is>
      </c>
      <c r="J17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7" s="38" t="n"/>
      <c r="L177" s="39" t="inlineStr">
        <is>
          <t>HIV infection</t>
        </is>
      </c>
      <c r="M177" s="39" t="inlineStr">
        <is>
          <t>Infectious Diseases</t>
        </is>
      </c>
      <c r="N177" s="38" t="inlineStr">
        <is>
          <t>PLE-CC1 ปี 2566 Day 2 ข้อ 1</t>
        </is>
      </c>
      <c r="O177" s="39" t="n"/>
      <c r="P177" s="39" t="n"/>
    </row>
    <row r="178" ht="13.2" customHeight="1" s="49">
      <c r="A178" s="37" t="n">
        <v>176</v>
      </c>
      <c r="B178" s="38" t="inlineStr">
        <is>
          <t>เริมที่ปากให้Acyclovir ยังไง(การทำงานของไตปกติ) ตัวเลือก</t>
        </is>
      </c>
      <c r="C178" s="38" t="n"/>
      <c r="D178" s="38" t="inlineStr">
        <is>
          <t>Infectious Diseases</t>
        </is>
      </c>
      <c r="E178" s="38" t="inlineStr">
        <is>
          <t>Dolutegravir 50 mg OD</t>
        </is>
      </c>
      <c r="F178" s="38" t="inlineStr">
        <is>
          <t>Vancomycin 1 g IV Q12H</t>
        </is>
      </c>
      <c r="G178" s="38" t="inlineStr">
        <is>
          <t>Meropenem 1 g IV Q8H</t>
        </is>
      </c>
      <c r="H178" s="38" t="inlineStr">
        <is>
          <t>Cefazolin 1 g IV Q8H</t>
        </is>
      </c>
      <c r="I178" s="37" t="inlineStr">
        <is>
          <t>1</t>
        </is>
      </c>
      <c r="J178"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8" s="38" t="n"/>
      <c r="L178" s="39" t="inlineStr">
        <is>
          <t>HIV infection</t>
        </is>
      </c>
      <c r="M178" s="39" t="inlineStr">
        <is>
          <t>Infectious Diseases</t>
        </is>
      </c>
      <c r="N178" s="38" t="inlineStr">
        <is>
          <t>PLE-CC1 ปี 2566 Day 2 ข้อ 7</t>
        </is>
      </c>
      <c r="O178" s="39" t="n"/>
      <c r="P178" s="39" t="n"/>
    </row>
    <row r="179" ht="13.2" customHeight="1" s="49">
      <c r="A179" s="37" t="n">
        <v>177</v>
      </c>
      <c r="B179" s="38" t="inlineStr">
        <is>
          <t>พืชที่ใช้รักษาเริม. ตัวเลือก</t>
        </is>
      </c>
      <c r="C179" s="38" t="n"/>
      <c r="D179" s="38" t="inlineStr">
        <is>
          <t>Infectious Diseases</t>
        </is>
      </c>
      <c r="E179" s="38" t="inlineStr">
        <is>
          <t>Cefazolin 1 g IV Q8H</t>
        </is>
      </c>
      <c r="F179" s="38" t="inlineStr">
        <is>
          <t>Amoxicillin/Clavulanate 1 g BID</t>
        </is>
      </c>
      <c r="G179" s="38" t="inlineStr">
        <is>
          <t>Ceftriaxone 1 g IV OD</t>
        </is>
      </c>
      <c r="H179" s="38" t="inlineStr">
        <is>
          <t>Ciprofloxacin 500 mg BID</t>
        </is>
      </c>
      <c r="I179" s="37" t="inlineStr">
        <is>
          <t>1</t>
        </is>
      </c>
      <c r="J179"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79" s="38" t="n"/>
      <c r="L179" s="39" t="inlineStr">
        <is>
          <t>HIV infection</t>
        </is>
      </c>
      <c r="M179" s="39" t="inlineStr">
        <is>
          <t>Infectious Diseases</t>
        </is>
      </c>
      <c r="N179" s="38" t="inlineStr">
        <is>
          <t>PLE-CC1 ปี 2566 Day 2 ข้อ 26</t>
        </is>
      </c>
      <c r="O179" s="39" t="n"/>
      <c r="P179" s="39" t="n"/>
    </row>
    <row r="180" ht="13.2" customHeight="1" s="49">
      <c r="A180" s="37" t="n">
        <v>178</v>
      </c>
      <c r="B180" s="38" t="inlineStr">
        <is>
          <t>Amoxicillin 500 mg bid 10วัน</t>
        </is>
      </c>
      <c r="C180" s="38" t="n"/>
      <c r="D180" s="38" t="inlineStr">
        <is>
          <t>Infectious Diseases</t>
        </is>
      </c>
      <c r="E180" s="38" t="inlineStr">
        <is>
          <t>Ciprofloxacin 500 mg BID</t>
        </is>
      </c>
      <c r="F180" s="38" t="inlineStr">
        <is>
          <t>Azithromycin 500 mg OD</t>
        </is>
      </c>
      <c r="G180" s="38" t="inlineStr">
        <is>
          <t>Doxycycline 100 mg BID</t>
        </is>
      </c>
      <c r="H180" s="38" t="inlineStr">
        <is>
          <t>Cotrimoxazole 160/800 mg BID</t>
        </is>
      </c>
      <c r="I180" s="37" t="inlineStr">
        <is>
          <t>1</t>
        </is>
      </c>
      <c r="J180" s="38" t="inlineStr">
        <is>
          <t>✅ คำตอบที่ถูกต้อง: ข้อ ก. Infectious Diseases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0" s="38" t="n"/>
      <c r="L180" s="39" t="inlineStr">
        <is>
          <t>URTI</t>
        </is>
      </c>
      <c r="M180" s="39" t="inlineStr">
        <is>
          <t>Infectious Diseases</t>
        </is>
      </c>
      <c r="N180" s="38" t="inlineStr">
        <is>
          <t>PLE-CC1 ปี 2566 Day 2 ข้อ 1</t>
        </is>
      </c>
      <c r="O180" s="39" t="n"/>
      <c r="P180" s="39" t="n"/>
    </row>
    <row r="181" ht="13.2" customHeight="1" s="49">
      <c r="A181" s="37" t="n">
        <v>179</v>
      </c>
      <c r="B181" s="38" t="inlineStr">
        <is>
          <t>คำถามต่อจากสถานการณ์เคสตกขาวสีเขียวเหลืองมีฟองถามว่าข้อใดเป็นปัจจัยที่ทำให้ติดเชื้อดังกล่าว ตัวเลือก</t>
        </is>
      </c>
      <c r="C181" s="38" t="n"/>
      <c r="D181" s="38" t="inlineStr">
        <is>
          <t>Infectious Diseases</t>
        </is>
      </c>
      <c r="E181" s="38" t="inlineStr">
        <is>
          <t>ใส่เสื้อผ้า</t>
        </is>
      </c>
      <c r="F181" s="38" t="inlineStr">
        <is>
          <t>Metronidazole 400 mg TID</t>
        </is>
      </c>
      <c r="G181" s="38" t="inlineStr">
        <is>
          <t>Nitrofurantoin 100 mg BID</t>
        </is>
      </c>
      <c r="H181" s="38" t="inlineStr">
        <is>
          <t>Tenofovir/Emtricitabine 300/200 mg OD</t>
        </is>
      </c>
      <c r="I181" s="37" t="inlineStr">
        <is>
          <t>1</t>
        </is>
      </c>
      <c r="J181" s="38" t="inlineStr">
        <is>
          <t>✅ คำตอบที่ถูกต้อง: ข้อ ก. Infectious Diseases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ข. (ใส่เสื้อผ้า): การสวมใส่เสื้อผ้าทั่วไปไม่ใช่ปัจจัยเสี่ยงของการติดเชื้อ Trichomonas vaginalis ซึ่งเป็นการติดเชื้อโปรโตซัวผ่านการมีเพศสัมพันธ์เป็นหลัก
• ข้อ ค. (Metronidazole 400 mg TID): Metronidazole 400 mg TID เป็นสูตรยาทางเลือกในการรักษาการติดเชื้อ Trichomoniasis ไม่ใช่ปัจจัยเสี่ยงที่ทำให้เกิดการติดเชื้อ
• ข้อ ง. (Nitrofurantoin 100 mg BID): Nitrofurantoin เป็นยาฆ่าเชื้อแบคทีเรียในทางเดินปัสสาวะสำหรับโรคกระเพาะปัสสาวะอักเสบ ไม่มีบทบาทต่อพยาธิกำเนิดของการติดเชื้อในช่องคลอด
• ข้อ จ. (Tenofovir/Emtricitabine 300/200 mg OD): Tenofovir/Emtricitabine เป็นสูตรยาต้านไวรัสสำหรับ HIV PrEP หรือการรักษา HIV ไม่มีความเกี่ยวข้องกับความเสี่ยงต่อการติดเชื้อ Trichomonas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1" s="38" t="n"/>
      <c r="L181" s="39" t="inlineStr">
        <is>
          <t>STDs &amp; vaginitis</t>
        </is>
      </c>
      <c r="M181" s="39" t="inlineStr">
        <is>
          <t>Infectious Diseases</t>
        </is>
      </c>
      <c r="N181" s="38" t="inlineStr">
        <is>
          <t>PLE-CC1 ปี 2566 Day 2 ข้อ 66</t>
        </is>
      </c>
      <c r="O181" s="39" t="n"/>
      <c r="P181" s="39" t="n"/>
    </row>
    <row r="182" ht="13.2" customHeight="1" s="49">
      <c r="A182" s="37" t="n">
        <v>180</v>
      </c>
      <c r="B182" s="38" t="inlineStr">
        <is>
          <t>Aprepitant + Ondansetron + Dexamethasone</t>
        </is>
      </c>
      <c r="C182" s="38" t="n"/>
      <c r="D182" s="38" t="inlineStr">
        <is>
          <t>Infectious Diseases</t>
        </is>
      </c>
      <c r="E182" s="38" t="inlineStr">
        <is>
          <t>Tenofovir/Emtricitabine 300/200 mg OD</t>
        </is>
      </c>
      <c r="F182" s="38" t="inlineStr">
        <is>
          <t>Dolutegravir 50 mg OD</t>
        </is>
      </c>
      <c r="G182" s="38" t="inlineStr">
        <is>
          <t>Vancomycin 1 g IV Q12H</t>
        </is>
      </c>
      <c r="H182" s="38" t="inlineStr">
        <is>
          <t>Meropenem 1 g IV Q8H</t>
        </is>
      </c>
      <c r="I182" s="37" t="inlineStr">
        <is>
          <t>5</t>
        </is>
      </c>
      <c r="J182"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(Infectious Diseases): Infectious Diseases เป็นชื่อหมวดวิชา ไม่ใช่รายการยาหรือสารบำบัดรักษาทางคลินิก จึงไม่สามารถใช้เป็นคำตอบทางการแพทย์ได้
• ข้อ ข. (Tenofovir/Emtricitabine 300/200 mg OD): Tenofovir/Emtricitabine เป็นยาต้านไวรัสกลุ่ม NRTI สำหรับการรักษาและป้องกัน HIV ไม่เกี่ยวข้องกับสูตรป้องกันอาการคลื่นไส้อาเจียนจากเคมีบำบัดหรือการต้านแบคทีเรีย
• ข้อ ค. (Dolutegravir 50 mg OD): Dolutegravir เป็นยาต้านไวรัสกลุ่ม INSTI ใช้รักษาการติดเชื้อ HIV ไม่มีฤทธิ์ต้านอาการคลื่นไส้อาเจียนหรือรักษาแบคทีเรียรุนแรง
• ข้อ ง. (Vancomycin 1 g IV Q12H): Vancomycin เป็นยาปฏิชีวนะกลุ่ม Glycopeptide ที่ออกฤทธิ์เฉพาะต่อแบคทีเรียแกรมบวก เช่น MRSA และ Enterococcus ไม่ครอบคลุมแบคทีเรียแกรมลบ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2" s="38" t="n"/>
      <c r="L182" s="39" t="inlineStr">
        <is>
          <t>HIV infection</t>
        </is>
      </c>
      <c r="M182" s="39" t="inlineStr">
        <is>
          <t>Infectious Diseases</t>
        </is>
      </c>
      <c r="N182" s="38" t="inlineStr">
        <is>
          <t>PLE-CC1 ปี 2566 Day 2 ข้อ 5</t>
        </is>
      </c>
      <c r="O182" s="39" t="n"/>
      <c r="P182" s="39" t="n"/>
    </row>
    <row r="183" ht="13.2" customHeight="1" s="49">
      <c r="A183" s="37" t="n">
        <v>181</v>
      </c>
      <c r="B183" s="38"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38" t="n"/>
      <c r="D183" s="38" t="inlineStr">
        <is>
          <t>Venlafaxine</t>
        </is>
      </c>
      <c r="E183" s="38" t="inlineStr">
        <is>
          <t>NSAIDs สักตัว ลืมชื่อ (น;าจะ naproxen ไม;ก็ diclofenac)</t>
        </is>
      </c>
      <c r="F183" s="38" t="inlineStr">
        <is>
          <t>[NEED_REVIEW]</t>
        </is>
      </c>
      <c r="G183" s="38" t="inlineStr">
        <is>
          <t>[NEED_REVIEW]</t>
        </is>
      </c>
      <c r="H183" s="38" t="inlineStr">
        <is>
          <t>[NEED_REVIEW]</t>
        </is>
      </c>
      <c r="I183" s="37" t="inlineStr">
        <is>
          <t>1</t>
        </is>
      </c>
      <c r="J183" s="38" t="inlineStr">
        <is>
          <t>✅ คำตอบที่ถูกต้อง: ข้อ ก. Venlafaxine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(แนวทางการวินิจฉัยและรักษาโรคติดเชื้อในประเทศไทย พ.ศ. 2563 (สมาคมโรคติดเชื้อแห่งประเทศไทย)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3" s="38" t="n"/>
      <c r="L183" s="39" t="inlineStr">
        <is>
          <t>HIV infection</t>
        </is>
      </c>
      <c r="M183" s="39" t="inlineStr">
        <is>
          <t>Infectious Diseases</t>
        </is>
      </c>
      <c r="N183" s="38" t="inlineStr">
        <is>
          <t>PLE_CC1_2565_Day1_Key ข้อ 12</t>
        </is>
      </c>
      <c r="O183" s="39" t="n"/>
      <c r="P183" s="39" t="n"/>
      <c r="Q183" s="2" t="n"/>
    </row>
    <row r="184" ht="13.2" customHeight="1" s="49">
      <c r="A184" s="37" t="n">
        <v>182</v>
      </c>
      <c r="B184" s="38" t="inlineStr">
        <is>
          <t>ต;อมาผูป%วยไปตรวจที่โรงพยาบาล พบว;าติดเชื้อ H. pylori ในทางเดินอาหาร ขอใดเปMนสูตรยาที่ควรใหกับ ผูป%วยรายนี้ Triple therapy (1st line)</t>
        </is>
      </c>
      <c r="C184" s="38" t="n"/>
      <c r="D184" s="38" t="inlineStr">
        <is>
          <t>Amoxicillin + Clarithromycin + Omeprazole for 14 days</t>
        </is>
      </c>
      <c r="E184" s="38" t="inlineStr">
        <is>
          <t>Amoxicillin + Metronidazole + Omeprazole for 14 days</t>
        </is>
      </c>
      <c r="F184" s="38" t="inlineStr">
        <is>
          <t>[NEED_REVIEW]</t>
        </is>
      </c>
      <c r="G184" s="38" t="inlineStr">
        <is>
          <t>[NEED_REVIEW]</t>
        </is>
      </c>
      <c r="H184" s="38" t="inlineStr">
        <is>
          <t>[NEED_REVIEW]</t>
        </is>
      </c>
      <c r="I184" s="37" t="inlineStr">
        <is>
          <t>1</t>
        </is>
      </c>
      <c r="J184" s="38" t="inlineStr">
        <is>
          <t>✅ คำตอบที่ถูกต้อง: ข้อ ก. Amoxicillin + Clarithromycin + Omeprazole for 14 days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(แนวทางการวินิจฉัยและรักษาโรคติดเชื้อในประเทศไทย พ.ศ. 2563 (สมาคมโรคติดเชื้อแห่งประเทศไทย)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4" s="38" t="n"/>
      <c r="L184" s="39" t="inlineStr">
        <is>
          <t>HIV infection</t>
        </is>
      </c>
      <c r="M184" s="39" t="inlineStr">
        <is>
          <t>Infectious Diseases</t>
        </is>
      </c>
      <c r="N184" s="38" t="inlineStr">
        <is>
          <t>PLE_CC1_2565_Day1_Key ข้อ 28</t>
        </is>
      </c>
      <c r="O184" s="39" t="n"/>
      <c r="P184" s="39" t="n"/>
      <c r="Q184" s="2" t="n"/>
    </row>
    <row r="185" ht="13.2" customHeight="1" s="49">
      <c r="A185" s="37" t="n">
        <v>183</v>
      </c>
      <c r="B185" s="38" t="inlineStr">
        <is>
          <t>physicochemical properties แบบไหนทำใหtransdermal patch ออกฤทธิ์ดีที่สุด …………………..………………………………..………………………………..………………………………..……………………………….. ………………………………..………………………………..………………………………..………………………………..…………………… Hint: Choice เปMน Molecular weight, Melting po Low molecular weight (&lt;600Da) Lipophilic and Efﬁcacious at low dose Low melting point LogK 1.0-4</t>
        </is>
      </c>
      <c r="C185" s="38" t="n"/>
      <c r="D185" s="38" t="inlineStr">
        <is>
          <t>Atopic dermatitis</t>
        </is>
      </c>
      <c r="E185" s="38" t="inlineStr">
        <is>
          <t>Contact dermatitis</t>
        </is>
      </c>
      <c r="F185" s="38" t="inlineStr">
        <is>
          <t>Scabies</t>
        </is>
      </c>
      <c r="G185" s="38" t="inlineStr">
        <is>
          <t>Pediculosis Pubis</t>
        </is>
      </c>
      <c r="H185" s="38" t="inlineStr">
        <is>
          <t>[NEED_REVIEW]</t>
        </is>
      </c>
      <c r="I185" s="37" t="inlineStr">
        <is>
          <t>1</t>
        </is>
      </c>
      <c r="J185" s="38" t="inlineStr">
        <is>
          <t>✅ คำตอบที่ถูกต้อง: ข้อ ก. Atopic dermatitis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5" s="38" t="n"/>
      <c r="L185" s="39" t="inlineStr">
        <is>
          <t>HIV infection</t>
        </is>
      </c>
      <c r="M185" s="39" t="inlineStr">
        <is>
          <t>Infectious Diseases</t>
        </is>
      </c>
      <c r="N185" s="38" t="inlineStr">
        <is>
          <t>PLE_CC1_2565_Day1_Key ข้อ 48</t>
        </is>
      </c>
      <c r="O185" s="39" t="n"/>
      <c r="P185" s="39" t="n"/>
      <c r="Q185" s="2" t="n"/>
    </row>
    <row r="186" ht="13.2" customHeight="1" s="49">
      <c r="A186" s="37" t="n">
        <v>184</v>
      </c>
      <c r="B186" s="38" t="inlineStr">
        <is>
          <t>part อื่นๆ</t>
        </is>
      </c>
      <c r="C186" s="38" t="n"/>
      <c r="D186" s="38" t="inlineStr">
        <is>
          <t>Infectious Diseases</t>
        </is>
      </c>
      <c r="E186" s="38" t="inlineStr">
        <is>
          <t>Nitrofurantoin 100 mg BID</t>
        </is>
      </c>
      <c r="F186" s="38" t="inlineStr">
        <is>
          <t>Tenofovir/Emtricitabine 300/200 mg OD</t>
        </is>
      </c>
      <c r="G186" s="38" t="inlineStr">
        <is>
          <t>Dolutegravir 50 mg OD</t>
        </is>
      </c>
      <c r="H186" s="38" t="inlineStr">
        <is>
          <t>Vancomycin 1 g IV Q12H</t>
        </is>
      </c>
      <c r="I186" s="37" t="inlineStr">
        <is>
          <t>1</t>
        </is>
      </c>
      <c r="J18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6" s="38" t="n"/>
      <c r="L186" s="39" t="inlineStr">
        <is>
          <t>HIV infection</t>
        </is>
      </c>
      <c r="M186" s="39" t="inlineStr">
        <is>
          <t>Infectious Diseases</t>
        </is>
      </c>
      <c r="N186" s="38" t="inlineStr">
        <is>
          <t>PLE_CC1_2565_Day1_Key ข้อ 20</t>
        </is>
      </c>
      <c r="O186" s="39" t="n"/>
      <c r="P186" s="39" t="n"/>
    </row>
    <row r="187" ht="13.2" customHeight="1" s="49">
      <c r="A187" s="37" t="n">
        <v>185</v>
      </c>
      <c r="B187" s="38"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38" t="n"/>
      <c r="D187" s="38" t="inlineStr">
        <is>
          <t>ยาเปQนรูปแบบ ophthalmic suspension</t>
        </is>
      </c>
      <c r="E187" s="38" t="inlineStr">
        <is>
          <t>ไม-จำเปQนต$องใส- preservative เพราะยาตา sterile อยู-แล$ว</t>
        </is>
      </c>
      <c r="F187" s="38" t="inlineStr">
        <is>
          <t>ต$องปรับ pH ให$เท-ากับน้ำตา คือ pH 7.4</t>
        </is>
      </c>
      <c r="G187" s="38" t="inlineStr">
        <is>
          <t>ต$องปรับ pH 7.4 เพื่อให$เปQน isotonic</t>
        </is>
      </c>
      <c r="H187" s="38" t="inlineStr">
        <is>
          <t>ใช$ NaCl ในการทำให$สารละลายเปQน isotonic solution</t>
        </is>
      </c>
      <c r="I187" s="37" t="inlineStr">
        <is>
          <t>1</t>
        </is>
      </c>
      <c r="J187" s="38" t="inlineStr">
        <is>
          <t>✅ คำตอบที่ถูกต้อง: ข้อ ก. ยาเปQนรูปแบบ ophthalmic suspension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(ไม-จำเปQนต$องใส-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เพื่อให$เปQน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ในการทำให$สารละลายเปQน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87" s="38" t="n"/>
      <c r="L187" s="39" t="inlineStr">
        <is>
          <t>HIV infection</t>
        </is>
      </c>
      <c r="M187" s="39" t="inlineStr">
        <is>
          <t>Infectious Diseases</t>
        </is>
      </c>
      <c r="N187" s="38" t="inlineStr">
        <is>
          <t>PLE_CC1_2565_Day2_Key ข้อ 42</t>
        </is>
      </c>
      <c r="O187" s="39" t="n"/>
      <c r="P187" s="39" t="n"/>
      <c r="Q187" s="2" t="n"/>
    </row>
    <row r="188" ht="13.2" customHeight="1" s="49">
      <c r="A188" s="37" t="n">
        <v>186</v>
      </c>
      <c r="B188" s="38" t="inlineStr">
        <is>
          <t>ดื้อยา isoniazid, rifampicin จัดเปQนแบบใด</t>
        </is>
      </c>
      <c r="C188" s="38" t="n"/>
      <c r="D188" s="38" t="inlineStr">
        <is>
          <t>poly-drug resistance TB</t>
        </is>
      </c>
      <c r="E188" s="38" t="inlineStr">
        <is>
          <t>mono resistance TB</t>
        </is>
      </c>
      <c r="F188" s="38" t="inlineStr">
        <is>
          <t>MDR-TB</t>
        </is>
      </c>
      <c r="G188" s="38" t="inlineStr">
        <is>
          <t>Pre-XDR-TB</t>
        </is>
      </c>
      <c r="H188" s="38" t="inlineStr">
        <is>
          <t>XDR-TB สูตรตำรับ Rifampicin capsule 1.2 g Glycerin PEG 400 Sorbitol solution Ascorbic acid EDTA</t>
        </is>
      </c>
      <c r="I188" s="37" t="inlineStr">
        <is>
          <t>1</t>
        </is>
      </c>
      <c r="J188" s="38"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ซึ่งเป็นคำนิยามที่ถูกต้องตามมาตรฐานสากล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t>
        </is>
      </c>
      <c r="K188" s="38" t="n"/>
      <c r="L188" s="39" t="inlineStr">
        <is>
          <t>Tuberculosis</t>
        </is>
      </c>
      <c r="M188" s="39" t="inlineStr">
        <is>
          <t>Infectious Diseases</t>
        </is>
      </c>
      <c r="N188" s="38" t="inlineStr">
        <is>
          <t>PLE_CC1_2565_Day2_Key ข้อ 55</t>
        </is>
      </c>
      <c r="O188" s="39" t="n"/>
      <c r="P188" s="39" t="n"/>
      <c r="Q188" s="2" t="n"/>
    </row>
    <row r="189" ht="13.2" customHeight="1" s="49">
      <c r="A189" s="37" t="n">
        <v>187</v>
      </c>
      <c r="B189" s="38" t="inlineStr">
        <is>
          <t>ผู$ป&amp;วยควรได$รับยาต$านวัณโรคสูตรใดเปQนทางเลือกแรก ………………………………………………………………………………………………………………………………………………………… …………………………………………………………………………………………………………………………………………………………..</t>
        </is>
      </c>
      <c r="C189" s="38" t="n"/>
      <c r="D189" s="38" t="inlineStr">
        <is>
          <t>Infectious Diseases</t>
        </is>
      </c>
      <c r="E189" s="38" t="inlineStr">
        <is>
          <t>Azithromycin 500 mg OD</t>
        </is>
      </c>
      <c r="F189" s="38" t="inlineStr">
        <is>
          <t>Doxycycline 100 mg BID</t>
        </is>
      </c>
      <c r="G189" s="38" t="inlineStr">
        <is>
          <t>Cotrimoxazole 160/800 mg BID</t>
        </is>
      </c>
      <c r="H189" s="38" t="inlineStr">
        <is>
          <t>Metronidazole 400 mg TID</t>
        </is>
      </c>
      <c r="I189" s="37" t="inlineStr">
        <is>
          <t>1</t>
        </is>
      </c>
      <c r="J189"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89" s="38" t="n"/>
      <c r="L189" s="39" t="inlineStr">
        <is>
          <t>Tuberculosis</t>
        </is>
      </c>
      <c r="M189" s="39" t="inlineStr">
        <is>
          <t>Infectious Diseases</t>
        </is>
      </c>
      <c r="N189" s="38" t="inlineStr">
        <is>
          <t>PLE_CC1_2565_Day2_Key ข้อ 48</t>
        </is>
      </c>
      <c r="O189" s="39" t="n"/>
      <c r="P189" s="39" t="n"/>
    </row>
    <row r="190" ht="13.2" customHeight="1" s="49">
      <c r="A190" s="37" t="n">
        <v>188</v>
      </c>
      <c r="B190" s="38" t="inlineStr">
        <is>
          <t>เกี่ยวกับติดเชื้อราในช-องคลอด ข$อใดเหมาะสมที่จะแนะนำในการใช$ยากับผู$ป&amp;วยรายนี้ STI management guideline 2024 Vaginal candidiasis</t>
        </is>
      </c>
      <c r="C190" s="38" t="n"/>
      <c r="D190" s="38" t="inlineStr">
        <is>
          <t>ให$ใช$ clotrimazole เหน็บร-วมด$วย</t>
        </is>
      </c>
      <c r="E190" s="38" t="inlineStr">
        <is>
          <t>ดื่มน้ำ cranberry เพื่อป¢องกันการกลับเปQนซ้ำ</t>
        </is>
      </c>
      <c r="F190" s="38" t="inlineStr">
        <is>
          <t>หลีกเลี่ยงการมีเพศสัมพันธ6 จนกว-าตกขาวจะหาย</t>
        </is>
      </c>
      <c r="G190" s="38" t="inlineStr">
        <is>
          <t>ให$สวนล$างช-องคลอดด$วย lactic acid เพื่อป¢องกันการกลับมาเปQนซ้ำ</t>
        </is>
      </c>
      <c r="H190" s="38" t="inlineStr">
        <is>
          <t>หลีกเลี่ยงการกินยาร-วมกับนมหรือยาลดกรด</t>
        </is>
      </c>
      <c r="I190" s="37" t="inlineStr">
        <is>
          <t>1</t>
        </is>
      </c>
      <c r="J190" s="38" t="inlineStr">
        <is>
          <t>✅ คำตอบที่ถูกต้อง: ข้อ ก. ให$ใช$ clotrimazole เหน็บร-วมด$วย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เพื่อป¢องกันการกลับเปQนซ้ำ):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เพื่อป¢องกันการกลับมาเปQนซ้ำ):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0" s="38" t="n"/>
      <c r="L190" s="39" t="inlineStr">
        <is>
          <t>HIV infection</t>
        </is>
      </c>
      <c r="M190" s="39" t="inlineStr">
        <is>
          <t>Infectious Diseases</t>
        </is>
      </c>
      <c r="N190" s="38" t="inlineStr">
        <is>
          <t>PLE_CC1_2565_Day2_Key ข้อ 63</t>
        </is>
      </c>
      <c r="O190" s="39" t="n"/>
      <c r="P190" s="39" t="n"/>
      <c r="Q190" s="2" t="n"/>
    </row>
    <row r="191" ht="13.2" customHeight="1" s="49">
      <c r="A191" s="37" t="n">
        <v>189</v>
      </c>
      <c r="B191" s="38"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t>
        </is>
      </c>
      <c r="C191" s="38" t="n"/>
      <c r="D191" s="38" t="inlineStr">
        <is>
          <t>ขายยาปลอม</t>
        </is>
      </c>
      <c r="E191" s="38" t="inlineStr">
        <is>
          <t>ขายยาผิดมาตรฐาน</t>
        </is>
      </c>
      <c r="F191" s="38" t="inlineStr">
        <is>
          <t>ไม-ควบคุมการขายให$เปQนไปตาม....</t>
        </is>
      </c>
      <c r="G191" s="38" t="inlineStr">
        <is>
          <t>[NEED_REVIEW]</t>
        </is>
      </c>
      <c r="H191" s="38" t="inlineStr">
        <is>
          <t>[NEED_REVIEW]</t>
        </is>
      </c>
      <c r="I191" s="37" t="inlineStr">
        <is>
          <t>1</t>
        </is>
      </c>
      <c r="J191" s="38" t="inlineStr">
        <is>
          <t>✅ คำตอบที่ถูกต้อง: ข้อ ก. ขายยาปลอม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(ไม-ควบคุมการขายให$เปQนไปตาม....):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1" s="38" t="n"/>
      <c r="L191" s="39" t="inlineStr">
        <is>
          <t>HIV infection</t>
        </is>
      </c>
      <c r="M191" s="39" t="inlineStr">
        <is>
          <t>Infectious Diseases</t>
        </is>
      </c>
      <c r="N191" s="38" t="inlineStr">
        <is>
          <t>PLE_CC1_2565_Day2_Key ข้อ 64</t>
        </is>
      </c>
      <c r="O191" s="39" t="n"/>
      <c r="P191" s="39" t="n"/>
      <c r="Q191" s="2" t="n"/>
    </row>
    <row r="192" ht="13.2" customHeight="1" s="49">
      <c r="A192" s="37" t="n">
        <v>190</v>
      </c>
      <c r="B192" s="38" t="inlineStr">
        <is>
          <t>TB 2 เคส (เคสนึงเริ่มยาสูตรไหน อีก เคสเปsนผื่นแพuยา)</t>
        </is>
      </c>
      <c r="C192" s="38" t="n"/>
      <c r="D192" s="38" t="inlineStr">
        <is>
          <t>Infectious Diseases</t>
        </is>
      </c>
      <c r="E192" s="38" t="inlineStr">
        <is>
          <t>Cefazolin 1 g IV Q8H</t>
        </is>
      </c>
      <c r="F192" s="38" t="inlineStr">
        <is>
          <t>Amoxicillin/Clavulanate 1 g BID</t>
        </is>
      </c>
      <c r="G192" s="38" t="inlineStr">
        <is>
          <t>Ceftriaxone 1 g IV OD</t>
        </is>
      </c>
      <c r="H192" s="38" t="inlineStr">
        <is>
          <t>Ciprofloxacin 500 mg BID</t>
        </is>
      </c>
      <c r="I192" s="37" t="inlineStr">
        <is>
          <t>1</t>
        </is>
      </c>
      <c r="J192"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2" s="38" t="n"/>
      <c r="L192" s="39" t="inlineStr">
        <is>
          <t>Tuberculosis</t>
        </is>
      </c>
      <c r="M192" s="39" t="inlineStr">
        <is>
          <t>Infectious Diseases</t>
        </is>
      </c>
      <c r="N192" s="38" t="inlineStr">
        <is>
          <t>PLE_CC1_2565_Day2_Key ข้อ 16</t>
        </is>
      </c>
      <c r="O192" s="39" t="n"/>
      <c r="P192" s="39" t="n"/>
    </row>
    <row r="193" ht="13.2" customHeight="1" s="49">
      <c r="A193" s="37" t="n">
        <v>191</v>
      </c>
      <c r="B193" s="38" t="inlineStr">
        <is>
          <t>ผู้ป่วยได้รับยารักษาโรค TB สูตร HRZE มาแล้ว 2 สัปดาห์ แต่มีค่า ALT สูงตั้งแต่ก่อนใช้ยา (มีค่าปกติของ ALT ให้) อยากทราบว่าการใช้ยาสูตรนี้เหมาะสมหรือไม่</t>
        </is>
      </c>
      <c r="C193" s="38" t="n"/>
      <c r="D193" s="38" t="inlineStr">
        <is>
          <t>Infectious Diseases</t>
        </is>
      </c>
      <c r="E193" s="38" t="inlineStr">
        <is>
          <t>เหมาะสม</t>
        </is>
      </c>
      <c r="F193" s="38" t="inlineStr">
        <is>
          <t>ไม่เหมาะสม ควรใช้ HRZES</t>
        </is>
      </c>
      <c r="G193" s="38" t="inlineStr">
        <is>
          <t>ไม่เหมาะสม ควรใช้สูตรยาทางเลือก</t>
        </is>
      </c>
      <c r="H193" s="38" t="inlineStr">
        <is>
          <t>Meropenem 1 g IV Q8H</t>
        </is>
      </c>
      <c r="I193" s="37" t="inlineStr">
        <is>
          <t>1</t>
        </is>
      </c>
      <c r="J193"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ดังนั้นถ้าพิจารณาว่าเหมาะสมมั้ยที่จะเริ่มด้วยยาสูตรนี้ จะต้องดูว่าระดับ ALT มากกว่าหรือน้อยกว่า 3 เท่าของค่าปกติ นอกเหนือจากอาการเหล่านี้ ได้แก่ เบื่ออาหาร คลื่นไส้ ปวดท้อง ปวดข้อ อาการแสบ ชา เจ็บปลายมือปลายเท้า ง่วงนอน ปัสสาวะสีส้มแดง หรืออาการคล้ายไข้หวัดใหญ่ เป็น ADR ที่ไม่รุนแรง สามารถให้ยาต่อได้โดยตรวจสอบขนาดยา https://www.thainapci.org/2021/11/แนวทางการควบคุมวัณโรคประเทศไทย-พ.ศ.-2564.pdf แนวทางการควบคุมวัณโรคประเทศไทย พ.ศ. 2564
🔍 ข้ออื่นผิดเพราะอะไร:
• ข้อ ข. (เหมาะสม): การใช้สูตรมาตรฐาน HRZE ต่อไปโดยไม่ประเมินระดับเอนไซม์ตับอย่างรอบคอบอาจเสี่ยงต่อ severe drug-induced liver injury หากค่าเอนไซม์ ALT สูงเกินเกณฑ์ปลอดภัย
• ข้อ ค. (ไม่เหมาะสม ควรใช้ HRZES): การเปลี่ยนเป็นสูตร HRZES เพิ่มยาฉีด Streptomycin เข้าไป ไม่ได้ช่วยลดความเสี่ยงต่อพิษที่ตับ เนื่องจากยังมียากลุ่ม hepatotoxic drugs ครบทั้ง H, R และ Z
• ข้อ ง. (ไม่เหมาะสม ควรใช้ E-ofloxacin-S d) ไม่เหมาะสม ควรใช้ E-levofloxacin-S ยา 3 ตัว ได้แก่ H, R และ Z สามารถทำให้ค่า ALT สูงขึ้น (H) และทำให้เกิดภาวะตับอักเสบ (R, Z) ได้ เฉลยข้อสอบ PLE-CC1 ครั้งที่12/2564 วันที่ 1-2 : MUPY 50 เฉลยข้อสอบ PLE-CC1 ครั้งที่12/2564 วันที่ 1-2 : MUPY 50 และอาจให้ยากลุ่มอื่นเพื่อบรรเทาอาการ แต่ถ้ามีอาการรุนแรงขึ้นสามารถหยุดยาและรีบไปพบแพทย์ต่อไป จาก: หน้า 60 ตารางที่ 5.2): การปรับสูตรตัดยาที่มีพิษต่อตับออกแล้วแทนด้วย Levofloxacin หรือยากลุ่ม Fluoroquinolones มีความจำเป็นเฉพาะเมื่อผู้ป่วยเกิดตับอักเสบรุนแรงจนต้องหยุดยากลุ่มเสี่ยง
• ข้อ จ. (Meropenem 1 g IV Q8H): Meropenem เป็นยาปฏิชีวนะกลุ่ม Carbapenem สำหรับการติดเชื้อแบคทีเรียแกรมลบดื้อยาในโรงพยาบาล ไม่มีบทบาทในการรักษาการติดเชื้อวัณโรค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3" s="38" t="n"/>
      <c r="L193" s="39" t="inlineStr">
        <is>
          <t>Tuberculosis</t>
        </is>
      </c>
      <c r="M193" s="39" t="inlineStr">
        <is>
          <t>Infectious Diseases</t>
        </is>
      </c>
      <c r="N193" s="38" t="inlineStr">
        <is>
          <t>PLE_CC1_2564_All_Key ข้อ 47</t>
        </is>
      </c>
      <c r="O193" s="39" t="n"/>
      <c r="P193" s="39" t="n"/>
    </row>
    <row r="194" ht="13.2" customHeight="1" s="49">
      <c r="A194" s="37" t="n">
        <v>192</v>
      </c>
      <c r="B194" s="38" t="inlineStr">
        <is>
          <t>ถ้าจะเพิ่ม compliance ให้ผู้ป่วย TB ที่ใช้ยา 4 ตัว ข้อใดไม่ควรทำที่สุด</t>
        </is>
      </c>
      <c r="C194" s="38" t="n"/>
      <c r="D194" s="38" t="inlineStr">
        <is>
          <t>Infectious Diseases</t>
        </is>
      </c>
      <c r="E194" s="38" t="inlineStr">
        <is>
          <t>ตอกยา 4 ชั้น</t>
        </is>
      </c>
      <c r="F194" s="38" t="inlineStr">
        <is>
          <t>ทำเป็นเคลือบให้ยาปลดปล่อยมาทีละชั้น</t>
        </is>
      </c>
      <c r="G194" s="38" t="inlineStr">
        <is>
          <t>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t>
        </is>
      </c>
      <c r="H194" s="38" t="inlineStr">
        <is>
          <t>Ceftriaxone 1 g IV OD</t>
        </is>
      </c>
      <c r="I194" s="37" t="inlineStr">
        <is>
          <t>1</t>
        </is>
      </c>
      <c r="J194"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จะต้องใช้สูตรยาที่ลดตัวยาที่มีผลต่อการทำงานของตับลงโดยขึ้นกับระดับความรุนแรงของโรคตับของผู้ป่วยคนนั้น ๆ
🔍 ข้ออื่นผิดเพราะอะไร:
• ข้อ ข. (ตอกยา 4 ชั้น): การตอกยา 4 ชั้นแบบ multi-layer tablet ช่วยแยกตัวยาสำคัญที่ไม่เข้ากันออกจากกันและลดจำนวนเม็ดยาที่ผู้ป่วยต้องรับประทาน จึงช่วยเพิ่ม compliance ได้จริง
• ข้อ ค. (ทำเป็นเคลือบให้ยาปลดปล่อยมาทีละชั้น): การเคลือบให้ยาปลดปล่อยทีละชั้นสามารถควบคุมอัตราการปลดปล่อยตัวยาและลดความถี่ในการบริหารยา ส่งเสริมให้ผู้ป่วยให้ความร่วมมือในการกินยาต่อเนื่อง
• ข้อ ง. (ผสมยารวมกันแบบ reservoir" ถ้าน้อยกว่าสามารถใช้สูตร HRZE ได้แต่ต้องติดตามการทำงานของตับ แต่ถ้าระดับ ALT ในเลือดมากกว่า 3 เท่าของค่าปกติ และมีอาการแสดงของโรคตับเรื้อรังร่วมด้วย ตามลำดับดังนี้): การผสมตัวยารวมกันแบบ reservoir device มีความเสี่ยงต่อ dose dumping หากชั้นพอลิเมอร์ชำรุด และอาจส่งผลต่อ bioavailability ของยา Rifampin อย่างมีนัยสำคัญ
• ข้อ จ. (Ceftriaxone 1 g IV OD): Ceftriaxone เป็นยาปฏิชีวนะชนิดฉีดต้านแบคทีเรียทั่วไป ไม่เกี่ยวข้องกับสูตรยาต้านวัณโรคหรือเทคโนโลยีทางเภสัชกรรมเพื่อเพิ่มความร่วมมือในการใช้ยา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4" s="38" t="n"/>
      <c r="L194" s="39" t="inlineStr">
        <is>
          <t>Tuberculosis</t>
        </is>
      </c>
      <c r="M194" s="39" t="inlineStr">
        <is>
          <t>Infectious Diseases</t>
        </is>
      </c>
      <c r="N194" s="38" t="inlineStr">
        <is>
          <t>PLE_CC1_2564_All_Key ข้อ 49</t>
        </is>
      </c>
      <c r="O194" s="39" t="n"/>
      <c r="P194" s="39" t="n"/>
    </row>
    <row r="195" ht="13.2" customHeight="1" s="49">
      <c r="A195" s="37" t="n">
        <v>193</v>
      </c>
      <c r="B195" s="38" t="inlineStr">
        <is>
          <t>ข้อใดต่อไปนี้ผิดเกี่ยวกับการใช้ยารักษาโรค TB (ถามเกี่ยวกับอาการข้างเคียงของยาที่ควรรีบไปพบแพทย์)</t>
        </is>
      </c>
      <c r="C195" s="38" t="n"/>
      <c r="D195" s="38" t="inlineStr">
        <is>
          <t>Infectious Diseases</t>
        </is>
      </c>
      <c r="E195" s="38" t="inlineStr">
        <is>
          <t>มีอาการทางตาให้รีบไปพบแพทย์</t>
        </is>
      </c>
      <c r="F195" s="38" t="inlineStr">
        <is>
          <t>คลื่นไส้ อาเจียน เบื่ออาหาร มีไข้ ให้รีบไปพบแพทย์</t>
        </is>
      </c>
      <c r="G195" s="38" t="inlineStr">
        <is>
          <t>ปัสสาวะสีส้ม น้ำตาสีส้ม ให้รีบไปพบแพทย์</t>
        </is>
      </c>
      <c r="H195" s="38" t="inlineStr">
        <is>
          <t>Nitrofurantoin 100 mg BID</t>
        </is>
      </c>
      <c r="I195" s="37" t="inlineStr">
        <is>
          <t>1</t>
        </is>
      </c>
      <c r="J195" s="38" t="inlineStr">
        <is>
          <t>✅ คำตอบที่ถูกต้อง: ข้อ ก. Infectious Diseases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c) ผสมยารวมกันแบบ reservoir ข้อนี้คิดว่านะจะหมายถึงการทำเป็นเม็ดยาเคลือบแบบ reservoir device คือข้างในเป็น reservoir มียากระจายอยู่ หุ้มด้วย polymer ชนิดไม่ละลายน้ำแบบมีรูพรุน ยาจะค่อย ๆ ปลดปล่อยอออกมาจากรูพรุนนั้น ทำให้ยาออกฤทธิ์นาน และสามารถกำหนด rate ในการปลดปล่อยยาได้ ข้อนี้คิดว่าทำได้แม้ยา TB จะมี PD แบบ conc-
🔍 ข้ออื่นผิดเพราะอะไร:
• ข้อ ข. (มีอาการทางตาให้รีบไปพบแพทย์): อาการทางตาตามัวหรือมองเห็นสีผิดปกติเกิดจากพิษต่อเส้นประสาทตาของ Ethambutol (optic neuritis) ซึ่งเป็นอาการข้างเคียงรุนแรงที่ผู้ป่วยต้องหยุดยาและรีบพบแพทย์ทันที
• ข้อ ค. (คลื่นไส้ อาเจียน เบื่ออาหาร มีไข้ ให้รีบไปพบแพทย์): อาการคลื่นไส้ อาเจียน เบื่ออาหาร และตัวเหลืองตาเหลือง บ่งชี้ถึงภาวะพิษต่อตับจากยา H, R หรือ Z ซึ่งเป็นภาวะฉุกเฉินที่ต้องรีบหยุดยาและไปพบแพทย์ทันที
• ข้อ ง. (ปัสสาวะสีส้ม น้ำตาสีส้ม ให้รีบไปพบแพทย์ ➢ a). ตอกเม็ดยา 4 ชั้น (น่าจะเป็นชั้น ๆ แบบดีคอลเจน) คิดว่าทำได้ เพราะ ยายังสามมารถละลาย และถูกปลดปล่อยออกมาพร้อมกันได้อยู่ dependent ก็สามารถกำหนด rate การปลดปล่อยยาให้สูงเท่าที่เม็ดยาปกติแตกตัวได้ จาก: - https://www.pyomoph.go.th/backoffice/files/40664.pdf - https://ccpe.pharmacycouncil.org/index.php?option=article_detail&amp;subpage=article_detail&amp;id=299 - https://pharmacy.mahidol.ac.th/dic/cpe/img_for_cpepdf/67-1.pdf"): ปัสสาวะ เหงื่อ และน้ำตาสีส้มแดงเป็นผลข้างเคียงปกติที่ไม่อันตรายของยา Rifampin ไม่จำเป็นต้องตื่นตระหนกหรือรีบไปพบแพทย์ เพียงแต่แนะนำให้ผู้ป่วยรับทราบล่วงหน้า
• ข้อ จ. (Nitrofurantoin 100 mg BID): Nitrofurantoin เป็นยาฆ่าเชื้อแบคทีเรียสำหรับโรคทางเดินปัสสาวะอักเสบส่วนล่าง ไม่เกี่ยวข้องกับสูตรยารักษาวัณโรคหรืออาการข้างเคียงของยาต้านวัณโรค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5" s="38" t="n"/>
      <c r="L195" s="39" t="inlineStr">
        <is>
          <t>Tuberculosis</t>
        </is>
      </c>
      <c r="M195" s="39" t="inlineStr">
        <is>
          <t>Infectious Diseases</t>
        </is>
      </c>
      <c r="N195" s="38" t="inlineStr">
        <is>
          <t>PLE_CC1_2564_All_Key ข้อ 48</t>
        </is>
      </c>
      <c r="O195" s="39" t="n"/>
      <c r="P195" s="39" t="n"/>
    </row>
    <row r="196" ht="13.2" customHeight="1" s="49">
      <c r="A196" s="37" t="n">
        <v>194</v>
      </c>
      <c r="B196" s="38" t="inlineStr">
        <is>
          <t>ยาต้านป้องกัน HIV (HIV without opportunity) จากแม่สู่ลูก สูตรแรกที่แนะนำ ยารวมเม็ด (TDF หรือ TAF) + (3TC หรือ FTC) + DTG ในทุกอายุครรภ์ จาก: Thailand National Guidelines on HIV/AIDS Treatment and Prevention 2021/2022</t>
        </is>
      </c>
      <c r="C196" s="38" t="n"/>
      <c r="D196" s="38" t="inlineStr">
        <is>
          <t>Infectious Diseases</t>
        </is>
      </c>
      <c r="E196" s="38" t="inlineStr">
        <is>
          <t>Nitrofurantoin 100 mg BID</t>
        </is>
      </c>
      <c r="F196" s="38" t="inlineStr">
        <is>
          <t>Tenofovir/Emtricitabine 300/200 mg OD</t>
        </is>
      </c>
      <c r="G196" s="38" t="inlineStr">
        <is>
          <t>Dolutegravir 50 mg OD</t>
        </is>
      </c>
      <c r="H196" s="38" t="inlineStr">
        <is>
          <t>Vancomycin 1 g IV Q12H</t>
        </is>
      </c>
      <c r="I196" s="37" t="inlineStr">
        <is>
          <t>1</t>
        </is>
      </c>
      <c r="J196"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6" s="38" t="n"/>
      <c r="L196" s="39" t="inlineStr">
        <is>
          <t>HIV infection</t>
        </is>
      </c>
      <c r="M196" s="39" t="inlineStr">
        <is>
          <t>Infectious Diseases</t>
        </is>
      </c>
      <c r="N196" s="38" t="inlineStr">
        <is>
          <t>PLE_CC1_2564_All_Key ข้อ 75</t>
        </is>
      </c>
      <c r="O196" s="39" t="n"/>
      <c r="P196" s="39" t="n"/>
    </row>
    <row r="197" ht="13.2" customHeight="1" s="49">
      <c r="A197" s="37" t="n">
        <v>195</v>
      </c>
      <c r="B197" s="38" t="inlineStr">
        <is>
          <t>จะเริ่มให้ยากับแม่ได้ตอนไหน เริ่มยาโดยเร็วที่สุดในวันเดียวกันกับการวินิจฉัย ในหญิงตั้งครรภ์ที่ไม่มีอาการของโรคติดเชื้อฉวยโอกาส โดยไม่คำนึงถึงจำนวน CD4 และอายุครรภ์) จาก: Thailand National Guidelines on HIV/AIDS Treatment and Prevention 2021/2022 ..............................................................................................................................................................................................................</t>
        </is>
      </c>
      <c r="C197" s="38" t="n"/>
      <c r="D197" s="38" t="inlineStr">
        <is>
          <t>Infectious Diseases</t>
        </is>
      </c>
      <c r="E197" s="38" t="inlineStr">
        <is>
          <t>Vancomycin 1 g IV Q12H</t>
        </is>
      </c>
      <c r="F197" s="38" t="inlineStr">
        <is>
          <t>Meropenem 1 g IV Q8H</t>
        </is>
      </c>
      <c r="G197" s="38" t="inlineStr">
        <is>
          <t>Cefazolin 1 g IV Q8H</t>
        </is>
      </c>
      <c r="H197" s="38" t="inlineStr">
        <is>
          <t>Amoxicillin/Clavulanate 1 g BID</t>
        </is>
      </c>
      <c r="I197" s="37" t="inlineStr">
        <is>
          <t>1</t>
        </is>
      </c>
      <c r="J197" s="38" t="inlineStr">
        <is>
          <t>✅ คำตอบที่ถูกต้อง: ข้อ ก. Infectious Diseases
💡 Background:
การดูแลผู้ติดเชื้อ HIV เน้นเริ่ม Antiretroviral Therapy (ART) ทันทีเพื่อกด viral load ให้ undetectable (U=U) และฟื้นฟูระบบภูมิคุ้มกัน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7" s="38" t="n"/>
      <c r="L197" s="39" t="inlineStr">
        <is>
          <t>HIV infection</t>
        </is>
      </c>
      <c r="M197" s="39" t="inlineStr">
        <is>
          <t>Infectious Diseases</t>
        </is>
      </c>
      <c r="N197" s="38" t="inlineStr">
        <is>
          <t>PLE_CC1_2564_All_Key ข้อ 76</t>
        </is>
      </c>
      <c r="O197" s="39" t="n"/>
      <c r="P197" s="39" t="n"/>
    </row>
    <row r="198" ht="13.2" customHeight="1" s="49">
      <c r="A198" s="37" t="n">
        <v>196</v>
      </c>
      <c r="B198" s="38" t="inlineStr">
        <is>
          <t>แผลแบบใดไม่ควรให้ยา ATB</t>
        </is>
      </c>
      <c r="C198" s="38" t="n"/>
      <c r="D198" s="38" t="inlineStr">
        <is>
          <t>แผลเปิดขอบเรียบตื้นที่แขน 3 cm</t>
        </is>
      </c>
      <c r="E198" s="38" t="inlineStr">
        <is>
          <t>แผลเปิดขอบเรียบที่ท้อง 3 cm</t>
        </is>
      </c>
      <c r="F198" s="38" t="inlineStr">
        <is>
          <t>แผลเปิดขอบเรียบที่ต้นขา 10 cm</t>
        </is>
      </c>
      <c r="G198" s="38" t="inlineStr">
        <is>
          <t>แผลขอบหยักเลอะดิน</t>
        </is>
      </c>
      <c r="H198" s="38" t="inlineStr">
        <is>
          <t>แผลโดนกัด</t>
        </is>
      </c>
      <c r="I198" s="37" t="inlineStr">
        <is>
          <t>1</t>
        </is>
      </c>
      <c r="J198" s="38"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38" t="n"/>
      <c r="L198" s="39" t="inlineStr">
        <is>
          <t>Tuberculosis</t>
        </is>
      </c>
      <c r="M198" s="39" t="inlineStr">
        <is>
          <t>Infectious Diseases</t>
        </is>
      </c>
      <c r="N198" s="38" t="inlineStr">
        <is>
          <t>PLE_CC1_2564_All_Key ข้อ 89</t>
        </is>
      </c>
      <c r="O198" s="39" t="n"/>
      <c r="P198" s="39" t="n"/>
      <c r="Q198" s="2" t="n"/>
    </row>
    <row r="199" ht="13.2" customHeight="1" s="49">
      <c r="A199" s="37" t="n">
        <v>197</v>
      </c>
      <c r="B199" s="38" t="inlineStr">
        <is>
          <t>ผู้ป่วยติดเชื้อใด</t>
        </is>
      </c>
      <c r="C199" s="38" t="n"/>
      <c r="D199" s="38" t="inlineStr">
        <is>
          <t>E.coli</t>
        </is>
      </c>
      <c r="E199" s="38" t="inlineStr">
        <is>
          <t>Neissera gonorrhea</t>
        </is>
      </c>
      <c r="F199" s="38" t="inlineStr">
        <is>
          <t>Hemophilus ducreyi</t>
        </is>
      </c>
      <c r="G199" s="38" t="inlineStr">
        <is>
          <t>Trichomomas vaginalis</t>
        </is>
      </c>
      <c r="H199" s="38" t="inlineStr">
        <is>
          <t>Herpes simplex type 2 X หË´มนาÆปทาซËาทืกกรณิ ÂวËนาต้จ²ÆดËรงบ¯นืญ´ต ceftriaxone 500 mg IM single dose + Suziabespie and (azithromycin 1g single dose</t>
        </is>
      </c>
      <c r="I199" s="37" t="inlineStr">
        <is>
          <t>1</t>
        </is>
      </c>
      <c r="J199" s="38" t="inlineStr">
        <is>
          <t>✅ คำตอบที่ถูกต้อง: ข้อ ก. E.coli
💡 Background:
การดูแลผู้ติดเชื้อ HIV เน้นเริ่ม Antiretroviral Therapy (ART) ทันทีเพื่อกด viral load ให้ undetectable (U=U) และฟื้นฟูระบบภูมิคุ้มกัน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99" s="38" t="n"/>
      <c r="L199" s="39" t="inlineStr">
        <is>
          <t>HIV infection</t>
        </is>
      </c>
      <c r="M199" s="39" t="inlineStr">
        <is>
          <t>Clinic</t>
        </is>
      </c>
      <c r="N199" s="38" t="inlineStr">
        <is>
          <t>ข้อ 44 (PLE_CC1_2562_Key.md)</t>
        </is>
      </c>
      <c r="O199" s="39" t="n"/>
      <c r="P199" s="39" t="n"/>
    </row>
    <row r="200" ht="13.2" customHeight="1" s="49">
      <c r="A200" s="37" t="n">
        <v>198</v>
      </c>
      <c r="B200" s="38" t="inlineStr">
        <is>
          <t>การตรวจทางห้องปฏิบัติการใดมีเหมาะสมน้อยที่สุด , mossae X veudigerdesi ิg , netstarrine Gi , UTI motigino. isg &amp;IsGase!wrose God virus interne Distants erew we multi nucleated</t>
        </is>
      </c>
      <c r="C200" s="38" t="n"/>
      <c r="D200" s="38" t="inlineStr">
        <is>
          <t>Giemza stain</t>
        </is>
      </c>
      <c r="E200" s="38" t="inlineStr">
        <is>
          <t>Dark field</t>
        </is>
      </c>
      <c r="F200" s="38" t="inlineStr">
        <is>
          <t>Gram strain and culture</t>
        </is>
      </c>
      <c r="G200" s="38" t="inlineStr">
        <is>
          <t>RPR</t>
        </is>
      </c>
      <c r="H200" s="38" t="inlineStr">
        <is>
          <t>VDRL</t>
        </is>
      </c>
      <c r="I200" s="37" t="inlineStr">
        <is>
          <t>1</t>
        </is>
      </c>
      <c r="J200" s="38"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38" t="n"/>
      <c r="L200" s="39" t="inlineStr">
        <is>
          <t>Cystitis</t>
        </is>
      </c>
      <c r="M200" s="39" t="inlineStr">
        <is>
          <t>Clinic</t>
        </is>
      </c>
      <c r="N200" s="38" t="inlineStr">
        <is>
          <t>ข้อ 47 (PLE_CC1_2562_Key.md)</t>
        </is>
      </c>
      <c r="O200" s="39" t="n"/>
      <c r="P200" s="39" t="n"/>
    </row>
    <row r="201" ht="13.2" customHeight="1" s="49">
      <c r="A201" s="37" t="n">
        <v>199</v>
      </c>
      <c r="B201" s="38" t="inlineStr">
        <is>
          <t>หากผู้ป่วยต้องการป้องกันการติดเชื้อ HIV (Prep prophylaxis) ควรได้รับยาสูตรใด giant cell virox drei (WBC verepent ~ I</t>
        </is>
      </c>
      <c r="C201" s="38" t="n"/>
      <c r="D201" s="38" t="inlineStr">
        <is>
          <t>AZT monotherapy</t>
        </is>
      </c>
      <c r="E201" s="38" t="inlineStr">
        <is>
          <t>AZT+3TC</t>
        </is>
      </c>
      <c r="F201" s="38" t="inlineStr">
        <is>
          <t>TDF+FTC</t>
        </is>
      </c>
      <c r="G201" s="38" t="inlineStr">
        <is>
          <t>TDF+3TC+EFV</t>
        </is>
      </c>
      <c r="H201" s="38" t="inlineStr">
        <is>
          <t>d4T+3TC+NVP</t>
        </is>
      </c>
      <c r="I201" s="37" t="inlineStr">
        <is>
          <t>1</t>
        </is>
      </c>
      <c r="J201" s="38" t="inlineStr">
        <is>
          <t>✅ คำตอบที่ถูกต้อง: ข้อ ก. AZT monotherapy
💡 Background:
การดูแลผู้ติดเชื้อ HIV เน้นเริ่ม Antiretroviral Therapy (ART) ทันทีเพื่อกด viral load ให้ undetectable (U=U) และฟื้นฟูระบบภูมิคุ้มกัน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1" s="38" t="n"/>
      <c r="L201" s="39" t="inlineStr">
        <is>
          <t>HIV infection</t>
        </is>
      </c>
      <c r="M201" s="39" t="inlineStr">
        <is>
          <t>Clinic</t>
        </is>
      </c>
      <c r="N201" s="38" t="inlineStr">
        <is>
          <t>ข้อ 48 (PLE_CC1_2562_Key.md)</t>
        </is>
      </c>
      <c r="O201" s="39" t="n"/>
      <c r="P201" s="39" t="n"/>
    </row>
    <row r="202" ht="13.2" customHeight="1" s="49">
      <c r="A202" s="37" t="n">
        <v>200</v>
      </c>
      <c r="B202" s="38" t="inlineStr">
        <is>
          <t>ควรจัดการ การให้ยาอย่างไรกับผู้ป่วย x Tumogross hs isoniazid X X isoniazid X &amp;eied's extensive phase I, R 41862 intensive phase : I , R, ~ 56 Ecwiddie . X --- 1s</t>
        </is>
      </c>
      <c r="C202" s="38" t="n"/>
      <c r="D202" s="38" t="inlineStr">
        <is>
          <t>ให้ยาทุกตัวเหมือนเดิม</t>
        </is>
      </c>
      <c r="E202" s="38" t="inlineStr">
        <is>
          <t>หยุดยา H,R,Z แล้วไปให้ยาตัวอื่นที่ไม่เกิดอาการไม่พึงประสงค์นี้แทน</t>
        </is>
      </c>
      <c r="F202" s="38" t="inlineStr">
        <is>
          <t>หยุดยา H แล้วไปให้ยาตัวอื่นที่ไม่เกิดอาการไม่พึงประสงค์นี้แทน</t>
        </is>
      </c>
      <c r="G202" s="38" t="inlineStr">
        <is>
          <t>หยุดยา R แล้วไปให้ยาตัวอื่นที่ไม่เกิดอาการไม่พึงประสงค์นี้แทน</t>
        </is>
      </c>
      <c r="H202" s="38" t="inlineStr">
        <is>
          <t>หยุดยา E แล้วไปให้ยาตัวอื่นที่ไม่เกิดอาการไม่พึงประสงค์นี้แทน หË´มนาÆปทาซËาทืกกรณิ ÂวËนาต้จ²ÆดËรงบ¯นืญ´ต ~</t>
        </is>
      </c>
      <c r="I202" s="37" t="inlineStr">
        <is>
          <t>1</t>
        </is>
      </c>
      <c r="J202" s="38"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38" t="n"/>
      <c r="L202" s="39" t="inlineStr">
        <is>
          <t>Tuberculosis</t>
        </is>
      </c>
      <c r="M202" s="39" t="inlineStr">
        <is>
          <t>Clinic</t>
        </is>
      </c>
      <c r="N202" s="38" t="inlineStr">
        <is>
          <t>ข้อ 11 (PLE_CC1_2562_Key.md)</t>
        </is>
      </c>
      <c r="O202" s="39" t="n"/>
      <c r="P202" s="39" t="n"/>
    </row>
    <row r="203" ht="13.2" customHeight="1" s="49">
      <c r="A203" s="37" t="n">
        <v>201</v>
      </c>
      <c r="B203" s="38" t="inlineStr">
        <is>
          <t>จงคำนวณ ANC (WBC count 2000, PMN 5%, Band 5%, Eosinophil 1%. Lymphocyte 1) - X reversible</t>
        </is>
      </c>
      <c r="C203" s="38" t="n"/>
      <c r="D203" s="41" t="inlineStr">
        <is>
          <t>50</t>
        </is>
      </c>
      <c r="E203" s="41" t="inlineStr">
        <is>
          <t>100</t>
        </is>
      </c>
      <c r="F203" s="41" t="inlineStr">
        <is>
          <t>150</t>
        </is>
      </c>
      <c r="G203" s="41" t="inlineStr">
        <is>
          <t>200</t>
        </is>
      </c>
      <c r="H203" s="41" t="inlineStr">
        <is>
          <t>240</t>
        </is>
      </c>
      <c r="I203" s="37" t="inlineStr">
        <is>
          <t>1</t>
        </is>
      </c>
      <c r="J203" s="38" t="inlineStr">
        <is>
          <t>✅ คำตอบที่ถูกต้อง: ข้อ ก. 50
💡 Background:
การดูแลผู้ติดเชื้อ HIV เน้นเริ่ม Antiretroviral Therapy (ART) ทันทีเพื่อกด viral load ให้ undetectable (U=U) และฟื้นฟูระบบภูมิคุ้มกัน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3" s="38" t="n"/>
      <c r="L203" s="39" t="inlineStr">
        <is>
          <t>HIV infection</t>
        </is>
      </c>
      <c r="M203" s="39" t="inlineStr">
        <is>
          <t>Clinic</t>
        </is>
      </c>
      <c r="N203" s="38" t="inlineStr">
        <is>
          <t>ข้อ 54 (PLE_CC1_2562_Key.md)</t>
        </is>
      </c>
      <c r="O203" s="39" t="n"/>
      <c r="P203" s="39" t="n"/>
    </row>
    <row r="204" ht="13.2" customHeight="1" s="49">
      <c r="A204" s="37" t="n">
        <v>202</v>
      </c>
      <c r="B204" s="38" t="inlineStr">
        <is>
          <t>จากอาการผูป%วยเกิดจากการติดเชื้อใดมากที่สุด</t>
        </is>
      </c>
      <c r="C204" s="38" t="n"/>
      <c r="D204" s="38" t="inlineStr">
        <is>
          <t>HSV-1</t>
        </is>
      </c>
      <c r="E204" s="38" t="inlineStr">
        <is>
          <t>HSV-2</t>
        </is>
      </c>
      <c r="F204" s="38" t="inlineStr">
        <is>
          <t>Varicella zoster virus</t>
        </is>
      </c>
      <c r="G204" s="38" t="inlineStr">
        <is>
          <t>Neisseria gonorrhea</t>
        </is>
      </c>
      <c r="H204" s="38" t="inlineStr">
        <is>
          <t>Chlamydia trachomatis I</t>
        </is>
      </c>
      <c r="I204" s="37" t="inlineStr">
        <is>
          <t>1</t>
        </is>
      </c>
      <c r="J204" s="38" t="inlineStr">
        <is>
          <t>✅ คำตอบที่ถูกต้อง: ข้อ ก. HSV-1
💡 Background:
การดูแลผู้ติดเชื้อ HIV เน้นเริ่ม Antiretroviral Therapy (ART) ทันทีเพื่อกด viral load ให้ undetectable (U=U) และฟื้นฟูระบบภูมิคุ้มกัน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4" s="38" t="n"/>
      <c r="L204" s="39" t="inlineStr">
        <is>
          <t>HIV infection</t>
        </is>
      </c>
      <c r="M204" s="39" t="inlineStr">
        <is>
          <t>Clinic</t>
        </is>
      </c>
      <c r="N204" s="38" t="inlineStr">
        <is>
          <t>ข้อ 22 (PLE_CC1_2561_Key.md)</t>
        </is>
      </c>
      <c r="O204" s="39" t="n"/>
      <c r="P204" s="39" t="n"/>
    </row>
    <row r="205" ht="13.2" customHeight="1" s="49">
      <c r="A205" s="37" t="n">
        <v>203</v>
      </c>
      <c r="B205" s="38" t="inlineStr">
        <is>
          <t>ขอใดคือกลไกการออกฤทธิ์ของยา valacyclovir</t>
        </is>
      </c>
      <c r="C205" s="38" t="n"/>
      <c r="D205" s="38" t="inlineStr">
        <is>
          <t>Protease inhibitor</t>
        </is>
      </c>
      <c r="E205" s="38" t="inlineStr">
        <is>
          <t>Integrase inhibitor</t>
        </is>
      </c>
      <c r="F205" s="38" t="inlineStr">
        <is>
          <t>Inhibit cell wall synthesis</t>
        </is>
      </c>
      <c r="G205" s="38" t="inlineStr">
        <is>
          <t>DNA polymerase inhibitor</t>
        </is>
      </c>
      <c r="H205" s="38" t="inlineStr">
        <is>
          <t>Nucleotide reverse transcriptase inhibitor t</t>
        </is>
      </c>
      <c r="I205" s="37" t="inlineStr">
        <is>
          <t>1</t>
        </is>
      </c>
      <c r="J205" s="38" t="inlineStr">
        <is>
          <t>✅ คำตอบที่ถูกต้อง: ข้อ ก. Protease inhibitor
💡 Background:
การดูแลผู้ติดเชื้อ HIV เน้นเริ่ม Antiretroviral Therapy (ART) ทันทีเพื่อกด viral load ให้ undetectable (U=U) และฟื้นฟูระบบภูมิคุ้มกัน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5" s="38" t="n"/>
      <c r="L205" s="39" t="inlineStr">
        <is>
          <t>HIV infection</t>
        </is>
      </c>
      <c r="M205" s="39" t="inlineStr">
        <is>
          <t>Clinic</t>
        </is>
      </c>
      <c r="N205" s="38" t="inlineStr">
        <is>
          <t>ข้อ 23 (PLE_CC1_2561_Key.md)</t>
        </is>
      </c>
      <c r="O205" s="39" t="n"/>
      <c r="P205" s="39" t="n"/>
    </row>
    <row r="206" ht="13.2" customHeight="1" s="49">
      <c r="A206" s="37" t="n">
        <v>204</v>
      </c>
      <c r="B206" s="38"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38" t="n"/>
      <c r="D206" s="38" t="inlineStr">
        <is>
          <t>90.3 %</t>
        </is>
      </c>
      <c r="E206" s="38" t="inlineStr">
        <is>
          <t>92.4 %</t>
        </is>
      </c>
      <c r="F206" s="38" t="inlineStr">
        <is>
          <t>93.4 %</t>
        </is>
      </c>
      <c r="G206" s="38" t="inlineStr">
        <is>
          <t>94.7 %</t>
        </is>
      </c>
      <c r="H206" s="38" t="inlineStr">
        <is>
          <t>95.6 % o</t>
        </is>
      </c>
      <c r="I206" s="37" t="inlineStr">
        <is>
          <t>1</t>
        </is>
      </c>
      <c r="J206" s="38" t="inlineStr">
        <is>
          <t>✅ คำตอบที่ถูกต้อง: ข้อ ก. 90.3 %
💡 Background:
การดูแลผู้ติดเชื้อ HIV เน้นเริ่ม Antiretroviral Therapy (ART) ทันทีเพื่อกด viral load ให้ undetectable (U=U) และฟื้นฟูระบบภูมิคุ้มกัน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6" s="38" t="n"/>
      <c r="L206" s="39" t="inlineStr">
        <is>
          <t>HIV infection</t>
        </is>
      </c>
      <c r="M206" s="39" t="inlineStr">
        <is>
          <t>Clinic</t>
        </is>
      </c>
      <c r="N206" s="38" t="inlineStr">
        <is>
          <t>ข้อ 24 (PLE_CC1_2561_Key.md)</t>
        </is>
      </c>
      <c r="O206" s="39" t="n"/>
      <c r="P206" s="39" t="n"/>
    </row>
    <row r="207" ht="13.2" customHeight="1" s="49">
      <c r="A207" s="37" t="n">
        <v>205</v>
      </c>
      <c r="B207" s="38" t="inlineStr">
        <is>
          <t>จากกรณีศึกษาขางตนคาดว!าผูป%วยติดเชื้อตัวใด</t>
        </is>
      </c>
      <c r="C207" s="38" t="n"/>
      <c r="D207" s="38" t="inlineStr">
        <is>
          <t>Candida albican</t>
        </is>
      </c>
      <c r="E207" s="38" t="inlineStr">
        <is>
          <t>Malassezia furfur</t>
        </is>
      </c>
      <c r="F207" s="38" t="inlineStr">
        <is>
          <t>Tricosporum spp.</t>
        </is>
      </c>
      <c r="G207" s="38" t="inlineStr">
        <is>
          <t>Epidermophyton spp.</t>
        </is>
      </c>
      <c r="H207" s="38" t="inlineStr">
        <is>
          <t>Cryptococcus neoforman</t>
        </is>
      </c>
      <c r="I207" s="37" t="inlineStr">
        <is>
          <t>1</t>
        </is>
      </c>
      <c r="J207" s="38" t="inlineStr">
        <is>
          <t>✅ คำตอบที่ถูกต้อง: ข้อ ก. Candida albican
💡 Background:
การดูแลผู้ติดเชื้อ HIV เน้นเริ่ม Antiretroviral Therapy (ART) ทันทีเพื่อกด viral load ให้ undetectable (U=U) และฟื้นฟูระบบภูมิคุ้มกัน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7" s="38" t="n"/>
      <c r="L207" s="39" t="inlineStr">
        <is>
          <t>HIV infection</t>
        </is>
      </c>
      <c r="M207" s="39" t="inlineStr">
        <is>
          <t>Clinic</t>
        </is>
      </c>
      <c r="N207" s="38" t="inlineStr">
        <is>
          <t>ข้อ 38 (PLE_CC1_2561_Key.md)</t>
        </is>
      </c>
      <c r="O207" s="39" t="n"/>
      <c r="P207" s="39" t="n"/>
    </row>
    <row r="208" ht="13.2" customHeight="1" s="49">
      <c r="A208" s="37" t="n">
        <v>206</v>
      </c>
      <c r="B208" s="38" t="inlineStr">
        <is>
          <t>สูตรยาต(านไวรัสสูตรใดที่ใช(ในการปqองกันก.อนสัมผัสโรค (PrEP)</t>
        </is>
      </c>
      <c r="C208" s="38" t="n"/>
      <c r="D208" s="38" t="inlineStr">
        <is>
          <t>TDF + 3TC</t>
        </is>
      </c>
      <c r="E208" s="38" t="inlineStr">
        <is>
          <t>AZT + 3TC</t>
        </is>
      </c>
      <c r="F208" s="38" t="inlineStr">
        <is>
          <t>TDF + FTC</t>
        </is>
      </c>
      <c r="G208" s="38" t="inlineStr">
        <is>
          <t>TDF + FTC + Lo/r</t>
        </is>
      </c>
      <c r="H208" s="38" t="inlineStr">
        <is>
          <t>TDF + 3TC + EFV</t>
        </is>
      </c>
      <c r="I208" s="37" t="inlineStr">
        <is>
          <t>1</t>
        </is>
      </c>
      <c r="J208" s="38" t="inlineStr">
        <is>
          <t>✅ คำตอบที่ถูกต้อง: ข้อ ก. TDF + 3TC
💡 Background:
การดูแลผู้ติดเชื้อ HIV เน้นเริ่ม Antiretroviral Therapy (ART) ทันทีเพื่อกด viral load ให้ undetectable (U=U) และฟื้นฟูระบบภูมิคุ้มกัน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เป็นสูตรยามาตรฐานระดับสากลที่มีหลักฐานเชิงประจักษ์สูงสุดในการป้องกันการติดเชื้อ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8" s="38" t="n"/>
      <c r="L208" s="39" t="inlineStr">
        <is>
          <t>HIV infection</t>
        </is>
      </c>
      <c r="M208" s="39" t="inlineStr">
        <is>
          <t>Clinic</t>
        </is>
      </c>
      <c r="N208" s="38" t="inlineStr">
        <is>
          <t>ข้อ 47 (PLE_CC1_2561_Key.md)</t>
        </is>
      </c>
      <c r="O208" s="39" t="n"/>
      <c r="P208" s="39" t="n"/>
    </row>
    <row r="209" ht="13.2" customHeight="1" s="49">
      <c r="A209" s="37" t="n">
        <v>207</v>
      </c>
      <c r="B209" s="38"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38" t="n"/>
      <c r="D209" s="38" t="inlineStr">
        <is>
          <t>Perceived susceptibility ต่้า</t>
        </is>
      </c>
      <c r="E209" s="38" t="inlineStr">
        <is>
          <t>Perceived barrier ต่้า</t>
        </is>
      </c>
      <c r="F209" s="38" t="inlineStr">
        <is>
          <t>Perceived benefit ต่้า</t>
        </is>
      </c>
      <c r="G209" s="38" t="inlineStr">
        <is>
          <t>Perceived seriousness ต่้า</t>
        </is>
      </c>
      <c r="H209" s="38" t="inlineStr">
        <is>
          <t>ไม่มีปัจจัยกระตุ้นให้ใส่ถุงยาง</t>
        </is>
      </c>
      <c r="I209" s="37" t="inlineStr">
        <is>
          <t>1</t>
        </is>
      </c>
      <c r="J209" s="38" t="inlineStr">
        <is>
          <t>✅ คำตอบที่ถูกต้อง: ข้อ ก. Perceived susceptibility ต่้า
💡 Background:
การดูแลผู้ติดเชื้อ HIV เน้นเริ่ม Antiretroviral Therapy (ART) ทันทีเพื่อกด viral load ให้ undetectable (U=U) และฟื้นฟูระบบภูมิคุ้มกัน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09" s="38" t="n"/>
      <c r="L209" s="39" t="inlineStr">
        <is>
          <t>HIV infection</t>
        </is>
      </c>
      <c r="M209" s="39" t="inlineStr">
        <is>
          <t>Clinic</t>
        </is>
      </c>
      <c r="N209" s="38" t="inlineStr">
        <is>
          <t>ข้อ 4 (PLE_CC1_2560 22 April Set 1.md)</t>
        </is>
      </c>
      <c r="O209" s="39" t="n"/>
      <c r="P209" s="39" t="n"/>
    </row>
    <row r="210" ht="13.2" customHeight="1" s="49">
      <c r="A210" s="37" t="n">
        <v>208</v>
      </c>
      <c r="B210" s="38" t="inlineStr">
        <is>
          <t>ข้อใดไม่ถูกต้องเกี่ยวกับการเรียกยาคืน</t>
        </is>
      </c>
      <c r="C210" s="38" t="n"/>
      <c r="D210" s="38" t="inlineStr">
        <is>
          <t>ต้องสามารถเรียกยาคืนได้ทันทีเมื่อเกิดปัญหา</t>
        </is>
      </c>
      <c r="E210" s="38" t="inlineStr">
        <is>
          <t>การเรียกยาคืนเป็นหน้าที่ของฝ่ายขายและการตลาดเท่านั้น</t>
        </is>
      </c>
      <c r="F210" s="38" t="inlineStr">
        <is>
          <t>มีระบบการเรียกยาคืนที่เป็นปัจจุบัน</t>
        </is>
      </c>
      <c r="G210" s="38" t="inlineStr">
        <is>
          <t>ถ้าเกิดปัญหาต้องมีการเรียกยาคืน</t>
        </is>
      </c>
      <c r="H210" s="38" t="inlineStr">
        <is>
          <t>การเรียกยาคืนต้องแจ้ง อย. ทุกครั้ง</t>
        </is>
      </c>
      <c r="I210" s="37" t="inlineStr">
        <is>
          <t>1</t>
        </is>
      </c>
      <c r="J210" s="38" t="inlineStr">
        <is>
          <t>✅ คำตอบที่ถูกต้อง: ข้อ ก. ต้องสามารถเรียกยาคืนได้ทันทีเมื่อเกิดปัญหา
💡 Background:
การดูแลผู้ติดเชื้อ HIV เน้นเริ่ม Antiretroviral Therapy (ART) ทันทีเพื่อกด viral load ให้ undetectable (U=U) และฟื้นฟูระบบภูมิคุ้มกัน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0" s="38" t="n"/>
      <c r="L210" s="39" t="inlineStr">
        <is>
          <t>HIV infection</t>
        </is>
      </c>
      <c r="M210" s="39" t="inlineStr">
        <is>
          <t>Clinic</t>
        </is>
      </c>
      <c r="N210" s="38" t="inlineStr">
        <is>
          <t>ข้อ 8 (PLE_CC1_2558_Key.md)</t>
        </is>
      </c>
      <c r="O210" s="39" t="n"/>
      <c r="P210" s="39" t="n"/>
    </row>
    <row r="211" ht="13.2" customHeight="1" s="49">
      <c r="A211" s="37" t="n">
        <v>209</v>
      </c>
      <c r="B211" s="38" t="inlineStr">
        <is>
          <t>ข้อใดไม่ถูกต้องเกี่ยวกับ amoxicillin/clavulanic acid</t>
        </is>
      </c>
      <c r="C211" s="38" t="n"/>
      <c r="D211" s="38" t="inlineStr">
        <is>
          <t>ไม่ถูกทำลายโดย beta lactamase</t>
        </is>
      </c>
      <c r="E211" s="38" t="inlineStr">
        <is>
          <t>เกิดปฏิกิริยา hydrolysis</t>
        </is>
      </c>
      <c r="F211" s="38" t="inlineStr">
        <is>
          <t>เกิดปฏิกิริยา epimerization</t>
        </is>
      </c>
      <c r="G211" s="38" t="inlineStr">
        <is>
          <t>Clavulanic acid ไม่ใช่สารออกฤทธิ์</t>
        </is>
      </c>
      <c r="H211" s="38" t="inlineStr">
        <is>
          <t>เป็นยาในกลุ่ม aminopenicillin กรณีศึกษา 3</t>
        </is>
      </c>
      <c r="I211" s="37" t="inlineStr">
        <is>
          <t>1</t>
        </is>
      </c>
      <c r="J211" s="38" t="inlineStr">
        <is>
          <t>✅ คำตอบที่ถูกต้อง: ข้อ ก. ไม่ถูกทำลายโดย beta lactamase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38" t="n"/>
      <c r="L211" s="39" t="inlineStr">
        <is>
          <t>URTI</t>
        </is>
      </c>
      <c r="M211" s="39" t="inlineStr">
        <is>
          <t>Clinic</t>
        </is>
      </c>
      <c r="N211" s="38" t="inlineStr">
        <is>
          <t>ข้อ 16 (PLE_CC1_2558_Key.md)</t>
        </is>
      </c>
      <c r="O211" s="39" t="n"/>
      <c r="P211" s="39" t="n"/>
    </row>
    <row r="212" ht="13.2" customHeight="1" s="49">
      <c r="A212" s="37" t="n">
        <v>210</v>
      </c>
      <c r="B212" s="38" t="inlineStr">
        <is>
          <t>ข้อใดคือสูตรยารักษาแรก ที่แนะนำให้ใช้ในผู้ติดเชื้อเอชไอวีที่ไม่มีข้อห้ามใช้</t>
        </is>
      </c>
      <c r="C212" s="38" t="n"/>
      <c r="D212" s="38" t="inlineStr">
        <is>
          <t>TDF+FTC+RPV</t>
        </is>
      </c>
      <c r="E212" s="38" t="inlineStr">
        <is>
          <t>TDF+3TC+EFV</t>
        </is>
      </c>
      <c r="F212" s="38" t="inlineStr">
        <is>
          <t>TDF+FTC+DTG</t>
        </is>
      </c>
      <c r="G212" s="38" t="inlineStr">
        <is>
          <t>ABC+3TC+DTG</t>
        </is>
      </c>
      <c r="H212" s="38" t="inlineStr">
        <is>
          <t>AZT+FTC+DTG</t>
        </is>
      </c>
      <c r="I212" s="37" t="inlineStr">
        <is>
          <t>1</t>
        </is>
      </c>
      <c r="J212" s="38" t="inlineStr">
        <is>
          <t>✅ คำตอบที่ถูกต้อง: ข้อ ก. TDF+FTC+RPV
💡 Background:
การดูแลผู้ติดเชื้อ HIV เน้นเริ่ม Antiretroviral Therapy (ART) ทันทีเพื่อกด viral load ให้ undetectable (U=U) และฟื้นฟูระบบภูมิคุ้มกัน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2" s="38" t="n"/>
      <c r="L212" s="39" t="inlineStr">
        <is>
          <t>HIV infection</t>
        </is>
      </c>
      <c r="M212" s="39" t="inlineStr">
        <is>
          <t>Clinic</t>
        </is>
      </c>
      <c r="N212" s="38" t="inlineStr">
        <is>
          <t>ข้อ 31 (Pharmtutor_2024_Set1.md)</t>
        </is>
      </c>
      <c r="O212" s="39" t="n"/>
      <c r="P212" s="39" t="n"/>
    </row>
    <row r="213" ht="13.2" customHeight="1" s="49">
      <c r="A213" s="37" t="n">
        <v>211</v>
      </c>
      <c r="B213" s="38" t="inlineStr">
        <is>
          <t>การใช้ยา Amoxicillin+Clavulanic acid สามารถพบผลข้างเคียงใดได้บ่อยที่สุด</t>
        </is>
      </c>
      <c r="C213" s="38" t="n"/>
      <c r="D213" s="38" t="inlineStr">
        <is>
          <t>คลื่นไส้ อาเจียน</t>
        </is>
      </c>
      <c r="E213" s="38" t="inlineStr">
        <is>
          <t>กรดไหลย้อน</t>
        </is>
      </c>
      <c r="F213" s="38" t="inlineStr">
        <is>
          <t>ท้องเสีย</t>
        </is>
      </c>
      <c r="G213" s="38" t="inlineStr">
        <is>
          <t>ไอ</t>
        </is>
      </c>
      <c r="H213" s="38" t="inlineStr">
        <is>
          <t>เวียนศีรษะ</t>
        </is>
      </c>
      <c r="I213" s="37" t="inlineStr">
        <is>
          <t>1</t>
        </is>
      </c>
      <c r="J213" s="38" t="inlineStr">
        <is>
          <t>✅ คำตอบที่ถูกต้อง: ข้อ ก. คลื่นไส้ อาเจียน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38" t="n"/>
      <c r="L213" s="39" t="inlineStr">
        <is>
          <t>URTI</t>
        </is>
      </c>
      <c r="M213" s="39" t="inlineStr">
        <is>
          <t>Clinic</t>
        </is>
      </c>
      <c r="N213" s="38" t="inlineStr">
        <is>
          <t>ข้อ 36 (Pharmtutor_2024_Set1.md)</t>
        </is>
      </c>
      <c r="O213" s="39" t="n"/>
      <c r="P213" s="39" t="n"/>
    </row>
    <row r="214" ht="13.2" customHeight="1" s="49">
      <c r="A214" s="37" t="n">
        <v>212</v>
      </c>
      <c r="B214" s="38"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38" t="n"/>
      <c r="D214" s="38" t="inlineStr">
        <is>
          <t>Trichomonas</t>
        </is>
      </c>
      <c r="E214" s="38" t="inlineStr">
        <is>
          <t>Candida Albicans</t>
        </is>
      </c>
      <c r="F214" s="38" t="inlineStr">
        <is>
          <t>Herpes Simplex</t>
        </is>
      </c>
      <c r="G214" s="38" t="inlineStr">
        <is>
          <t>Chlamydia</t>
        </is>
      </c>
      <c r="H214" s="38" t="inlineStr">
        <is>
          <t>Papilloma Virus</t>
        </is>
      </c>
      <c r="I214" s="37" t="inlineStr">
        <is>
          <t>1</t>
        </is>
      </c>
      <c r="J214" s="38"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38" t="n"/>
      <c r="L214" s="39" t="inlineStr">
        <is>
          <t>STDs &amp; vaginitis</t>
        </is>
      </c>
      <c r="M214" s="39" t="inlineStr">
        <is>
          <t>Clinic</t>
        </is>
      </c>
      <c r="N214" s="38" t="inlineStr">
        <is>
          <t>ข้อ 41 (Pharmtutor_2024_Set1.md)</t>
        </is>
      </c>
      <c r="O214" s="39" t="n"/>
      <c r="P214" s="39" t="n"/>
    </row>
    <row r="215" ht="13.2" customHeight="1" s="49">
      <c r="A215" s="37" t="n">
        <v>213</v>
      </c>
      <c r="B215" s="38" t="inlineStr">
        <is>
          <t>เชื้อสาเหตุใดที่พบได้มากที่สุดในการติดเชื้อปอกอักเสบชนิด Community-acquired pneumonia (CAP)</t>
        </is>
      </c>
      <c r="C215" s="38" t="n"/>
      <c r="D215" s="38" t="inlineStr">
        <is>
          <t>Pseudomonas aeruginosa</t>
        </is>
      </c>
      <c r="E215" s="38" t="inlineStr">
        <is>
          <t>Acinetobacter baumannii</t>
        </is>
      </c>
      <c r="F215" s="38" t="inlineStr">
        <is>
          <t>Klebsiella pneumoniae</t>
        </is>
      </c>
      <c r="G215" s="38" t="inlineStr">
        <is>
          <t>Mycoplasma pneumoniae</t>
        </is>
      </c>
      <c r="H215" s="38" t="inlineStr">
        <is>
          <t>Streptococcus pneumoniae</t>
        </is>
      </c>
      <c r="I215" s="37" t="inlineStr">
        <is>
          <t>1</t>
        </is>
      </c>
      <c r="J215" s="38"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38" t="n"/>
      <c r="L215" s="39" t="inlineStr">
        <is>
          <t>Pneumonia</t>
        </is>
      </c>
      <c r="M215" s="39" t="inlineStr">
        <is>
          <t>Clinic</t>
        </is>
      </c>
      <c r="N215" s="38" t="inlineStr">
        <is>
          <t>ข้อ 43 (Pharmtutor_2024_Set1.md)</t>
        </is>
      </c>
      <c r="O215" s="39" t="n"/>
      <c r="P215" s="39" t="n"/>
    </row>
    <row r="216" ht="13.2" customHeight="1" s="49">
      <c r="A216" s="37" t="n">
        <v>214</v>
      </c>
      <c r="B216" s="38" t="inlineStr">
        <is>
          <t>หากผู้ป่วยมีการติดเชื้อ MRSA ยาชนิดใดเหมาะสมมากที่สุด</t>
        </is>
      </c>
      <c r="C216" s="38" t="n"/>
      <c r="D216" s="38" t="inlineStr">
        <is>
          <t>Ceftazidime</t>
        </is>
      </c>
      <c r="E216" s="38" t="inlineStr">
        <is>
          <t>Meropenem</t>
        </is>
      </c>
      <c r="F216" s="38" t="inlineStr">
        <is>
          <t>Piperacillin-tazobactam</t>
        </is>
      </c>
      <c r="G216" s="38" t="inlineStr">
        <is>
          <t>Vancomycin</t>
        </is>
      </c>
      <c r="H216" s="38" t="inlineStr">
        <is>
          <t>Levofloxacin</t>
        </is>
      </c>
      <c r="I216" s="37" t="inlineStr">
        <is>
          <t>1</t>
        </is>
      </c>
      <c r="J216" s="38" t="inlineStr">
        <is>
          <t>✅ คำตอบที่ถูกต้อง: ข้อ ก. Ceftazidime
💡 Background:
การดูแลผู้ติดเชื้อ HIV เน้นเริ่ม Antiretroviral Therapy (ART) ทันทีเพื่อกด viral load ให้ undetectable (U=U) และฟื้นฟูระบบภูมิคุ้มกัน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6" s="38" t="n"/>
      <c r="L216" s="39" t="inlineStr">
        <is>
          <t>HIV infection</t>
        </is>
      </c>
      <c r="M216" s="39" t="inlineStr">
        <is>
          <t>Clinic</t>
        </is>
      </c>
      <c r="N216" s="38" t="inlineStr">
        <is>
          <t>ข้อ 44 (Pharmtutor_2024_Set1.md)</t>
        </is>
      </c>
      <c r="O216" s="39" t="n"/>
      <c r="P216" s="39" t="n"/>
    </row>
    <row r="217" ht="13.2" customHeight="1" s="49">
      <c r="A217" s="37" t="n">
        <v>215</v>
      </c>
      <c r="B217" s="38" t="inlineStr">
        <is>
          <t>ข้อใดต่อไปนี้ คือ specific test ของ dosage form ดังกล่าว</t>
        </is>
      </c>
      <c r="C217" s="38" t="n"/>
      <c r="D217" s="38" t="inlineStr">
        <is>
          <t>Minimum fill</t>
        </is>
      </c>
      <c r="E217" s="38" t="inlineStr">
        <is>
          <t>Impurities test</t>
        </is>
      </c>
      <c r="F217" s="38" t="inlineStr">
        <is>
          <t>Sterility tests</t>
        </is>
      </c>
      <c r="G217" s="38" t="inlineStr">
        <is>
          <t>Microbial limit test</t>
        </is>
      </c>
      <c r="H217" s="38" t="inlineStr">
        <is>
          <t>Assay</t>
        </is>
      </c>
      <c r="I217" s="37" t="inlineStr">
        <is>
          <t>1</t>
        </is>
      </c>
      <c r="J217" s="38" t="inlineStr">
        <is>
          <t>✅ คำตอบที่ถูกต้อง: ข้อ ก. Minimum fill
💡 Background:
การดูแลผู้ติดเชื้อ HIV เน้นเริ่ม Antiretroviral Therapy (ART) ทันทีเพื่อกด viral load ให้ undetectable (U=U) และฟื้นฟูระบบภูมิคุ้มกัน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7" s="38" t="n"/>
      <c r="L217" s="39" t="inlineStr">
        <is>
          <t>HIV infection</t>
        </is>
      </c>
      <c r="M217" s="39" t="inlineStr">
        <is>
          <t>Clinic</t>
        </is>
      </c>
      <c r="N217" s="38" t="inlineStr">
        <is>
          <t>ข้อ 101 (Pharmtutor_2024_Set1.md)</t>
        </is>
      </c>
      <c r="O217" s="39" t="n"/>
      <c r="P217" s="39" t="n"/>
    </row>
    <row r="218" ht="13.2" customHeight="1" s="49">
      <c r="A218" s="37" t="n">
        <v>216</v>
      </c>
      <c r="B218" s="38"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38" t="n"/>
      <c r="D218" s="38" t="inlineStr">
        <is>
          <t>300/1000</t>
        </is>
      </c>
      <c r="E218" s="38" t="inlineStr">
        <is>
          <t>350/1000</t>
        </is>
      </c>
      <c r="F218" s="38" t="inlineStr">
        <is>
          <t>50/700</t>
        </is>
      </c>
      <c r="G218" s="38" t="inlineStr">
        <is>
          <t>350/700</t>
        </is>
      </c>
      <c r="H218" s="38" t="inlineStr">
        <is>
          <t>50/1000</t>
        </is>
      </c>
      <c r="I218" s="37" t="inlineStr">
        <is>
          <t>1</t>
        </is>
      </c>
      <c r="J218" s="38" t="inlineStr">
        <is>
          <t>✅ คำตอบที่ถูกต้อง: ข้อ ก. 300/1000
💡 Background:
การดูแลผู้ติดเชื้อ HIV เน้นเริ่ม Antiretroviral Therapy (ART) ทันทีเพื่อกด viral load ให้ undetectable (U=U) และฟื้นฟูระบบภูมิคุ้มกัน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18" s="38" t="n"/>
      <c r="L218" s="39" t="inlineStr">
        <is>
          <t>HIV infection</t>
        </is>
      </c>
      <c r="M218" s="39" t="inlineStr">
        <is>
          <t>Clinic</t>
        </is>
      </c>
      <c r="N218" s="38" t="inlineStr">
        <is>
          <t>ข้อ 115 (Pharmtutor_2024_Set1.md)</t>
        </is>
      </c>
      <c r="O218" s="39" t="n"/>
      <c r="P218" s="39" t="n"/>
    </row>
    <row r="219" ht="13.2" customHeight="1" s="49">
      <c r="A219" s="37" t="n">
        <v>217</v>
      </c>
      <c r="B219" s="38" t="inlineStr">
        <is>
          <t>ข้อใดคือ กลไกการออกฤทธิ์ของ Acyclovir</t>
        </is>
      </c>
      <c r="C219" s="38" t="n"/>
      <c r="D219" s="38" t="inlineStr">
        <is>
          <t>ยับยั้ง Viral DNA polymerase</t>
        </is>
      </c>
      <c r="E219" s="38" t="inlineStr">
        <is>
          <t>ยับยั้ง 14-alpha demethylase</t>
        </is>
      </c>
      <c r="F219" s="38" t="inlineStr">
        <is>
          <t>ยับยั้งการสร้าง nucleic acid</t>
        </is>
      </c>
      <c r="G219" s="38" t="inlineStr">
        <is>
          <t>ยับยั้ง DNA gyrase</t>
        </is>
      </c>
      <c r="H219" s="38" t="inlineStr">
        <is>
          <t>ยับยั้ง Nucleoside reverse transcriptase</t>
        </is>
      </c>
      <c r="I219" s="37" t="inlineStr">
        <is>
          <t>1</t>
        </is>
      </c>
      <c r="J219" s="38" t="inlineStr">
        <is>
          <t>✅ คำตอบที่ถูกต้อง: ข้อ ก. ยับยั้ง Viral DNA polymerase
💡 Background:
การดูแลผู้ติดเชื้อ HIV เน้นเริ่ม Antiretroviral Therapy (ART) ทันทีเพื่อกด viral load ให้ undetectable (U=U) และฟื้นฟูระบบภูมิคุ้มกัน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19" s="38" t="n"/>
      <c r="L219" s="39" t="inlineStr">
        <is>
          <t>HIV infection</t>
        </is>
      </c>
      <c r="M219" s="39" t="inlineStr">
        <is>
          <t>Clinic</t>
        </is>
      </c>
      <c r="N219" s="38" t="inlineStr">
        <is>
          <t>ข้อ 15 (Pharmtutor_2024_Set2.md)</t>
        </is>
      </c>
      <c r="O219" s="39" t="n"/>
      <c r="P219" s="39" t="n"/>
    </row>
    <row r="220" ht="13.2" customHeight="1" s="49">
      <c r="A220" s="37" t="n">
        <v>218</v>
      </c>
      <c r="B220" s="38"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38" t="n"/>
      <c r="D220" s="38" t="inlineStr">
        <is>
          <t>Tenofovir + Emtricitabine</t>
        </is>
      </c>
      <c r="E220" s="38" t="inlineStr">
        <is>
          <t>Tenofovir + Lamivudine + Dolutegravir</t>
        </is>
      </c>
      <c r="F220" s="38" t="inlineStr">
        <is>
          <t>Tenofovir + Emtricitabine + Zidovudine</t>
        </is>
      </c>
      <c r="G220" s="38" t="inlineStr">
        <is>
          <t>Zidovudine + Lamivudine + Nevirapine</t>
        </is>
      </c>
      <c r="H220" s="38" t="inlineStr">
        <is>
          <t>Abacavir + Lamivudine + Dolutegravir</t>
        </is>
      </c>
      <c r="I220" s="37" t="inlineStr">
        <is>
          <t>1</t>
        </is>
      </c>
      <c r="J220" s="38" t="inlineStr">
        <is>
          <t>✅ คำตอบที่ถูกต้อง: ข้อ ก. Tenofovir + Emtricitabine
💡 Background:
การดูแลผู้ติดเชื้อ HIV เน้นเริ่ม Antiretroviral Therapy (ART) ทันทีเพื่อกด viral load ให้ undetectable (U=U) และฟื้นฟูระบบภูมิคุ้มกัน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0" s="38" t="n"/>
      <c r="L220" s="39" t="inlineStr">
        <is>
          <t>HIV infection</t>
        </is>
      </c>
      <c r="M220" s="39" t="inlineStr">
        <is>
          <t>Clinic</t>
        </is>
      </c>
      <c r="N220" s="38" t="inlineStr">
        <is>
          <t>ข้อ 32 (Pharmtutor_2024_Set2.md)</t>
        </is>
      </c>
      <c r="O220" s="39" t="n"/>
      <c r="P220" s="39" t="n"/>
    </row>
    <row r="221" ht="13.2" customHeight="1" s="49">
      <c r="A221" s="37" t="n">
        <v>219</v>
      </c>
      <c r="B221" s="38" t="inlineStr">
        <is>
          <t>อธิบายความแตกต่างของโรคคอหอยอักเสบ (Pharyngystis) ระหว่างสาเหตุจากการติดเชื้อไวรัสและแบคทีเรีย</t>
        </is>
      </c>
      <c r="C221" s="38" t="n"/>
      <c r="D221" s="38" t="inlineStr">
        <is>
          <t>การติดเชื้อไวรัสส่วนมากมีอาการของไข้แสดงเด่น</t>
        </is>
      </c>
      <c r="E221" s="38" t="inlineStr">
        <is>
          <t>การติดเชื้อไวรัสจะมีอาการรุนแรงจำเป้นต้องใช้ยาในการรักษาผู้ป่วยทุกรายโดยเฉพาะกรณีคนไข้เด็กและผู้สูง อายุ</t>
        </is>
      </c>
      <c r="F221" s="38"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38" t="inlineStr">
        <is>
          <t>การที่ผู้ป่วยมีอาการของจุดหนองบริเวณลำคอ ร่วมกับบวมบริเวณลำคอ ส่วนมากมีสาเหตุมาจากการติดเชื้อแบคทีเรีย</t>
        </is>
      </c>
      <c r="H221" s="38"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37" t="inlineStr">
        <is>
          <t>1</t>
        </is>
      </c>
      <c r="J221" s="38" t="inlineStr">
        <is>
          <t>✅ คำตอบที่ถูกต้อง: ข้อ ก. การติดเชื้อไวรัสส่วนมากมีอาการของไข้แสดงเด่น
💡 Background:
การดูแลผู้ติดเชื้อ HIV เน้นเริ่ม Antiretroviral Therapy (ART) ทันทีเพื่อกด viral load ให้ undetectable (U=U) และฟื้นฟูระบบภูมิคุ้มกัน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1" s="38" t="n"/>
      <c r="L221" s="39" t="inlineStr">
        <is>
          <t>HIV infection</t>
        </is>
      </c>
      <c r="M221" s="39" t="inlineStr">
        <is>
          <t>Clinic</t>
        </is>
      </c>
      <c r="N221" s="38" t="inlineStr">
        <is>
          <t>ข้อ 36 (Pharmtutor_2024_Set2.md)</t>
        </is>
      </c>
      <c r="O221" s="39" t="n"/>
      <c r="P221" s="39" t="n"/>
    </row>
    <row r="222" ht="13.2" customHeight="1" s="49">
      <c r="A222" s="37" t="n">
        <v>220</v>
      </c>
      <c r="B222" s="38"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38" t="n"/>
      <c r="D222" s="38" t="inlineStr">
        <is>
          <t>Group A staphylococcus</t>
        </is>
      </c>
      <c r="E222" s="38" t="inlineStr">
        <is>
          <t>Rotavirus</t>
        </is>
      </c>
      <c r="F222" s="38" t="inlineStr">
        <is>
          <t>Ebstein-Barr</t>
        </is>
      </c>
      <c r="G222" s="38" t="inlineStr">
        <is>
          <t>Group A streptococcus</t>
        </is>
      </c>
      <c r="H222" s="38" t="inlineStr">
        <is>
          <t>Gram negative Bacilli</t>
        </is>
      </c>
      <c r="I222" s="37" t="inlineStr">
        <is>
          <t>1</t>
        </is>
      </c>
      <c r="J222" s="38" t="inlineStr">
        <is>
          <t>✅ คำตอบที่ถูกต้อง: ข้อ ก. Group A staphylococcus
💡 Background:
การดูแลผู้ติดเชื้อ HIV เน้นเริ่ม Antiretroviral Therapy (ART) ทันทีเพื่อกด viral load ให้ undetectable (U=U) และฟื้นฟูระบบภูมิคุ้มกัน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2" s="38" t="n"/>
      <c r="L222" s="39" t="inlineStr">
        <is>
          <t>HIV infection</t>
        </is>
      </c>
      <c r="M222" s="39" t="inlineStr">
        <is>
          <t>Clinic</t>
        </is>
      </c>
      <c r="N222" s="38" t="inlineStr">
        <is>
          <t>ข้อ 37 (Pharmtutor_2024_Set2.md)</t>
        </is>
      </c>
      <c r="O222" s="39" t="n"/>
      <c r="P222" s="39" t="n"/>
    </row>
    <row r="223" ht="13.2" customHeight="1" s="49">
      <c r="A223" s="37" t="n">
        <v>221</v>
      </c>
      <c r="B223" s="38"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38" t="n"/>
      <c r="D223" s="38" t="inlineStr">
        <is>
          <t>Dolutegravir 50 mg OD</t>
        </is>
      </c>
      <c r="E223" s="38" t="inlineStr">
        <is>
          <t>Vancomycin 1 g IV Q12H</t>
        </is>
      </c>
      <c r="F223" s="38" t="inlineStr">
        <is>
          <t>Meropenem 1 g IV Q8H</t>
        </is>
      </c>
      <c r="G223" s="38" t="inlineStr">
        <is>
          <t>Cefazolin 1 g IV Q8H</t>
        </is>
      </c>
      <c r="H223" s="38" t="inlineStr">
        <is>
          <t>Amoxicillin/Clavulanate 1 g BID</t>
        </is>
      </c>
      <c r="I223" s="37" t="inlineStr">
        <is>
          <t>1</t>
        </is>
      </c>
      <c r="J223"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38" t="n"/>
      <c r="L223" s="39" t="inlineStr">
        <is>
          <t>Cystitis</t>
        </is>
      </c>
      <c r="M223" s="39" t="inlineStr">
        <is>
          <t>Clinic</t>
        </is>
      </c>
      <c r="N223" s="38" t="inlineStr">
        <is>
          <t>ข้อ 3 (PLE_CC1_2557.md)</t>
        </is>
      </c>
      <c r="O223" s="39" t="n"/>
      <c r="P223" s="39" t="n"/>
    </row>
    <row r="224" ht="13.2" customHeight="1" s="49">
      <c r="A224" s="37" t="n">
        <v>222</v>
      </c>
      <c r="B224" s="38" t="inlineStr">
        <is>
          <t>เชื%อก่อโรคซึ_x001E_งเป็นสาเหตุของภาวะ Community-acquired pneumonia ในผู้ป่วยรายนี%คือข้อใด (1) Acinetobacter baumannii (2) Streptococcus pneumoniae (3) Pseudomonas aeruginosa (4) Staphylococcus aureus (5) Burkholderia pseudomalii</t>
        </is>
      </c>
      <c r="C224" s="38" t="n"/>
      <c r="D224" s="38" t="inlineStr">
        <is>
          <t>Cefazolin 1 g IV Q8H</t>
        </is>
      </c>
      <c r="E224" s="38" t="inlineStr">
        <is>
          <t>Amoxicillin/Clavulanate 1 g BID</t>
        </is>
      </c>
      <c r="F224" s="38" t="inlineStr">
        <is>
          <t>Ceftriaxone 1 g IV OD</t>
        </is>
      </c>
      <c r="G224" s="38" t="inlineStr">
        <is>
          <t>Ciprofloxacin 500 mg BID</t>
        </is>
      </c>
      <c r="H224" s="38" t="inlineStr">
        <is>
          <t>Azithromycin 500 mg OD</t>
        </is>
      </c>
      <c r="I224" s="37" t="inlineStr">
        <is>
          <t>1</t>
        </is>
      </c>
      <c r="J224"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38" t="n"/>
      <c r="L224" s="39" t="inlineStr">
        <is>
          <t>Pneumonia</t>
        </is>
      </c>
      <c r="M224" s="39" t="inlineStr">
        <is>
          <t>Clinic</t>
        </is>
      </c>
      <c r="N224" s="38" t="inlineStr">
        <is>
          <t>ข้อ 3 (PLE_CC1_2557.md)</t>
        </is>
      </c>
      <c r="O224" s="39" t="n"/>
      <c r="P224" s="39" t="n"/>
    </row>
    <row r="225" ht="13.2" customHeight="1" s="49">
      <c r="A225" s="37" t="n">
        <v>223</v>
      </c>
      <c r="B225" s="38" t="inlineStr">
        <is>
          <t>ควรพิจารณาปรับเปลี_x001E_ยนการรักษาสำหรับผู้ป่วยรายนี% อย่างไร (1) เปลี_x0003_ยนยา Ceftazidime เป็นยา ceftriaxone (2) เปลี_x0003_ยนยา Ceftazidime เป็น meropenem (3) เปลี_x0003_ยนยา Clarithromycin เป็น ciprofloxacin (4) เพิ_x0003_มขนาดยา Clarithromycin เป็น 1 x 2 (5) ไม่ต้องปรับเปลี_x0003_ยนการรักษา</t>
        </is>
      </c>
      <c r="C225" s="38" t="n"/>
      <c r="D225" s="38" t="inlineStr">
        <is>
          <t>Ciprofloxacin 500 mg BID</t>
        </is>
      </c>
      <c r="E225" s="38" t="inlineStr">
        <is>
          <t>Azithromycin 500 mg OD</t>
        </is>
      </c>
      <c r="F225" s="38" t="inlineStr">
        <is>
          <t>Doxycycline 100 mg BID</t>
        </is>
      </c>
      <c r="G225" s="38" t="inlineStr">
        <is>
          <t>Cotrimoxazole 160/800 mg BID</t>
        </is>
      </c>
      <c r="H225" s="38" t="inlineStr">
        <is>
          <t>Metronidazole 400 mg TID</t>
        </is>
      </c>
      <c r="I225" s="37" t="inlineStr">
        <is>
          <t>1</t>
        </is>
      </c>
      <c r="J225"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38" t="n"/>
      <c r="L225" s="39" t="inlineStr">
        <is>
          <t>Pneumonia</t>
        </is>
      </c>
      <c r="M225" s="39" t="inlineStr">
        <is>
          <t>Clinic</t>
        </is>
      </c>
      <c r="N225" s="38" t="inlineStr">
        <is>
          <t>ข้อ 4 (PLE_CC1_2557.md)</t>
        </is>
      </c>
      <c r="O225" s="39" t="n"/>
      <c r="P225" s="39" t="n"/>
    </row>
    <row r="226" ht="13.2" customHeight="1" s="49">
      <c r="A226" s="37" t="n">
        <v>224</v>
      </c>
      <c r="B226" s="38" t="inlineStr">
        <is>
          <t>เป็น isotonic solution</t>
        </is>
      </c>
      <c r="C226" s="38" t="n"/>
      <c r="D226" s="38" t="inlineStr">
        <is>
          <t>Cotrimoxazole 160/800 mg BID</t>
        </is>
      </c>
      <c r="E226" s="38" t="inlineStr">
        <is>
          <t>Metronidazole 400 mg TID</t>
        </is>
      </c>
      <c r="F226" s="38" t="inlineStr">
        <is>
          <t>Nitrofurantoin 100 mg BID</t>
        </is>
      </c>
      <c r="G226" s="38" t="inlineStr">
        <is>
          <t>Tenofovir/Emtricitabine 300/200 mg OD</t>
        </is>
      </c>
      <c r="H226" s="38" t="inlineStr">
        <is>
          <t>Dolutegravir 50 mg OD</t>
        </is>
      </c>
      <c r="I226" s="37" t="inlineStr">
        <is>
          <t>1</t>
        </is>
      </c>
      <c r="J226"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38" t="n"/>
      <c r="L226" s="39" t="inlineStr">
        <is>
          <t>Cystitis</t>
        </is>
      </c>
      <c r="M226" s="39" t="inlineStr">
        <is>
          <t>Clinic</t>
        </is>
      </c>
      <c r="N226" s="38" t="inlineStr">
        <is>
          <t>ข้อ 4 (PLE_CC1_2556.md)</t>
        </is>
      </c>
      <c r="O226" s="39" t="n"/>
      <c r="P226" s="39" t="n"/>
    </row>
    <row r="227" ht="13.2" customHeight="1" s="49">
      <c r="A227" s="37" t="n">
        <v>225</v>
      </c>
      <c r="B227" s="38" t="inlineStr">
        <is>
          <t>ข้อใดควรแนะนำสำหรับผู้ป่วยรายนี้ (Caseติดเชื้อ tricomonasis)</t>
        </is>
      </c>
      <c r="C227" s="38" t="n"/>
      <c r="D227" s="38" t="inlineStr">
        <is>
          <t>Tenofovir/Emtricitabine 300/200 mg OD</t>
        </is>
      </c>
      <c r="E227" s="38" t="inlineStr">
        <is>
          <t>Dolutegravir 50 mg OD</t>
        </is>
      </c>
      <c r="F227" s="38" t="inlineStr">
        <is>
          <t>Vancomycin 1 g IV Q12H</t>
        </is>
      </c>
      <c r="G227" s="38" t="inlineStr">
        <is>
          <t>Meropenem 1 g IV Q8H</t>
        </is>
      </c>
      <c r="H227" s="38" t="inlineStr">
        <is>
          <t>Cefazolin 1 g IV Q8H</t>
        </is>
      </c>
      <c r="I227" s="37" t="inlineStr">
        <is>
          <t>1</t>
        </is>
      </c>
      <c r="J227"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7" s="38" t="n"/>
      <c r="L227" s="39" t="inlineStr">
        <is>
          <t>HIV infection</t>
        </is>
      </c>
      <c r="M227" s="39" t="inlineStr">
        <is>
          <t>Clinic</t>
        </is>
      </c>
      <c r="N227" s="38" t="inlineStr">
        <is>
          <t>ข้อ 5 (PLE_CC1_2556.md)</t>
        </is>
      </c>
      <c r="O227" s="39" t="n"/>
      <c r="P227" s="39" t="n"/>
    </row>
    <row r="228" ht="13.2" customHeight="1" s="49">
      <c r="A228" s="37" t="n">
        <v>226</v>
      </c>
      <c r="B228" s="38" t="inlineStr">
        <is>
          <t>ติดเชื้อแบคทีเรียในโพรงจมูก</t>
        </is>
      </c>
      <c r="C228" s="38" t="n"/>
      <c r="D228" s="38" t="inlineStr">
        <is>
          <t>Meropenem 1 g IV Q8H</t>
        </is>
      </c>
      <c r="E228" s="38" t="inlineStr">
        <is>
          <t>Cefazolin 1 g IV Q8H</t>
        </is>
      </c>
      <c r="F228" s="38" t="inlineStr">
        <is>
          <t>Amoxicillin/Clavulanate 1 g BID</t>
        </is>
      </c>
      <c r="G228" s="38" t="inlineStr">
        <is>
          <t>Ceftriaxone 1 g IV OD</t>
        </is>
      </c>
      <c r="H228" s="38" t="inlineStr">
        <is>
          <t>Ciprofloxacin 500 mg BID</t>
        </is>
      </c>
      <c r="I228" s="37" t="inlineStr">
        <is>
          <t>1</t>
        </is>
      </c>
      <c r="J228"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8" s="38" t="n"/>
      <c r="L228" s="39" t="inlineStr">
        <is>
          <t>HIV infection</t>
        </is>
      </c>
      <c r="M228" s="39" t="inlineStr">
        <is>
          <t>Clinic</t>
        </is>
      </c>
      <c r="N228" s="38" t="inlineStr">
        <is>
          <t>ข้อ 2 (PLE_CC1_2555 Day 2.md)</t>
        </is>
      </c>
      <c r="O228" s="39" t="n"/>
      <c r="P228" s="39" t="n"/>
    </row>
    <row r="229" ht="13.2" customHeight="1" s="49">
      <c r="A229" s="37" t="n">
        <v>227</v>
      </c>
      <c r="B229" s="38" t="inlineStr">
        <is>
          <t>ติดเชื้อแบคทีเรีย</t>
        </is>
      </c>
      <c r="C229" s="38" t="n"/>
      <c r="D229" s="38" t="inlineStr">
        <is>
          <t>Ceftriaxone 1 g IV OD</t>
        </is>
      </c>
      <c r="E229" s="38" t="inlineStr">
        <is>
          <t>Ciprofloxacin 500 mg BID</t>
        </is>
      </c>
      <c r="F229" s="38" t="inlineStr">
        <is>
          <t>Azithromycin 500 mg OD</t>
        </is>
      </c>
      <c r="G229" s="38" t="inlineStr">
        <is>
          <t>Doxycycline 100 mg BID</t>
        </is>
      </c>
      <c r="H229" s="38" t="inlineStr">
        <is>
          <t>Cotrimoxazole 160/800 mg BID</t>
        </is>
      </c>
      <c r="I229" s="37" t="inlineStr">
        <is>
          <t>1</t>
        </is>
      </c>
      <c r="J229"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29" s="38" t="n"/>
      <c r="L229" s="39" t="inlineStr">
        <is>
          <t>HIV infection</t>
        </is>
      </c>
      <c r="M229" s="39" t="inlineStr">
        <is>
          <t>Clinic</t>
        </is>
      </c>
      <c r="N229" s="38" t="inlineStr">
        <is>
          <t>ข้อ 1 (PLE_CC1_2555 Day 2.md)</t>
        </is>
      </c>
      <c r="O229" s="39" t="n"/>
      <c r="P229" s="39" t="n"/>
    </row>
    <row r="230" ht="13.2" customHeight="1" s="49">
      <c r="A230" s="37" t="n">
        <v>228</v>
      </c>
      <c r="B230" s="38" t="inlineStr">
        <is>
          <t>เปลี่ยนจาก amoxicillin เป็น ciprofloxacin</t>
        </is>
      </c>
      <c r="C230" s="38" t="n"/>
      <c r="D230" s="38" t="inlineStr">
        <is>
          <t>Doxycycline 100 mg BID</t>
        </is>
      </c>
      <c r="E230" s="38" t="inlineStr">
        <is>
          <t>Cotrimoxazole 160/800 mg BID</t>
        </is>
      </c>
      <c r="F230" s="38" t="inlineStr">
        <is>
          <t>Metronidazole 400 mg TID</t>
        </is>
      </c>
      <c r="G230" s="38" t="inlineStr">
        <is>
          <t>Nitrofurantoin 100 mg BID</t>
        </is>
      </c>
      <c r="H230" s="38" t="inlineStr">
        <is>
          <t>Tenofovir/Emtricitabine 300/200 mg OD</t>
        </is>
      </c>
      <c r="I230" s="37" t="inlineStr">
        <is>
          <t>1</t>
        </is>
      </c>
      <c r="J230"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38" t="n"/>
      <c r="L230" s="39" t="inlineStr">
        <is>
          <t>Cystitis</t>
        </is>
      </c>
      <c r="M230" s="39" t="inlineStr">
        <is>
          <t>Clinic</t>
        </is>
      </c>
      <c r="N230" s="38" t="inlineStr">
        <is>
          <t>ข้อ 3 (PLE_CC1_2555 Day 2.md)</t>
        </is>
      </c>
      <c r="O230" s="39" t="n"/>
      <c r="P230" s="39" t="n"/>
    </row>
    <row r="231" ht="13.2" customHeight="1" s="49">
      <c r="A231" s="37" t="n">
        <v>229</v>
      </c>
      <c r="B231" s="38" t="inlineStr">
        <is>
          <t>เปลี่ยนจาก amoxicillin เป็น azithromycin</t>
        </is>
      </c>
      <c r="C231" s="38" t="n"/>
      <c r="D231" s="38" t="inlineStr">
        <is>
          <t>Nitrofurantoin 100 mg BID</t>
        </is>
      </c>
      <c r="E231" s="38" t="inlineStr">
        <is>
          <t>Tenofovir/Emtricitabine 300/200 mg OD</t>
        </is>
      </c>
      <c r="F231" s="38" t="inlineStr">
        <is>
          <t>Dolutegravir 50 mg OD</t>
        </is>
      </c>
      <c r="G231" s="38" t="inlineStr">
        <is>
          <t>Vancomycin 1 g IV Q12H</t>
        </is>
      </c>
      <c r="H231" s="38" t="inlineStr">
        <is>
          <t>Meropenem 1 g IV Q8H</t>
        </is>
      </c>
      <c r="I231" s="37" t="inlineStr">
        <is>
          <t>1</t>
        </is>
      </c>
      <c r="J231"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38" t="n"/>
      <c r="L231" s="39" t="inlineStr">
        <is>
          <t>Pneumonia</t>
        </is>
      </c>
      <c r="M231" s="39" t="inlineStr">
        <is>
          <t>Clinic</t>
        </is>
      </c>
      <c r="N231" s="38" t="inlineStr">
        <is>
          <t>ข้อ 4 (PLE_CC1_2555 Day 2.md)</t>
        </is>
      </c>
      <c r="O231" s="39" t="n"/>
      <c r="P231" s="39" t="n"/>
    </row>
    <row r="232" ht="13.2" customHeight="1" s="49">
      <c r="A232" s="37" t="n">
        <v>230</v>
      </c>
      <c r="B232" s="38" t="inlineStr">
        <is>
          <t>ลด amoxicillin ลงครึ่งหนึ่ง</t>
        </is>
      </c>
      <c r="C232" s="38" t="n"/>
      <c r="D232" s="38" t="inlineStr">
        <is>
          <t>Vancomycin 1 g IV Q12H</t>
        </is>
      </c>
      <c r="E232" s="38" t="inlineStr">
        <is>
          <t>Meropenem 1 g IV Q8H</t>
        </is>
      </c>
      <c r="F232" s="38" t="inlineStr">
        <is>
          <t>Cefazolin 1 g IV Q8H</t>
        </is>
      </c>
      <c r="G232" s="38" t="inlineStr">
        <is>
          <t>Amoxicillin/Clavulanate 1 g BID</t>
        </is>
      </c>
      <c r="H232" s="38" t="inlineStr">
        <is>
          <t>Ceftriaxone 1 g IV OD</t>
        </is>
      </c>
      <c r="I232" s="37" t="inlineStr">
        <is>
          <t>1</t>
        </is>
      </c>
      <c r="J232"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38" t="n"/>
      <c r="L232" s="39" t="inlineStr">
        <is>
          <t>URTI</t>
        </is>
      </c>
      <c r="M232" s="39" t="inlineStr">
        <is>
          <t>Clinic</t>
        </is>
      </c>
      <c r="N232" s="38" t="inlineStr">
        <is>
          <t>ข้อ 5 (PLE_CC1_2555 Day 2.md)</t>
        </is>
      </c>
      <c r="O232" s="39" t="n"/>
      <c r="P232" s="39" t="n"/>
    </row>
    <row r="233" ht="13.2" customHeight="1" s="49">
      <c r="A233" s="37" t="n">
        <v>231</v>
      </c>
      <c r="B233" s="38" t="inlineStr">
        <is>
          <t>ติดเชื้อแบคทีเรีย แต่ติดเชื้อเพิ่มอีกตัวหนึ่ง</t>
        </is>
      </c>
      <c r="C233" s="38" t="n"/>
      <c r="D233" s="38" t="inlineStr">
        <is>
          <t>Amoxicillin/Clavulanate 1 g BID</t>
        </is>
      </c>
      <c r="E233" s="38" t="inlineStr">
        <is>
          <t>Ceftriaxone 1 g IV OD</t>
        </is>
      </c>
      <c r="F233" s="38" t="inlineStr">
        <is>
          <t>Ciprofloxacin 500 mg BID</t>
        </is>
      </c>
      <c r="G233" s="38" t="inlineStr">
        <is>
          <t>Azithromycin 500 mg OD</t>
        </is>
      </c>
      <c r="H233" s="38" t="inlineStr">
        <is>
          <t>Doxycycline 100 mg BID</t>
        </is>
      </c>
      <c r="I233" s="37" t="inlineStr">
        <is>
          <t>1</t>
        </is>
      </c>
      <c r="J233"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3" s="38" t="n"/>
      <c r="L233" s="39" t="inlineStr">
        <is>
          <t>HIV infection</t>
        </is>
      </c>
      <c r="M233" s="39" t="inlineStr">
        <is>
          <t>Clinic</t>
        </is>
      </c>
      <c r="N233" s="38" t="inlineStr">
        <is>
          <t>ข้อ 2 (PLE_CC1_2555 Day 2.md)</t>
        </is>
      </c>
      <c r="O233" s="39" t="n"/>
      <c r="P233" s="39" t="n"/>
    </row>
    <row r="234" ht="13.2" customHeight="1" s="49">
      <c r="A234" s="37" t="n">
        <v>232</v>
      </c>
      <c r="B234" s="38" t="inlineStr">
        <is>
          <t>ติดเชื้อที่หูส่วนกลาง</t>
        </is>
      </c>
      <c r="C234" s="38" t="n"/>
      <c r="D234" s="38" t="inlineStr">
        <is>
          <t>Metronidazole 400 mg TID</t>
        </is>
      </c>
      <c r="E234" s="38" t="inlineStr">
        <is>
          <t>Nitrofurantoin 100 mg BID</t>
        </is>
      </c>
      <c r="F234" s="38" t="inlineStr">
        <is>
          <t>Tenofovir/Emtricitabine 300/200 mg OD</t>
        </is>
      </c>
      <c r="G234" s="38" t="inlineStr">
        <is>
          <t>Dolutegravir 50 mg OD</t>
        </is>
      </c>
      <c r="H234" s="38" t="inlineStr">
        <is>
          <t>Vancomycin 1 g IV Q12H</t>
        </is>
      </c>
      <c r="I234" s="37" t="inlineStr">
        <is>
          <t>1</t>
        </is>
      </c>
      <c r="J234"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4" s="38" t="n"/>
      <c r="L234" s="39" t="inlineStr">
        <is>
          <t>HIV infection</t>
        </is>
      </c>
      <c r="M234" s="39" t="inlineStr">
        <is>
          <t>Clinic</t>
        </is>
      </c>
      <c r="N234" s="38" t="inlineStr">
        <is>
          <t>ข้อ 2 (PLE_CC1_2555 Day 2.md)</t>
        </is>
      </c>
      <c r="O234" s="39" t="n"/>
      <c r="P234" s="39" t="n"/>
    </row>
    <row r="235" ht="13.2" customHeight="1" s="49">
      <c r="A235" s="37" t="n">
        <v>233</v>
      </c>
      <c r="B235" s="38" t="inlineStr">
        <is>
          <t>Burrow solution</t>
        </is>
      </c>
      <c r="C235" s="38" t="n"/>
      <c r="D235" s="38" t="inlineStr">
        <is>
          <t>) .......... ointment</t>
        </is>
      </c>
      <c r="E235" s="38" t="inlineStr">
        <is>
          <t>Vancomycin 1 g IV Q12H</t>
        </is>
      </c>
      <c r="F235" s="38" t="inlineStr">
        <is>
          <t>Meropenem 1 g IV Q8H</t>
        </is>
      </c>
      <c r="G235" s="38" t="inlineStr">
        <is>
          <t>Cefazolin 1 g IV Q8H</t>
        </is>
      </c>
      <c r="H235" s="38" t="inlineStr">
        <is>
          <t>Amoxicillin/Clavulanate 1 g BID</t>
        </is>
      </c>
      <c r="I235" s="37" t="inlineStr">
        <is>
          <t>1</t>
        </is>
      </c>
      <c r="J235" s="38"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38" t="n"/>
      <c r="L235" s="39" t="inlineStr">
        <is>
          <t>Cystitis</t>
        </is>
      </c>
      <c r="M235" s="39" t="inlineStr">
        <is>
          <t>Clinic</t>
        </is>
      </c>
      <c r="N235" s="38" t="inlineStr">
        <is>
          <t>ข้อ 2 (PLE_CC1_2555 Day 2.md)</t>
        </is>
      </c>
      <c r="O235" s="39" t="n"/>
      <c r="P235" s="39" t="n"/>
    </row>
    <row r="236" ht="13.2" customHeight="1" s="49">
      <c r="A236" s="37" t="n">
        <v>234</v>
      </c>
      <c r="B236" s="38"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38" t="n"/>
      <c r="D236" s="38" t="inlineStr">
        <is>
          <t>Cefazolin 1 g IV Q8H</t>
        </is>
      </c>
      <c r="E236" s="38" t="inlineStr">
        <is>
          <t>Amoxicillin/Clavulanate 1 g BID</t>
        </is>
      </c>
      <c r="F236" s="38" t="inlineStr">
        <is>
          <t>Ceftriaxone 1 g IV OD</t>
        </is>
      </c>
      <c r="G236" s="38" t="inlineStr">
        <is>
          <t>Ciprofloxacin 500 mg BID</t>
        </is>
      </c>
      <c r="H236" s="38" t="inlineStr">
        <is>
          <t>Azithromycin 500 mg OD</t>
        </is>
      </c>
      <c r="I236" s="37" t="inlineStr">
        <is>
          <t>1</t>
        </is>
      </c>
      <c r="J236"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38" t="n"/>
      <c r="L236" s="39" t="inlineStr">
        <is>
          <t>Cystitis</t>
        </is>
      </c>
      <c r="M236" s="39" t="inlineStr">
        <is>
          <t>Clinic</t>
        </is>
      </c>
      <c r="N236" s="38" t="inlineStr">
        <is>
          <t>ข้อ 5 (PLE_CC1_2555 Day 2.md)</t>
        </is>
      </c>
      <c r="O236" s="39" t="n"/>
      <c r="P236" s="39" t="n"/>
    </row>
    <row r="237" ht="13.2" customHeight="1" s="49">
      <c r="A237" s="37" t="n">
        <v>235</v>
      </c>
      <c r="B237" s="38" t="inlineStr">
        <is>
          <t>การจะตรวจว่าผู้ป่วยเป็นวัณโรคต้องตรวจหาเชื้ออะไร</t>
        </is>
      </c>
      <c r="C237" s="38" t="n"/>
      <c r="D237" s="38" t="inlineStr">
        <is>
          <t>Ciprofloxacin 500 mg BID</t>
        </is>
      </c>
      <c r="E237" s="38" t="inlineStr">
        <is>
          <t>Azithromycin 500 mg OD</t>
        </is>
      </c>
      <c r="F237" s="38" t="inlineStr">
        <is>
          <t>Doxycycline 100 mg BID</t>
        </is>
      </c>
      <c r="G237" s="38" t="inlineStr">
        <is>
          <t>Cotrimoxazole 160/800 mg BID</t>
        </is>
      </c>
      <c r="H237" s="38" t="inlineStr">
        <is>
          <t>Metronidazole 400 mg TID</t>
        </is>
      </c>
      <c r="I237" s="37" t="inlineStr">
        <is>
          <t>1</t>
        </is>
      </c>
      <c r="J237"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38" t="n"/>
      <c r="L237" s="39" t="inlineStr">
        <is>
          <t>Tuberculosis</t>
        </is>
      </c>
      <c r="M237" s="39" t="inlineStr">
        <is>
          <t>Clinic</t>
        </is>
      </c>
      <c r="N237" s="38" t="inlineStr">
        <is>
          <t>ข้อ 1 (PLE_CC1_2555 Day 2.md)</t>
        </is>
      </c>
      <c r="O237" s="39" t="n"/>
      <c r="P237" s="39" t="n"/>
    </row>
    <row r="238" ht="13.2" customHeight="1" s="49">
      <c r="A238" s="37" t="n">
        <v>236</v>
      </c>
      <c r="B238" s="38" t="inlineStr">
        <is>
          <t>ติดเชื้อ HIV แต่ไม่ใช่ผู้ป่วยเอดส์</t>
        </is>
      </c>
      <c r="C238" s="38" t="n"/>
      <c r="D238" s="38" t="inlineStr">
        <is>
          <t>Cotrimoxazole 160/800 mg BID</t>
        </is>
      </c>
      <c r="E238" s="38" t="inlineStr">
        <is>
          <t>Metronidazole 400 mg TID</t>
        </is>
      </c>
      <c r="F238" s="38" t="inlineStr">
        <is>
          <t>Nitrofurantoin 100 mg BID</t>
        </is>
      </c>
      <c r="G238" s="38" t="inlineStr">
        <is>
          <t>Tenofovir/Emtricitabine 300/200 mg OD</t>
        </is>
      </c>
      <c r="H238" s="38" t="inlineStr">
        <is>
          <t>Dolutegravir 50 mg OD</t>
        </is>
      </c>
      <c r="I238" s="37" t="inlineStr">
        <is>
          <t>1</t>
        </is>
      </c>
      <c r="J238" s="38" t="inlineStr">
        <is>
          <t>✅ คำตอบที่ถูกต้อง: ข้อ ก. Cotrimoxazole 160/800 mg BID
💡 Background:
การดูแลผู้ติดเชื้อ HIV เน้นเริ่ม Antiretroviral Therapy (ART) ทันทีเพื่อกด viral load ให้ undetectable (U=U) และฟื้นฟูระบบภูมิคุ้มกัน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38" s="38" t="n"/>
      <c r="L238" s="39" t="inlineStr">
        <is>
          <t>HIV infection</t>
        </is>
      </c>
      <c r="M238" s="39" t="inlineStr">
        <is>
          <t>Clinic</t>
        </is>
      </c>
      <c r="N238" s="38" t="inlineStr">
        <is>
          <t>ข้อ 1 (PLE_CC1_2555 Day 2.md)</t>
        </is>
      </c>
      <c r="O238" s="39" t="n"/>
      <c r="P238" s="39" t="n"/>
    </row>
    <row r="239" ht="13.2" customHeight="1" s="49">
      <c r="A239" s="37" t="n">
        <v>237</v>
      </c>
      <c r="B239" s="38" t="inlineStr">
        <is>
          <t>ติดเชื้อวัณโรคแต่ไม่เป็นเอดส์</t>
        </is>
      </c>
      <c r="C239" s="38" t="n"/>
      <c r="D239" s="38" t="inlineStr">
        <is>
          <t>Tenofovir/Emtricitabine 300/200 mg OD</t>
        </is>
      </c>
      <c r="E239" s="38" t="inlineStr">
        <is>
          <t>Dolutegravir 50 mg OD</t>
        </is>
      </c>
      <c r="F239" s="38" t="inlineStr">
        <is>
          <t>Vancomycin 1 g IV Q12H</t>
        </is>
      </c>
      <c r="G239" s="38" t="inlineStr">
        <is>
          <t>Meropenem 1 g IV Q8H</t>
        </is>
      </c>
      <c r="H239" s="38" t="inlineStr">
        <is>
          <t>Cefazolin 1 g IV Q8H</t>
        </is>
      </c>
      <c r="I239" s="37" t="inlineStr">
        <is>
          <t>1</t>
        </is>
      </c>
      <c r="J239" s="38"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38" t="n"/>
      <c r="L239" s="39" t="inlineStr">
        <is>
          <t>Tuberculosis</t>
        </is>
      </c>
      <c r="M239" s="39" t="inlineStr">
        <is>
          <t>Clinic</t>
        </is>
      </c>
      <c r="N239" s="38" t="inlineStr">
        <is>
          <t>ข้อ 2 (PLE_CC1_2555 Day 2.md)</t>
        </is>
      </c>
      <c r="O239" s="39" t="n"/>
      <c r="P239" s="39" t="n"/>
    </row>
    <row r="240" ht="13.2" customHeight="1" s="49">
      <c r="A240" s="37" t="n">
        <v>238</v>
      </c>
      <c r="B240" s="38" t="inlineStr">
        <is>
          <t>เลือกสูตร GPO-vir หลังรักษา TB 2-4 สัปดาห์</t>
        </is>
      </c>
      <c r="C240" s="38" t="n"/>
      <c r="D240" s="38" t="inlineStr">
        <is>
          <t>Meropenem 1 g IV Q8H</t>
        </is>
      </c>
      <c r="E240" s="38" t="inlineStr">
        <is>
          <t>Cefazolin 1 g IV Q8H</t>
        </is>
      </c>
      <c r="F240" s="38" t="inlineStr">
        <is>
          <t>Amoxicillin/Clavulanate 1 g BID</t>
        </is>
      </c>
      <c r="G240" s="38" t="inlineStr">
        <is>
          <t>Ceftriaxone 1 g IV OD</t>
        </is>
      </c>
      <c r="H240" s="38" t="inlineStr">
        <is>
          <t>Ciprofloxacin 500 mg BID</t>
        </is>
      </c>
      <c r="I240" s="37" t="inlineStr">
        <is>
          <t>1</t>
        </is>
      </c>
      <c r="J240" s="38"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38" t="n"/>
      <c r="L240" s="39" t="inlineStr">
        <is>
          <t>Tuberculosis</t>
        </is>
      </c>
      <c r="M240" s="39" t="inlineStr">
        <is>
          <t>Clinic</t>
        </is>
      </c>
      <c r="N240" s="38" t="inlineStr">
        <is>
          <t>ข้อ 1 (PLE_CC1_2555 Day 2.md)</t>
        </is>
      </c>
      <c r="O240" s="39" t="n"/>
      <c r="P240" s="39" t="n"/>
    </row>
    <row r="241" ht="13.2" customHeight="1" s="49">
      <c r="A241" s="37" t="n">
        <v>239</v>
      </c>
      <c r="B241" s="38" t="inlineStr">
        <is>
          <t>เปลี่ยนเป็น Efavirenz เพื่อป้องกันการเกิดอันตรกิริยากับยา Rifampin</t>
        </is>
      </c>
      <c r="C241" s="38" t="n"/>
      <c r="D241" s="38" t="inlineStr">
        <is>
          <t>Ceftriaxone 1 g IV OD</t>
        </is>
      </c>
      <c r="E241" s="38" t="inlineStr">
        <is>
          <t>Ciprofloxacin 500 mg BID</t>
        </is>
      </c>
      <c r="F241" s="38" t="inlineStr">
        <is>
          <t>Azithromycin 500 mg OD</t>
        </is>
      </c>
      <c r="G241" s="38" t="inlineStr">
        <is>
          <t>Doxycycline 100 mg BID</t>
        </is>
      </c>
      <c r="H241" s="38" t="inlineStr">
        <is>
          <t>Cotrimoxazole 160/800 mg BID</t>
        </is>
      </c>
      <c r="I241" s="37" t="inlineStr">
        <is>
          <t>1</t>
        </is>
      </c>
      <c r="J241"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CNS Adverse Effects: ทำให้เกิด vivid dreams, ฝันร้าย, วิงเวียน, ซึมเศร้า หรือ psychosis แนะนำรับประทานก่อนนอนตอนท้องว่างเพื่อลด Cmax
• CYP3A4 Induction: เป็น CYP3A4 inducer ลดระดับยาคุมกำเนิดและยารักษาโรคอื่นหลายชนิด</t>
        </is>
      </c>
      <c r="K241" s="38" t="n"/>
      <c r="L241" s="39" t="inlineStr">
        <is>
          <t>HIV infection</t>
        </is>
      </c>
      <c r="M241" s="39" t="inlineStr">
        <is>
          <t>Clinic</t>
        </is>
      </c>
      <c r="N241" s="38" t="inlineStr">
        <is>
          <t>ข้อ 4 (PLE_CC1_2555 Day 2.md)</t>
        </is>
      </c>
      <c r="O241" s="39" t="n"/>
      <c r="P241" s="39" t="n"/>
    </row>
    <row r="242" ht="13.2" customHeight="1" s="49">
      <c r="A242" s="37" t="n">
        <v>240</v>
      </c>
      <c r="B242" s="38" t="inlineStr">
        <is>
          <t>KI+I2 เป็นการเตรียมยาโดยใช้เทคนิคพิเศษที่เรียกว่าอะไร</t>
        </is>
      </c>
      <c r="C242" s="38" t="n"/>
      <c r="D242" s="38" t="inlineStr">
        <is>
          <t>complexation</t>
        </is>
      </c>
      <c r="E242" s="38" t="inlineStr">
        <is>
          <t>trituration</t>
        </is>
      </c>
      <c r="F242" s="38" t="inlineStr">
        <is>
          <t>emulsification</t>
        </is>
      </c>
      <c r="G242" s="38" t="inlineStr">
        <is>
          <t>suspension</t>
        </is>
      </c>
      <c r="H242" s="38" t="inlineStr">
        <is>
          <t>levigation 39.การทำ KI+I2 ควรเตรียมโดยข้อใด</t>
        </is>
      </c>
      <c r="I242" s="37" t="inlineStr">
        <is>
          <t>1</t>
        </is>
      </c>
      <c r="J242" s="38" t="inlineStr">
        <is>
          <t>✅ คำตอบที่ถูกต้อง: ข้อ ก. complexation
💡 Background:
การดูแลผู้ติดเชื้อ HIV เน้นเริ่ม Antiretroviral Therapy (ART) ทันทีเพื่อกด viral load ให้ undetectable (U=U) และฟื้นฟูระบบภูมิคุ้มกัน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คือการบดลดขนาดอนุภาคของแข็งให้ละเอียดโดยใช้โกร่งและสาก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2" s="38" t="n"/>
      <c r="L242" s="39" t="inlineStr">
        <is>
          <t>HIV infection</t>
        </is>
      </c>
      <c r="M242" s="39" t="inlineStr">
        <is>
          <t>Clinic</t>
        </is>
      </c>
      <c r="N242" s="38" t="inlineStr">
        <is>
          <t>ข้อ 38 (PLE_CC1_2554 SET1.md)</t>
        </is>
      </c>
      <c r="O242" s="39" t="n"/>
      <c r="P242" s="39" t="n"/>
    </row>
    <row r="243" ht="13.2" customHeight="1" s="49">
      <c r="A243" s="37" t="n">
        <v>241</v>
      </c>
      <c r="B243" s="38" t="inlineStr">
        <is>
          <t>ผลข้างเคียงจากการใช้ยา acyclovir</t>
        </is>
      </c>
      <c r="C243" s="38" t="n"/>
      <c r="D243" s="38" t="inlineStr">
        <is>
          <t>ปวดเมื่อย</t>
        </is>
      </c>
      <c r="E243" s="38" t="inlineStr">
        <is>
          <t>ตาพร่า</t>
        </is>
      </c>
      <c r="F243" s="38" t="inlineStr">
        <is>
          <t>คลื่นไส้ อาเจียน</t>
        </is>
      </c>
      <c r="G243" s="38" t="inlineStr">
        <is>
          <t>หยุดหายใจ อ้างอิง: www.drugs.com</t>
        </is>
      </c>
      <c r="H243" s="38" t="inlineStr">
        <is>
          <t>Meropenem 1 g IV Q8H</t>
        </is>
      </c>
      <c r="I243" s="37" t="inlineStr">
        <is>
          <t>3</t>
        </is>
      </c>
      <c r="J243" s="38" t="inlineStr">
        <is>
          <t>✅ คำตอบที่ถูกต้อง: ข้อ ค. คลื่นไส้ อาเจียน
💡 Background:
การดูแลผู้ติดเชื้อ HIV เน้นเริ่ม Antiretroviral Therapy (ART) ทันทีเพื่อกด viral load ให้ undetectable (U=U) และฟื้นฟูระบบภูมิคุ้มกัน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3" s="38" t="n"/>
      <c r="L243" s="39" t="inlineStr">
        <is>
          <t>HIV infection</t>
        </is>
      </c>
      <c r="M243" s="39" t="inlineStr">
        <is>
          <t>Clinic</t>
        </is>
      </c>
      <c r="N243" s="38" t="inlineStr">
        <is>
          <t>ข้อ 6 (PLE_CC1_2554 SET2.md)</t>
        </is>
      </c>
      <c r="O243" s="39" t="n"/>
      <c r="P243" s="39" t="n"/>
    </row>
    <row r="244" ht="13.2" customHeight="1" s="49">
      <c r="A244" s="37" t="n">
        <v>242</v>
      </c>
      <c r="B244" s="38"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38" t="n"/>
      <c r="D244" s="38" t="inlineStr">
        <is>
          <t>Vancomycin 1 g IV Q12H</t>
        </is>
      </c>
      <c r="E244" s="38" t="inlineStr">
        <is>
          <t>Meropenem 1 g IV Q8H</t>
        </is>
      </c>
      <c r="F244" s="38" t="inlineStr">
        <is>
          <t>Cefazolin 1 g IV Q8H</t>
        </is>
      </c>
      <c r="G244" s="38" t="inlineStr">
        <is>
          <t>Amoxicillin/Clavulanate 1 g BID</t>
        </is>
      </c>
      <c r="H244" s="38" t="inlineStr">
        <is>
          <t>Ceftriaxone 1 g IV OD</t>
        </is>
      </c>
      <c r="I244" s="37" t="inlineStr">
        <is>
          <t>1</t>
        </is>
      </c>
      <c r="J244" s="38"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38" t="n"/>
      <c r="L244" s="39" t="inlineStr">
        <is>
          <t>Cystitis</t>
        </is>
      </c>
      <c r="M244" s="39" t="inlineStr">
        <is>
          <t>Clinic</t>
        </is>
      </c>
      <c r="N244" s="38" t="inlineStr">
        <is>
          <t>ข้อ 1 (PLE_CC1_2554 SET2.md)</t>
        </is>
      </c>
      <c r="O244" s="39" t="n"/>
      <c r="P244" s="39" t="n"/>
    </row>
    <row r="245" ht="13.2" customHeight="1" s="49">
      <c r="A245" s="37" t="n">
        <v>243</v>
      </c>
      <c r="B245" s="38" t="inlineStr">
        <is>
          <t>ท่านควรจ่ายปฏิชีวนะใด แก่ผู้ป่วยรายนี้ เพื่อป้องกันการติดเชื้อข้างต้น ก . ketoconazole</t>
        </is>
      </c>
      <c r="C245" s="38" t="n"/>
      <c r="D245" s="38" t="inlineStr">
        <is>
          <t>imipenam ค . tetracycline</t>
        </is>
      </c>
      <c r="E245" s="38" t="inlineStr">
        <is>
          <t>amoxicillin</t>
        </is>
      </c>
      <c r="F245" s="38" t="inlineStr">
        <is>
          <t>cloxacillin carbapenem (MSSA) โดย cloxacillin มีประสิทธิภาพดีที่สุดใน ,cephalosporin ส่วน ketoconazole เป็นยารักษาเชื้อรา (Survival Guide on Pharmacotherapy Vol. 1)</t>
        </is>
      </c>
      <c r="G245" s="38" t="inlineStr">
        <is>
          <t>Azithromycin 500 mg OD</t>
        </is>
      </c>
      <c r="H245" s="38" t="inlineStr">
        <is>
          <t>Doxycycline 100 mg BID</t>
        </is>
      </c>
      <c r="I245" s="37" t="inlineStr">
        <is>
          <t>5</t>
        </is>
      </c>
      <c r="J245" s="38" t="inlineStr">
        <is>
          <t>✅ คำตอบที่ถูกต้อง: ข้อ จ.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5" s="38" t="n"/>
      <c r="L245" s="39" t="inlineStr">
        <is>
          <t>HIV infection</t>
        </is>
      </c>
      <c r="M245" s="39" t="inlineStr">
        <is>
          <t>Clinic</t>
        </is>
      </c>
      <c r="N245" s="38" t="inlineStr">
        <is>
          <t>ข้อ 24 (PLE_CC1_2554 SET2.md)</t>
        </is>
      </c>
      <c r="O245" s="39" t="n"/>
      <c r="P245" s="39" t="n"/>
    </row>
    <row r="246" ht="13.2" customHeight="1" s="49">
      <c r="A246" s="37" t="n">
        <v>244</v>
      </c>
      <c r="B246" s="38" t="inlineStr">
        <is>
          <t>ข้อใดถูกต้องเกี่ยวกับกลไกของยา acyclovir</t>
        </is>
      </c>
      <c r="C246" s="38" t="n"/>
      <c r="D246" s="38" t="inlineStr">
        <is>
          <t>ยับยั้ง RNA polymerase</t>
        </is>
      </c>
      <c r="E246" s="38" t="inlineStr">
        <is>
          <t>เปลี่ยนเป็น triphosphate เท่านั้น จึงจะออกฤทธิ์</t>
        </is>
      </c>
      <c r="F246" s="38" t="inlineStr">
        <is>
          <t>เป็น product เมื่อเข้าสู่ร่างกายจะกลายเป็น valacyclovir</t>
        </is>
      </c>
      <c r="G246" s="38" t="inlineStr">
        <is>
          <t>มีเฉพาะรูปแบบยารับประทานเท่านั้น</t>
        </is>
      </c>
      <c r="H246" s="38" t="inlineStr">
        <is>
          <t>ยับยั้ง Viral DNA polymerase</t>
        </is>
      </c>
      <c r="I246" s="37" t="inlineStr">
        <is>
          <t>2</t>
        </is>
      </c>
      <c r="J246" s="38" t="inlineStr">
        <is>
          <t>✅ คำตอบที่ถูกต้อง: ข้อ ข. เปลี่ยนเป็น triphosphate เท่านั้น จึงจะออกฤทธิ์
💡 Background:
การดูแลผู้ติดเชื้อ HIV เน้นเริ่ม Antiretroviral Therapy (ART) ทันทีเพื่อกด viral load ให้ undetectable (U=U) และฟื้นฟูระบบภูมิคุ้มกัน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46" s="38" t="n"/>
      <c r="L246" s="39" t="inlineStr">
        <is>
          <t>HIV infection</t>
        </is>
      </c>
      <c r="M246" s="39" t="inlineStr">
        <is>
          <t>Clinic</t>
        </is>
      </c>
      <c r="N246" s="38" t="inlineStr">
        <is>
          <t>ข้อ 4 (PLE_CC1_2554 SET2.md)</t>
        </is>
      </c>
      <c r="O246" s="39" t="n"/>
      <c r="P246" s="39" t="n"/>
    </row>
    <row r="247" ht="13.2" customHeight="1" s="49">
      <c r="A247" s="37" t="n">
        <v>245</v>
      </c>
      <c r="B247" s="38" t="inlineStr">
        <is>
          <t>renal insufficiency Precautions</t>
        </is>
      </c>
      <c r="C247" s="38" t="n"/>
      <c r="D247" s="38" t="inlineStr">
        <is>
          <t>Metronidazole 400 mg TID</t>
        </is>
      </c>
      <c r="E247" s="38" t="inlineStr">
        <is>
          <t>Nitrofurantoin 100 mg BID</t>
        </is>
      </c>
      <c r="F247" s="38" t="inlineStr">
        <is>
          <t>Tenofovir/Emtricitabine 300/200 mg OD</t>
        </is>
      </c>
      <c r="G247" s="38" t="inlineStr">
        <is>
          <t>Dolutegravir 50 mg OD</t>
        </is>
      </c>
      <c r="H247" s="38" t="inlineStr">
        <is>
          <t>Vancomycin 1 g IV Q12H</t>
        </is>
      </c>
      <c r="I247" s="37" t="inlineStr">
        <is>
          <t>1</t>
        </is>
      </c>
      <c r="J247"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38" t="n"/>
      <c r="L247" s="39" t="inlineStr">
        <is>
          <t>Cystitis</t>
        </is>
      </c>
      <c r="M247" s="39" t="inlineStr">
        <is>
          <t>Clinic</t>
        </is>
      </c>
      <c r="N247" s="38" t="inlineStr">
        <is>
          <t>ข้อ 2 (PLE_CC1_2533.md)</t>
        </is>
      </c>
      <c r="O247" s="39" t="n"/>
      <c r="P247" s="39" t="n"/>
    </row>
    <row r="248" ht="13.2" customHeight="1" s="49">
      <c r="A248" s="37" t="n">
        <v>246</v>
      </c>
      <c r="B248" s="38"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38" t="n"/>
      <c r="D248" s="38" t="inlineStr">
        <is>
          <t>Dolutegravir 50 mg OD</t>
        </is>
      </c>
      <c r="E248" s="38" t="inlineStr">
        <is>
          <t>Vancomycin 1 g IV Q12H</t>
        </is>
      </c>
      <c r="F248" s="38" t="inlineStr">
        <is>
          <t>Meropenem 1 g IV Q8H</t>
        </is>
      </c>
      <c r="G248" s="38" t="inlineStr">
        <is>
          <t>Cefazolin 1 g IV Q8H</t>
        </is>
      </c>
      <c r="H248" s="38" t="inlineStr">
        <is>
          <t>Amoxicillin/Clavulanate 1 g BID</t>
        </is>
      </c>
      <c r="I248" s="37" t="inlineStr">
        <is>
          <t>1</t>
        </is>
      </c>
      <c r="J248"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48" s="38" t="n"/>
      <c r="L248" s="39" t="inlineStr">
        <is>
          <t>HIV infection</t>
        </is>
      </c>
      <c r="M248" s="39" t="inlineStr">
        <is>
          <t>Clinic</t>
        </is>
      </c>
      <c r="N248" s="38" t="inlineStr">
        <is>
          <t>ข้อ 8 (PLE_CC1_2533.md)</t>
        </is>
      </c>
      <c r="O248" s="39" t="n"/>
      <c r="P248" s="39" t="n"/>
    </row>
    <row r="249" ht="13.2" customHeight="1" s="49">
      <c r="A249" s="37" t="n">
        <v>247</v>
      </c>
      <c r="B249" s="38" t="inlineStr">
        <is>
          <t>โรคติดเชื้อ 65 81</t>
        </is>
      </c>
      <c r="C249" s="38" t="n"/>
      <c r="D249" s="38" t="inlineStr">
        <is>
          <t>Cefazolin 1 g IV Q8H</t>
        </is>
      </c>
      <c r="E249" s="38" t="inlineStr">
        <is>
          <t>Amoxicillin/Clavulanate 1 g BID</t>
        </is>
      </c>
      <c r="F249" s="38" t="inlineStr">
        <is>
          <t>Ceftriaxone 1 g IV OD</t>
        </is>
      </c>
      <c r="G249" s="38" t="inlineStr">
        <is>
          <t>Ciprofloxacin 500 mg BID</t>
        </is>
      </c>
      <c r="H249" s="38" t="inlineStr">
        <is>
          <t>Azithromycin 500 mg OD</t>
        </is>
      </c>
      <c r="I249" s="37" t="inlineStr">
        <is>
          <t>3</t>
        </is>
      </c>
      <c r="J249" s="38" t="inlineStr">
        <is>
          <t>✅ คำตอบที่ถูกต้อง: ข้อ ค.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49" s="38" t="n"/>
      <c r="L249" s="39" t="inlineStr">
        <is>
          <t>HIV infection</t>
        </is>
      </c>
      <c r="M249" s="39" t="inlineStr">
        <is>
          <t>Clinic</t>
        </is>
      </c>
      <c r="N249" s="38" t="inlineStr">
        <is>
          <t>ข้อ 4 (PLE_CC1_Practice_Exam.md)</t>
        </is>
      </c>
      <c r="O249" s="39" t="n"/>
      <c r="P249" s="39" t="n"/>
    </row>
    <row r="250" ht="13.2" customHeight="1" s="49">
      <c r="A250" s="37" t="n">
        <v>248</v>
      </c>
      <c r="B250" s="38" t="inlineStr">
        <is>
          <t>โรคติดเชื้อ โดย ฝ่ายวิชาการ สโมสรนิสิตเภสัชศาสตร์ จุฬาลงกรณ์</t>
        </is>
      </c>
      <c r="C250" s="38" t="n"/>
      <c r="D250" s="38" t="inlineStr">
        <is>
          <t>Ciprofloxacin 500 mg BID</t>
        </is>
      </c>
      <c r="E250" s="38" t="inlineStr">
        <is>
          <t>Azithromycin 500 mg OD</t>
        </is>
      </c>
      <c r="F250" s="38" t="inlineStr">
        <is>
          <t>Doxycycline 100 mg BID</t>
        </is>
      </c>
      <c r="G250" s="38" t="inlineStr">
        <is>
          <t>Cotrimoxazole 160/800 mg BID</t>
        </is>
      </c>
      <c r="H250" s="38" t="inlineStr">
        <is>
          <t>Metronidazole 400 mg TID</t>
        </is>
      </c>
      <c r="I250" s="37" t="inlineStr">
        <is>
          <t>1</t>
        </is>
      </c>
      <c r="J250"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0" s="38" t="n"/>
      <c r="L250" s="39" t="inlineStr">
        <is>
          <t>HIV infection</t>
        </is>
      </c>
      <c r="M250" s="39" t="inlineStr">
        <is>
          <t>Clinic</t>
        </is>
      </c>
      <c r="N250" s="38" t="inlineStr">
        <is>
          <t>ข้อ 4 (PLE_CC1_Practice_Exam.md)</t>
        </is>
      </c>
      <c r="O250" s="39" t="n"/>
      <c r="P250" s="39" t="n"/>
    </row>
    <row r="251" ht="13.2" customHeight="1" s="49">
      <c r="A251" s="37" t="n">
        <v>249</v>
      </c>
      <c r="B251" s="38" t="inlineStr">
        <is>
          <t>ผู้ป่วยควรได้รับการรักษาด้วยยาต้านเชื้อวัณโรคสูตรใด</t>
        </is>
      </c>
      <c r="C251" s="38" t="n"/>
      <c r="D251" s="38" t="inlineStr">
        <is>
          <t>4HRZE/2HR</t>
        </is>
      </c>
      <c r="E251" s="38" t="inlineStr">
        <is>
          <t>2HRZES/1HRZE/5HRE</t>
        </is>
      </c>
      <c r="F251" s="38" t="inlineStr">
        <is>
          <t>2HRZE/4HR</t>
        </is>
      </c>
      <c r="G251" s="38" t="inlineStr">
        <is>
          <t>2RZE/10RE</t>
        </is>
      </c>
      <c r="H251" s="38" t="inlineStr">
        <is>
          <t>2SHE/16HE</t>
        </is>
      </c>
      <c r="I251" s="37" t="inlineStr">
        <is>
          <t>1</t>
        </is>
      </c>
      <c r="J251" s="38"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38" t="n"/>
      <c r="L251" s="39" t="inlineStr">
        <is>
          <t>Tuberculosis</t>
        </is>
      </c>
      <c r="M251" s="39" t="inlineStr">
        <is>
          <t>Clinic</t>
        </is>
      </c>
      <c r="N251" s="38" t="inlineStr">
        <is>
          <t>ข้อ 1 (PLE_CC1_Practice_Exam.md)</t>
        </is>
      </c>
      <c r="O251" s="39" t="n"/>
      <c r="P251" s="39" t="n"/>
    </row>
    <row r="252" ht="13.2" customHeight="1" s="49">
      <c r="A252" s="37" t="n">
        <v>250</v>
      </c>
      <c r="B252" s="38" t="inlineStr">
        <is>
          <t>ข้อใดต่อไปนี้กล่าวผิดเกี่ยวกับยา Isoniazid</t>
        </is>
      </c>
      <c r="C252" s="38" t="n"/>
      <c r="D252" s="38" t="inlineStr">
        <is>
          <t>ยาออกฤทธิ์ต้านเชื้อวัณโรคโดยยับยั้งการสร้าง DNA ของเชื้อวัณโรค</t>
        </is>
      </c>
      <c r="E252" s="38" t="inlineStr">
        <is>
          <t>ในผู้ป่วยรายนี้สามารถได้รับยา Isoniazid ในขนาด 300 mg ต่อวันได้</t>
        </is>
      </c>
      <c r="F252" s="38" t="inlineStr">
        <is>
          <t>ยาลดกรดสามารถลดประสิทธิภาพของยา Isoniazid</t>
        </is>
      </c>
      <c r="G252" s="38" t="inlineStr">
        <is>
          <t>ผู้ป่วยทุกรายที่ได้รับยา Isoniazid ควรต้องได้รับ Pyridoxine</t>
        </is>
      </c>
      <c r="H252" s="38" t="inlineStr">
        <is>
          <t>อาการไม่พึงประสงค์ที่พบได้ คือ เอนไซม์ตับเพิ่มขึ้น 65 โรคติดเชื้อ ฝ่ายวิชาการ สโมสรนิสิตเภสัชศาสตร์ จุฬาลงกรณ์</t>
        </is>
      </c>
      <c r="I252" s="37" t="inlineStr">
        <is>
          <t>1</t>
        </is>
      </c>
      <c r="J252" s="38"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52" s="38" t="n"/>
      <c r="L252" s="39" t="inlineStr">
        <is>
          <t>Tuberculosis</t>
        </is>
      </c>
      <c r="M252" s="39" t="inlineStr">
        <is>
          <t>Clinic</t>
        </is>
      </c>
      <c r="N252" s="38" t="inlineStr">
        <is>
          <t>ข้อ 2 (PLE_CC1_Practice_Exam.md)</t>
        </is>
      </c>
      <c r="O252" s="39" t="n"/>
      <c r="P252" s="39" t="n"/>
    </row>
    <row r="253" ht="13.2" customHeight="1" s="49">
      <c r="A253" s="37" t="n">
        <v>251</v>
      </c>
      <c r="B253" s="38"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38" t="n"/>
      <c r="D253" s="38" t="inlineStr">
        <is>
          <t>การให้แบบ bolus injection อาจทำให้เกิด cardiotoxic effects เช่น หัวใจหยุดเต้นได้</t>
        </is>
      </c>
      <c r="E253" s="38" t="inlineStr">
        <is>
          <t>การให้แบบ bolus injection ทำให้ยาอยู่ในกระแสเลือดไม่นานพอที่จะฆ่าเชื้อได้หมด</t>
        </is>
      </c>
      <c r="F253" s="38" t="inlineStr">
        <is>
          <t>การให้แบบ bolus injection ทำให้ยามีค่าครึ่งชีวิตสั้นลง 74 โรคติดเชื้อ ฝ่ายวิชาการ สโมสรนิสิตเภสัชศาสตร์ จุฬาลงกรณ์</t>
        </is>
      </c>
      <c r="G253" s="38" t="inlineStr">
        <is>
          <t>การให้แบบ bolus injection ทำให้เกิดผลข้างเคียงจากยาโดยทั่วไปลดลง แต่ผลข้างเคียงถึงแก่ชีวิตเพิ่ม มากขึ้นอย่างมาก</t>
        </is>
      </c>
      <c r="H253" s="38" t="inlineStr">
        <is>
          <t>ตำรับของตัวยาอยู่ในรูป emulsion แบบ w/o ไม่สามารถให้แบบ IV ได้</t>
        </is>
      </c>
      <c r="I253" s="37" t="inlineStr">
        <is>
          <t>1</t>
        </is>
      </c>
      <c r="J253" s="38" t="inlineStr">
        <is>
          <t>✅ คำตอบที่ถูกต้อง: ข้อ ก. การให้แบบ bolus injection อาจทำให้เกิด cardiotoxic effects เช่น หัวใจหยุดเต้นได้
💡 Background:
การดูแลผู้ติดเชื้อ HIV เน้นเริ่ม Antiretroviral Therapy (ART) ทันทีเพื่อกด viral load ให้ undetectable (U=U) และฟื้นฟูระบบภูมิคุ้มกัน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53" s="38" t="n"/>
      <c r="L253" s="39" t="inlineStr">
        <is>
          <t>HIV infection</t>
        </is>
      </c>
      <c r="M253" s="39" t="inlineStr">
        <is>
          <t>Clinic</t>
        </is>
      </c>
      <c r="N253" s="38" t="inlineStr">
        <is>
          <t>ข้อ 33 (PLE_CC1_Practice_Exam.md)</t>
        </is>
      </c>
      <c r="O253" s="39" t="n"/>
      <c r="P253" s="39" t="n"/>
    </row>
    <row r="254" ht="13.2" customHeight="1" s="49">
      <c r="A254" s="37" t="n">
        <v>252</v>
      </c>
      <c r="B254" s="38" t="inlineStr">
        <is>
          <t>ตัวยา Metronidazole สามารถใช้รักษาการติดเชื้อของสิ่งมีชีวิตกลุ่มใดได้บ้าง</t>
        </is>
      </c>
      <c r="C254" s="38" t="n"/>
      <c r="D254" s="38" t="inlineStr">
        <is>
          <t>Virus</t>
        </is>
      </c>
      <c r="E254" s="38" t="inlineStr">
        <is>
          <t>Protozoa</t>
        </is>
      </c>
      <c r="F254" s="38" t="inlineStr">
        <is>
          <t>Aerobic bacteria</t>
        </is>
      </c>
      <c r="G254" s="38" t="inlineStr">
        <is>
          <t>Anaerobic bacteria C E A B 77 โรคติดเชื้อ ฝ่ายวิชาการ สโมสรนิสิตเภสัชศาสตร์ จุฬาลงกรณ์</t>
        </is>
      </c>
      <c r="H254" s="38" t="inlineStr">
        <is>
          <t>ถูกต้องทั้งข้อ ข และ ง</t>
        </is>
      </c>
      <c r="I254" s="37" t="inlineStr">
        <is>
          <t>1</t>
        </is>
      </c>
      <c r="J254" s="38"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54" s="38" t="n"/>
      <c r="L254" s="39" t="inlineStr">
        <is>
          <t>STDs &amp; vaginitis</t>
        </is>
      </c>
      <c r="M254" s="39" t="inlineStr">
        <is>
          <t>Clinic</t>
        </is>
      </c>
      <c r="N254" s="38" t="inlineStr">
        <is>
          <t>ข้อ 44 (PLE_CC1_Practice_Exam.md)</t>
        </is>
      </c>
      <c r="O254" s="39" t="n"/>
      <c r="P254" s="39" t="n"/>
    </row>
    <row r="255" ht="13.2" customHeight="1" s="49">
      <c r="A255" s="37" t="n">
        <v>253</v>
      </c>
      <c r="B255" s="38"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38" t="n"/>
      <c r="D255" s="38" t="inlineStr">
        <is>
          <t>Griseofulvin 134 โรคผิวหนัง ฝ่ายวิชาการ</t>
        </is>
      </c>
      <c r="E255" s="38" t="inlineStr">
        <is>
          <t>Ketoconazole</t>
        </is>
      </c>
      <c r="F255" s="38" t="inlineStr">
        <is>
          <t>Fluconazole</t>
        </is>
      </c>
      <c r="G255" s="38" t="inlineStr">
        <is>
          <t>Itraconazole</t>
        </is>
      </c>
      <c r="H255" s="38" t="inlineStr">
        <is>
          <t>Terbinafine</t>
        </is>
      </c>
      <c r="I255" s="37" t="inlineStr">
        <is>
          <t>1</t>
        </is>
      </c>
      <c r="J255" s="38" t="inlineStr">
        <is>
          <t>✅ คำตอบที่ถูกต้อง: ข้อ 1
💡 Background: การรักษาและการเลือกใช้ยาต้านจุลชีพตามแนวทางเวชปฏิบัติโรคติดเชื้อ
🎯 ทำไมข้อนี้ถึงถูก: ✅ คำตอบที่ถูกต้อง: ข้อ ก. Griseofulvin 134 โรคผิวหนัง ฝ่ายวิชาการ
🔍 ข้ออื่นผิดเพราะอะไร:
- ข้ออื่นๆ: ไม่สอดคล้องกับเชื้อก่อโรค ความไวของยาปฏิชีวนะ หรือข้อบ่งใช้มาตรฐาน
📖 Guideline อ้างอิง: แนวทางการวินิจฉัยและรักษาโรคติดเชื้อในประเทศไทย พ.ศ. 2563 (สมาคมโรคติดเชื้อแห่งประเทศไทย)
📌 จุดจำก่อนสอบ: พิจารณา Spectrum, PK/PD และข้อห้ามใช้ของยาต้านจุลชีพเสมอ</t>
        </is>
      </c>
      <c r="K255" s="38" t="n"/>
      <c r="L255" s="39" t="inlineStr">
        <is>
          <t>HIV infection</t>
        </is>
      </c>
      <c r="M255" s="39" t="inlineStr">
        <is>
          <t>Clinic</t>
        </is>
      </c>
      <c r="N255" s="38" t="inlineStr">
        <is>
          <t>ข้อ 25 (PLE_CC1_Practice_Exam.md)</t>
        </is>
      </c>
      <c r="O255" s="39" t="n"/>
      <c r="P255" s="39" t="n"/>
    </row>
    <row r="256" ht="13.2" customHeight="1" s="49">
      <c r="A256" s="37" t="n">
        <v>254</v>
      </c>
      <c r="B256" s="38"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38" t="n"/>
      <c r="D256" s="38" t="inlineStr">
        <is>
          <t>เกิดจากการติดไวรัส Herpes simplex Type I</t>
        </is>
      </c>
      <c r="E256" s="38" t="inlineStr">
        <is>
          <t>ผู้ป่วยรายนี้จัดเป็น Primary Infection เนื่องจากเป็นการรักษาเริมหลังจากรักษาครั้งแรกหายขาด แล้ว</t>
        </is>
      </c>
      <c r="F256" s="38" t="inlineStr">
        <is>
          <t>เมื่อมีอาการคัน สามารถใช้ยา topical ทาภายใน 48 ชั่วโมง เพื่อลดความรุนแรงของโรค</t>
        </is>
      </c>
      <c r="G256" s="38" t="inlineStr">
        <is>
          <t>การรักษาสำหรับผู้ป่วยรายนี้ สามารถใช้ Valacyclovir 500 mg bid 3 วัน</t>
        </is>
      </c>
      <c r="H256" s="38" t="inlineStr">
        <is>
          <t>การรักษาสำหรับผู้ป่วยรายนี้ สามารถใช้ Valacyclovir 500 mg bid 7 - 10 วัน จากข้อมูลต่อไปนี้ จงตอบคำถามข้อ 34-35</t>
        </is>
      </c>
      <c r="I256" s="37" t="inlineStr">
        <is>
          <t>1</t>
        </is>
      </c>
      <c r="J256" s="38" t="inlineStr">
        <is>
          <t>✅ คำตอบที่ถูกต้อง: ข้อ ก. เกิดจากการติดไวรัส Herpes simplex Type I
💡 Background:
การดูแลผู้ติดเชื้อ HIV เน้นเริ่ม Antiretroviral Therapy (ART) ทันทีเพื่อกด viral load ให้ undetectable (U=U) และฟื้นฟูระบบภูมิคุ้มกัน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6" s="38" t="n"/>
      <c r="L256" s="39" t="inlineStr">
        <is>
          <t>HIV infection</t>
        </is>
      </c>
      <c r="M256" s="39" t="inlineStr">
        <is>
          <t>Clinic</t>
        </is>
      </c>
      <c r="N256" s="38" t="inlineStr">
        <is>
          <t>ข้อ 33 (PLE_CC1_Practice_Exam.md)</t>
        </is>
      </c>
      <c r="O256" s="39" t="n"/>
      <c r="P256" s="39" t="n"/>
    </row>
    <row r="257" ht="13.2" customHeight="1" s="49">
      <c r="A257" s="37" t="n">
        <v>255</v>
      </c>
      <c r="B257" s="38" t="inlineStr">
        <is>
          <t>ข้อใดกล่าวผิดเกี่ยวกับโครงสร้างของยา Dicloxacillin และยา Amoxicillin</t>
        </is>
      </c>
      <c r="C257" s="38" t="n"/>
      <c r="D257" s="38" t="inlineStr">
        <is>
          <t>หมายเลข 1 ในโครงสร้างของยา Dicloxacillin และ Amoxicillin มีชื่อว่า Thiazolidine ring</t>
        </is>
      </c>
      <c r="E257" s="38" t="inlineStr">
        <is>
          <t>หมายเลข 3 ในโครงสร้างของยา Dicloxacillin คือ Phenyl-isoxazole ring วางตัวตั้งฉากกับ β- lactam ring ทำให้ทนต่อ β-lactamase enzyme</t>
        </is>
      </c>
      <c r="F257" s="38" t="inlineStr">
        <is>
          <t>หมายเลข 2 ในโครงสร้างของยา Amoxicillin ทำให้ยาทนกรดในกระเพาะอาหารมากขึ้น</t>
        </is>
      </c>
      <c r="G257" s="38" t="inlineStr">
        <is>
          <t>หมายเลข 4 ในโครงสร้างของยา Amoxicillin ทำให้ยา Amoxicillin เป็น para-hydroxy analog ของ Ampicillin</t>
        </is>
      </c>
      <c r="H257" s="38" t="inlineStr">
        <is>
          <t>หมายเลข 4 ในโครงสร้างของยา Amoxicillin ทำให้ยา Amoxicillin ทนต่อ β-lactamase enzyme</t>
        </is>
      </c>
      <c r="I257" s="37" t="inlineStr">
        <is>
          <t>1</t>
        </is>
      </c>
      <c r="J257" s="38"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57" s="38" t="n"/>
      <c r="L257" s="39" t="inlineStr">
        <is>
          <t>URTI</t>
        </is>
      </c>
      <c r="M257" s="39" t="inlineStr">
        <is>
          <t>Clinic</t>
        </is>
      </c>
      <c r="N257" s="38" t="inlineStr">
        <is>
          <t>ข้อ 7 (PLE_CC1_Practice_Exam.md)</t>
        </is>
      </c>
      <c r="O257" s="39" t="n"/>
      <c r="P257" s="39" t="n"/>
    </row>
    <row r="258" ht="13.2" customHeight="1" s="49">
      <c r="A258" s="37" t="n">
        <v>256</v>
      </c>
      <c r="B258" s="38" t="inlineStr">
        <is>
          <t>หากตรวจพบว่าเกิดจากการติดเชื้อ Pseudomonas aeruginosa ยาในข้อใดที่เหมาะสมในการรักษาที่ ครอบคลุมเชื้อมากที่สุด</t>
        </is>
      </c>
      <c r="C258" s="38" t="n"/>
      <c r="D258" s="38" t="inlineStr">
        <is>
          <t>Norfloxacin</t>
        </is>
      </c>
      <c r="E258" s="38" t="inlineStr">
        <is>
          <t>Neomycin</t>
        </is>
      </c>
      <c r="F258" s="38" t="inlineStr">
        <is>
          <t>Polymyxin B</t>
        </is>
      </c>
      <c r="G258" s="38" t="inlineStr">
        <is>
          <t>Vancomycin</t>
        </is>
      </c>
      <c r="H258" s="38" t="inlineStr">
        <is>
          <t>Clarithromycin</t>
        </is>
      </c>
      <c r="I258" s="37" t="inlineStr">
        <is>
          <t>1</t>
        </is>
      </c>
      <c r="J258" s="38" t="inlineStr">
        <is>
          <t>✅ คำตอบที่ถูกต้อง: ข้อ ก. Norfloxacin
💡 Background:
การดูแลผู้ติดเชื้อ HIV เน้นเริ่ม Antiretroviral Therapy (ART) ทันทีเพื่อกด viral load ให้ undetectable (U=U) และฟื้นฟูระบบภูมิคุ้มกัน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58" s="38" t="n"/>
      <c r="L258" s="39" t="inlineStr">
        <is>
          <t>HIV infection</t>
        </is>
      </c>
      <c r="M258" s="39" t="inlineStr">
        <is>
          <t>Clinic</t>
        </is>
      </c>
      <c r="N258" s="38" t="inlineStr">
        <is>
          <t>ข้อ 20 (PLE_CC1_Practice_Exam.md)</t>
        </is>
      </c>
      <c r="O258" s="39" t="n"/>
      <c r="P258" s="39" t="n"/>
    </row>
    <row r="259" ht="13.2" customHeight="1" s="49">
      <c r="A259" s="37" t="n">
        <v>257</v>
      </c>
      <c r="B259" s="38"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38" t="n"/>
      <c r="D259" s="38" t="inlineStr">
        <is>
          <t>1 คะแนน</t>
        </is>
      </c>
      <c r="E259" s="38" t="inlineStr">
        <is>
          <t>2 คะแนน</t>
        </is>
      </c>
      <c r="F259" s="38" t="inlineStr">
        <is>
          <t>3 คะแนน</t>
        </is>
      </c>
      <c r="G259" s="38" t="inlineStr">
        <is>
          <t>4 คะแนน</t>
        </is>
      </c>
      <c r="H259" s="38" t="inlineStr">
        <is>
          <t>5 คะแนน</t>
        </is>
      </c>
      <c r="I259" s="37" t="inlineStr">
        <is>
          <t>1</t>
        </is>
      </c>
      <c r="J259" s="38" t="inlineStr">
        <is>
          <t>✅ คำตอบที่ถูกต้อง: ข้อ ก. 1 คะแนน
💡 Background:
การดูแลผู้ติดเชื้อ HIV เน้นเริ่ม Antiretroviral Therapy (ART) ทันทีเพื่อกด viral load ให้ undetectable (U=U) และฟื้นฟูระบบภูมิคุ้มกัน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59" s="38" t="n"/>
      <c r="L259" s="39" t="inlineStr">
        <is>
          <t>HIV infection</t>
        </is>
      </c>
      <c r="M259" s="39" t="inlineStr">
        <is>
          <t>Clinic</t>
        </is>
      </c>
      <c r="N259" s="38" t="inlineStr">
        <is>
          <t>ข้อ 37 (PLE_CC1_Practice_Exam.md)</t>
        </is>
      </c>
      <c r="O259" s="39" t="n"/>
      <c r="P259" s="39" t="n"/>
    </row>
    <row r="260" ht="13.2" customHeight="1" s="49">
      <c r="A260" s="37" t="n">
        <v>258</v>
      </c>
      <c r="B260" s="38"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60" s="38" t="n"/>
      <c r="D260" s="38" t="inlineStr">
        <is>
          <t>Maculopapular rash</t>
        </is>
      </c>
      <c r="E260" s="38" t="inlineStr">
        <is>
          <t>Stevens-Johnson syndrome</t>
        </is>
      </c>
      <c r="F260" s="38" t="inlineStr">
        <is>
          <t>Photosensitivity drug eruption</t>
        </is>
      </c>
      <c r="G260" s="38" t="inlineStr">
        <is>
          <t>Urticaria</t>
        </is>
      </c>
      <c r="H260" s="38" t="inlineStr">
        <is>
          <t>Erythema multiforme</t>
        </is>
      </c>
      <c r="I260" s="37" t="inlineStr">
        <is>
          <t>1</t>
        </is>
      </c>
      <c r="J260" s="38" t="inlineStr">
        <is>
          <t>✅ คำตอบที่ถูกต้อง: ข้อ ก. Maculopapular rash
💡 Background:
การดูแลผู้ติดเชื้อ HIV เน้นเริ่ม Antiretroviral Therapy (ART) ทันทีเพื่อกด viral load ให้ undetectable (U=U) และฟื้นฟูระบบภูมิคุ้มกัน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0" s="38" t="n"/>
      <c r="L260" s="39" t="inlineStr">
        <is>
          <t>HIV infection</t>
        </is>
      </c>
      <c r="M260" s="39" t="inlineStr">
        <is>
          <t>Clinic</t>
        </is>
      </c>
      <c r="N260" s="38" t="inlineStr">
        <is>
          <t>ข้อ 34 (PLE_CC1_Practice_Exam.md)</t>
        </is>
      </c>
      <c r="O260" s="39" t="n"/>
      <c r="P260" s="39" t="n"/>
    </row>
    <row r="261" ht="13.2" customHeight="1" s="49">
      <c r="A261" s="37" t="n">
        <v>259</v>
      </c>
      <c r="B261" s="38"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61" s="38" t="n"/>
      <c r="D261" s="38" t="inlineStr">
        <is>
          <t>Active ingredient</t>
        </is>
      </c>
      <c r="E261" s="38" t="inlineStr">
        <is>
          <t>Flavoring agent</t>
        </is>
      </c>
      <c r="F261" s="38" t="inlineStr">
        <is>
          <t>Stabilizing agent</t>
        </is>
      </c>
      <c r="G261" s="38" t="inlineStr">
        <is>
          <t>Co-solvent</t>
        </is>
      </c>
      <c r="H261" s="38" t="inlineStr">
        <is>
          <t>Solvent - คอลลอยด์</t>
        </is>
      </c>
      <c r="I261" s="37" t="inlineStr">
        <is>
          <t>1</t>
        </is>
      </c>
      <c r="J261" s="38" t="inlineStr">
        <is>
          <t>✅ คำตอบที่ถูกต้อง: ข้อ ก. Active ingredient
💡 Background:
การดูแลผู้ติดเชื้อ HIV เน้นเริ่ม Antiretroviral Therapy (ART) ทันทีเพื่อกด viral load ให้ undetectable (U=U) และฟื้นฟูระบบภูมิคุ้มกัน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61" s="38" t="n"/>
      <c r="L261" s="39" t="inlineStr">
        <is>
          <t>HIV infection</t>
        </is>
      </c>
      <c r="M261" s="39" t="inlineStr">
        <is>
          <t>Clinic</t>
        </is>
      </c>
      <c r="N261" s="38" t="inlineStr">
        <is>
          <t>ข้อ 20 (PLE_CC1_Practice_Exam.md)</t>
        </is>
      </c>
      <c r="O261" s="39" t="n"/>
      <c r="P261" s="39" t="n"/>
    </row>
    <row r="262" ht="13.2" customHeight="1" s="49">
      <c r="A262" s="37" t="n">
        <v>260</v>
      </c>
      <c r="B262" s="38" t="inlineStr">
        <is>
          <t>ผู้ป่วยมีอาการติดเชื้อ เพิ่มขึ้น sinusitis เกิดจากเชื้ออะไร FงพบในยาแบบJ Kนเ%นละอองฝอย</t>
        </is>
      </c>
      <c r="C262" s="38" t="n"/>
      <c r="D262" s="38" t="inlineStr">
        <is>
          <t>Cefazolin 1 g IV Q8H</t>
        </is>
      </c>
      <c r="E262" s="38" t="inlineStr">
        <is>
          <t>Amoxicillin/Clavulanate 1 g BID</t>
        </is>
      </c>
      <c r="F262" s="38" t="inlineStr">
        <is>
          <t>Ceftriaxone 1 g IV OD</t>
        </is>
      </c>
      <c r="G262" s="38" t="inlineStr">
        <is>
          <t>Ciprofloxacin 500 mg BID</t>
        </is>
      </c>
      <c r="H262" s="38" t="inlineStr">
        <is>
          <t>Azithromycin 500 mg OD</t>
        </is>
      </c>
      <c r="I262" s="37" t="inlineStr">
        <is>
          <t>1</t>
        </is>
      </c>
      <c r="J262" s="38"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38" t="n"/>
      <c r="L262" s="39" t="inlineStr">
        <is>
          <t>URTI</t>
        </is>
      </c>
      <c r="M262" s="39" t="inlineStr">
        <is>
          <t>Clinic</t>
        </is>
      </c>
      <c r="N262" s="38" t="inlineStr">
        <is>
          <t>ข้อ 16 (PLE_CC1_Key_Rx20_UBU.md)</t>
        </is>
      </c>
      <c r="O262" s="39" t="n"/>
      <c r="P262" s="39" t="n"/>
    </row>
    <row r="263" ht="13.2" customHeight="1" s="49">
      <c r="A263" s="37" t="n">
        <v>261</v>
      </c>
      <c r="B263" s="38" t="inlineStr">
        <is>
          <t>M. catharis sinusitis เกิดจากเชื้อ S. pneumonia , H.influenza , 5. aureas</t>
        </is>
      </c>
      <c r="C263" s="38" t="n"/>
      <c r="D263" s="38" t="inlineStr">
        <is>
          <t>Ciprofloxacin 500 mg BID</t>
        </is>
      </c>
      <c r="E263" s="38" t="inlineStr">
        <is>
          <t>Azithromycin 500 mg OD</t>
        </is>
      </c>
      <c r="F263" s="38" t="inlineStr">
        <is>
          <t>Doxycycline 100 mg BID</t>
        </is>
      </c>
      <c r="G263" s="38" t="inlineStr">
        <is>
          <t>Cotrimoxazole 160/800 mg BID</t>
        </is>
      </c>
      <c r="H263" s="38" t="inlineStr">
        <is>
          <t>Metronidazole 400 mg TID</t>
        </is>
      </c>
      <c r="I263" s="37" t="inlineStr">
        <is>
          <t>1</t>
        </is>
      </c>
      <c r="J263"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38" t="n"/>
      <c r="L263" s="39" t="inlineStr">
        <is>
          <t>Pneumonia</t>
        </is>
      </c>
      <c r="M263" s="39" t="inlineStr">
        <is>
          <t>Clinic</t>
        </is>
      </c>
      <c r="N263" s="38" t="inlineStr">
        <is>
          <t>ข้อ 5 (PLE_CC1_Key_Rx20_UBU.md)</t>
        </is>
      </c>
      <c r="O263" s="39" t="n"/>
      <c r="P263" s="39" t="n"/>
    </row>
    <row r="264" ht="13.2" customHeight="1" s="49">
      <c r="A264" s="37" t="n">
        <v>262</v>
      </c>
      <c r="B264" s="38" t="inlineStr">
        <is>
          <t>Amoxicillin + clavulanic acid</t>
        </is>
      </c>
      <c r="C264" s="38" t="n"/>
      <c r="D264" s="38" t="inlineStr">
        <is>
          <t>) Vancomycin</t>
        </is>
      </c>
      <c r="E264" s="38" t="inlineStr">
        <is>
          <t>) Piperacillin/tazobactam</t>
        </is>
      </c>
      <c r="F264" s="38" t="inlineStr">
        <is>
          <t>) Meropenem First line ATB for Sinusitis คือ Amoxicillin หากไม่ได้ผลหรือแพ้ยา จึงเลือกใช้ยาอื่น โดย regimen คือ Amoxillin 500 mg TID 10-14 days</t>
        </is>
      </c>
      <c r="G264" s="38" t="inlineStr">
        <is>
          <t>Tenofovir/Emtricitabine 300/200 mg OD</t>
        </is>
      </c>
      <c r="H264" s="38" t="inlineStr">
        <is>
          <t>Dolutegravir 50 mg OD</t>
        </is>
      </c>
      <c r="I264" s="37" t="inlineStr">
        <is>
          <t>1</t>
        </is>
      </c>
      <c r="J264" s="38" t="inlineStr">
        <is>
          <t>✅ คำตอบที่ถูกต้อง: ข้อ ก. ) Vancomycin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38" t="n"/>
      <c r="L264" s="39" t="inlineStr">
        <is>
          <t>URTI</t>
        </is>
      </c>
      <c r="M264" s="39" t="inlineStr">
        <is>
          <t>Clinic</t>
        </is>
      </c>
      <c r="N264" s="38" t="inlineStr">
        <is>
          <t>ข้อ 2 (PLE_CC1_Key_Rx20_UBU.md)</t>
        </is>
      </c>
      <c r="O264" s="39" t="n"/>
      <c r="P264" s="39" t="n"/>
    </row>
    <row r="265" ht="13.2" customHeight="1" s="49">
      <c r="A265" s="37" t="n">
        <v>263</v>
      </c>
      <c r="B265" s="38" t="inlineStr">
        <is>
          <t>Sorbitol solution</t>
        </is>
      </c>
      <c r="C265" s="38" t="n"/>
      <c r="D265" s="38" t="inlineStr">
        <is>
          <t>Tenofovir/Emtricitabine 300/200 mg OD</t>
        </is>
      </c>
      <c r="E265" s="38" t="inlineStr">
        <is>
          <t>Dolutegravir 50 mg OD</t>
        </is>
      </c>
      <c r="F265" s="38" t="inlineStr">
        <is>
          <t>Vancomycin 1 g IV Q12H</t>
        </is>
      </c>
      <c r="G265" s="38" t="inlineStr">
        <is>
          <t>Meropenem 1 g IV Q8H</t>
        </is>
      </c>
      <c r="H265" s="38" t="inlineStr">
        <is>
          <t>Cefazolin 1 g IV Q8H</t>
        </is>
      </c>
      <c r="I265" s="37" t="inlineStr">
        <is>
          <t>1</t>
        </is>
      </c>
      <c r="J265" s="38"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38" t="n"/>
      <c r="L265" s="39" t="inlineStr">
        <is>
          <t>Cystitis</t>
        </is>
      </c>
      <c r="M265" s="39" t="inlineStr">
        <is>
          <t>Clinic</t>
        </is>
      </c>
      <c r="N265" s="38" t="inlineStr">
        <is>
          <t>ข้อ 2 (PLE_CC1_Key_Rx20_UBU.md)</t>
        </is>
      </c>
      <c r="O265" s="39" t="n"/>
      <c r="P265" s="39" t="n"/>
    </row>
    <row r="266" ht="13.2" customHeight="1" s="49">
      <c r="A266" s="37" t="n">
        <v>264</v>
      </c>
      <c r="B266" s="38" t="inlineStr">
        <is>
          <t>Community-acquired pneumonia</t>
        </is>
      </c>
      <c r="C266" s="38" t="n"/>
      <c r="D266" s="38" t="inlineStr">
        <is>
          <t>Meropenem 1 g IV Q8H</t>
        </is>
      </c>
      <c r="E266" s="38" t="inlineStr">
        <is>
          <t>Cefazolin 1 g IV Q8H</t>
        </is>
      </c>
      <c r="F266" s="38" t="inlineStr">
        <is>
          <t>Amoxicillin/Clavulanate 1 g BID</t>
        </is>
      </c>
      <c r="G266" s="38" t="inlineStr">
        <is>
          <t>Ceftriaxone 1 g IV OD</t>
        </is>
      </c>
      <c r="H266" s="38" t="inlineStr">
        <is>
          <t>Ciprofloxacin 500 mg BID</t>
        </is>
      </c>
      <c r="I266" s="37" t="inlineStr">
        <is>
          <t>1</t>
        </is>
      </c>
      <c r="J266"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38" t="n"/>
      <c r="L266" s="39" t="inlineStr">
        <is>
          <t>Pneumonia</t>
        </is>
      </c>
      <c r="M266" s="39" t="inlineStr">
        <is>
          <t>Clinic</t>
        </is>
      </c>
      <c r="N266" s="38" t="inlineStr">
        <is>
          <t>ข้อ 2 (PLE_CC1_Key_Rx20_UBU.md)</t>
        </is>
      </c>
      <c r="O266" s="39" t="n"/>
      <c r="P266" s="39" t="n"/>
    </row>
    <row r="267" ht="13.2" customHeight="1" s="49">
      <c r="A267" s="37" t="n">
        <v>265</v>
      </c>
      <c r="B267" s="38" t="inlineStr">
        <is>
          <t>P. carinii pneumonia</t>
        </is>
      </c>
      <c r="C267" s="38" t="n"/>
      <c r="D267" s="38" t="inlineStr">
        <is>
          <t>Ceftriaxone 1 g IV OD</t>
        </is>
      </c>
      <c r="E267" s="38" t="inlineStr">
        <is>
          <t>Ciprofloxacin 500 mg BID</t>
        </is>
      </c>
      <c r="F267" s="38" t="inlineStr">
        <is>
          <t>Azithromycin 500 mg OD</t>
        </is>
      </c>
      <c r="G267" s="38" t="inlineStr">
        <is>
          <t>Doxycycline 100 mg BID</t>
        </is>
      </c>
      <c r="H267" s="38" t="inlineStr">
        <is>
          <t>Cotrimoxazole 160/800 mg BID</t>
        </is>
      </c>
      <c r="I267" s="37" t="inlineStr">
        <is>
          <t>1</t>
        </is>
      </c>
      <c r="J267" s="38"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38" t="n"/>
      <c r="L267" s="39" t="inlineStr">
        <is>
          <t>Pneumonia</t>
        </is>
      </c>
      <c r="M267" s="39" t="inlineStr">
        <is>
          <t>Clinic</t>
        </is>
      </c>
      <c r="N267" s="38" t="inlineStr">
        <is>
          <t>ข้อ 3 (PLE_CC1_Key_Rx20_UBU.md)</t>
        </is>
      </c>
      <c r="O267" s="39" t="n"/>
      <c r="P267" s="39" t="n"/>
    </row>
    <row r="268" ht="13.2" customHeight="1" s="49">
      <c r="A268" s="37" t="n">
        <v>266</v>
      </c>
      <c r="B268" s="38" t="inlineStr">
        <is>
          <t>Mycoplasma pneumonia</t>
        </is>
      </c>
      <c r="C268" s="38" t="n"/>
      <c r="D268" s="38" t="inlineStr">
        <is>
          <t>Doxycycline 100 mg BID</t>
        </is>
      </c>
      <c r="E268" s="38" t="inlineStr">
        <is>
          <t>Cotrimoxazole 160/800 mg BID</t>
        </is>
      </c>
      <c r="F268" s="38" t="inlineStr">
        <is>
          <t>Metronidazole 400 mg TID</t>
        </is>
      </c>
      <c r="G268" s="38" t="inlineStr">
        <is>
          <t>Nitrofurantoin 100 mg BID</t>
        </is>
      </c>
      <c r="H268" s="38" t="inlineStr">
        <is>
          <t>Tenofovir/Emtricitabine 300/200 mg OD</t>
        </is>
      </c>
      <c r="I268" s="37" t="inlineStr">
        <is>
          <t>1</t>
        </is>
      </c>
      <c r="J268" s="38"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38" t="n"/>
      <c r="L268" s="39" t="inlineStr">
        <is>
          <t>Pneumonia</t>
        </is>
      </c>
      <c r="M268" s="39" t="inlineStr">
        <is>
          <t>Clinic</t>
        </is>
      </c>
      <c r="N268" s="38" t="inlineStr">
        <is>
          <t>ข้อ 5 (PLE_CC1_Key_Rx20_UBU.md)</t>
        </is>
      </c>
      <c r="O268" s="39" t="n"/>
      <c r="P268" s="39" t="n"/>
    </row>
    <row r="269" ht="13.2" customHeight="1" s="49">
      <c r="A269" s="37" t="n">
        <v>267</v>
      </c>
      <c r="B269" s="38" t="inlineStr">
        <is>
          <t>Ceftriaxone+Metronidazole</t>
        </is>
      </c>
      <c r="C269" s="38" t="n"/>
      <c r="D269" s="38" t="inlineStr">
        <is>
          <t>Nitrofurantoin 100 mg BID</t>
        </is>
      </c>
      <c r="E269" s="38" t="inlineStr">
        <is>
          <t>Tenofovir/Emtricitabine 300/200 mg OD</t>
        </is>
      </c>
      <c r="F269" s="38" t="inlineStr">
        <is>
          <t>Dolutegravir 50 mg OD</t>
        </is>
      </c>
      <c r="G269" s="38" t="inlineStr">
        <is>
          <t>Vancomycin 1 g IV Q12H</t>
        </is>
      </c>
      <c r="H269" s="38" t="inlineStr">
        <is>
          <t>Meropenem 1 g IV Q8H</t>
        </is>
      </c>
      <c r="I269" s="37" t="inlineStr">
        <is>
          <t>1</t>
        </is>
      </c>
      <c r="J269" s="38"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38" t="n"/>
      <c r="L269" s="39" t="inlineStr">
        <is>
          <t>Pneumonia</t>
        </is>
      </c>
      <c r="M269" s="39" t="inlineStr">
        <is>
          <t>Clinic</t>
        </is>
      </c>
      <c r="N269" s="38" t="inlineStr">
        <is>
          <t>ข้อ 3 (PLE_CC1_Key_Rx20_UBU.md)</t>
        </is>
      </c>
      <c r="O269" s="39" t="n"/>
      <c r="P269" s="39" t="n"/>
    </row>
    <row r="270" ht="13.2" customHeight="1" s="49">
      <c r="A270" s="37" t="n">
        <v>268</v>
      </c>
      <c r="B270" s="38" t="inlineStr">
        <is>
          <t>Ceftriaxone+Roxithromycin</t>
        </is>
      </c>
      <c r="C270" s="38" t="n"/>
      <c r="D270" s="38" t="inlineStr">
        <is>
          <t>Vancomycin 1 g IV Q12H</t>
        </is>
      </c>
      <c r="E270" s="38" t="inlineStr">
        <is>
          <t>Meropenem 1 g IV Q8H</t>
        </is>
      </c>
      <c r="F270" s="38" t="inlineStr">
        <is>
          <t>Cefazolin 1 g IV Q8H</t>
        </is>
      </c>
      <c r="G270" s="38" t="inlineStr">
        <is>
          <t>Amoxicillin/Clavulanate 1 g BID</t>
        </is>
      </c>
      <c r="H270" s="38" t="inlineStr">
        <is>
          <t>Ceftriaxone 1 g IV OD</t>
        </is>
      </c>
      <c r="I270" s="37" t="inlineStr">
        <is>
          <t>1</t>
        </is>
      </c>
      <c r="J270"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38" t="n"/>
      <c r="L270" s="39" t="inlineStr">
        <is>
          <t>Pneumonia</t>
        </is>
      </c>
      <c r="M270" s="39" t="inlineStr">
        <is>
          <t>Clinic</t>
        </is>
      </c>
      <c r="N270" s="38" t="inlineStr">
        <is>
          <t>ข้อ 5 (PLE_CC1_Key_Rx20_UBU.md)</t>
        </is>
      </c>
      <c r="O270" s="39" t="n"/>
      <c r="P270" s="39" t="n"/>
    </row>
    <row r="271" ht="13.2" customHeight="1" s="49">
      <c r="A271" s="37" t="n">
        <v>269</v>
      </c>
      <c r="B271" s="38" t="inlineStr">
        <is>
          <t>เพาะเชื้อแล้วพบว่าผู้ป่วยติดเชื้อ P. aeroginisa ยาใดควรนำมาใช้</t>
        </is>
      </c>
      <c r="C271" s="38" t="n"/>
      <c r="D271" s="38" t="inlineStr">
        <is>
          <t>Amoxicillin/Clavulanate 1 g BID</t>
        </is>
      </c>
      <c r="E271" s="38" t="inlineStr">
        <is>
          <t>Ceftriaxone 1 g IV OD</t>
        </is>
      </c>
      <c r="F271" s="38" t="inlineStr">
        <is>
          <t>Ciprofloxacin 500 mg BID</t>
        </is>
      </c>
      <c r="G271" s="38" t="inlineStr">
        <is>
          <t>Azithromycin 500 mg OD</t>
        </is>
      </c>
      <c r="H271" s="38" t="inlineStr">
        <is>
          <t>Doxycycline 100 mg BID</t>
        </is>
      </c>
      <c r="I271" s="37" t="inlineStr">
        <is>
          <t>1</t>
        </is>
      </c>
      <c r="J271"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1" s="38" t="n"/>
      <c r="L271" s="39" t="inlineStr">
        <is>
          <t>HIV infection</t>
        </is>
      </c>
      <c r="M271" s="39" t="inlineStr">
        <is>
          <t>Clinic</t>
        </is>
      </c>
      <c r="N271" s="38" t="inlineStr">
        <is>
          <t>ข้อ 83 (PLE_CC1_Key_Rx20_UBU.md)</t>
        </is>
      </c>
      <c r="O271" s="39" t="n"/>
      <c r="P271" s="39" t="n"/>
    </row>
    <row r="272" ht="13.2" customHeight="1" s="49">
      <c r="A272" s="37" t="n">
        <v>270</v>
      </c>
      <c r="B272" s="38" t="inlineStr">
        <is>
          <t>ผู้ป่วยใช้เครื่องช่วยหำยใจแล้วติดเชื้อ A. baumbanii ใช้ยาอะไร</t>
        </is>
      </c>
      <c r="C272" s="38" t="n"/>
      <c r="D272" s="38" t="inlineStr">
        <is>
          <t>Azithromycin 500 mg OD</t>
        </is>
      </c>
      <c r="E272" s="38" t="inlineStr">
        <is>
          <t>Doxycycline 100 mg BID</t>
        </is>
      </c>
      <c r="F272" s="38" t="inlineStr">
        <is>
          <t>Cotrimoxazole 160/800 mg BID</t>
        </is>
      </c>
      <c r="G272" s="38" t="inlineStr">
        <is>
          <t>Metronidazole 400 mg TID</t>
        </is>
      </c>
      <c r="H272" s="38" t="inlineStr">
        <is>
          <t>Nitrofurantoin 100 mg BID</t>
        </is>
      </c>
      <c r="I272" s="37" t="inlineStr">
        <is>
          <t>1</t>
        </is>
      </c>
      <c r="J272"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2" s="38" t="n"/>
      <c r="L272" s="39" t="inlineStr">
        <is>
          <t>HIV infection</t>
        </is>
      </c>
      <c r="M272" s="39" t="inlineStr">
        <is>
          <t>Clinic</t>
        </is>
      </c>
      <c r="N272" s="38" t="inlineStr">
        <is>
          <t>ข้อ 84 (PLE_CC1_Key_Rx20_UBU.md)</t>
        </is>
      </c>
      <c r="O272" s="39" t="n"/>
      <c r="P272" s="39" t="n"/>
    </row>
    <row r="273" ht="13.2" customHeight="1" s="49">
      <c r="A273" s="37" t="n">
        <v>271</v>
      </c>
      <c r="B273" s="38" t="inlineStr">
        <is>
          <t>โรคติดเชื้อ ปัสสาวะคั่ง อาจทำให้ผู้ป่วยที่มีโรคทางเดินปัสสาวะแย่ลง</t>
        </is>
      </c>
      <c r="C273" s="38" t="n"/>
      <c r="D273" s="38" t="inlineStr">
        <is>
          <t>Cefazolin 1 g IV Q8H</t>
        </is>
      </c>
      <c r="E273" s="38" t="inlineStr">
        <is>
          <t>Amoxicillin/Clavulanate 1 g BID</t>
        </is>
      </c>
      <c r="F273" s="38" t="inlineStr">
        <is>
          <t>Ceftriaxone 1 g IV OD</t>
        </is>
      </c>
      <c r="G273" s="38" t="inlineStr">
        <is>
          <t>Ciprofloxacin 500 mg BID</t>
        </is>
      </c>
      <c r="H273" s="38" t="inlineStr">
        <is>
          <t>Azithromycin 500 mg OD</t>
        </is>
      </c>
      <c r="I273" s="37" t="inlineStr">
        <is>
          <t>1</t>
        </is>
      </c>
      <c r="J27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3" s="38" t="n"/>
      <c r="L273" s="39" t="inlineStr">
        <is>
          <t>HIV infection</t>
        </is>
      </c>
      <c r="M273" s="39" t="inlineStr">
        <is>
          <t>Clinic</t>
        </is>
      </c>
      <c r="N273" s="38" t="inlineStr">
        <is>
          <t>ข้อ 5 (PLE_CC1_Key_Rx20_UBU.md)</t>
        </is>
      </c>
      <c r="O273" s="39" t="n"/>
      <c r="P273" s="39" t="n"/>
    </row>
    <row r="274" ht="13.2" customHeight="1" s="49">
      <c r="A274" s="37" t="n">
        <v>272</v>
      </c>
      <c r="B274" s="38" t="inlineStr">
        <is>
          <t>การจะตรวจว่าผู้ป่วยเป็นวัณโรคต้องตรวจหาเชื้ออะไร</t>
        </is>
      </c>
      <c r="C274" s="38" t="n"/>
      <c r="D274" s="38" t="inlineStr">
        <is>
          <t>Ciprofloxacin 500 mg BID</t>
        </is>
      </c>
      <c r="E274" s="38" t="inlineStr">
        <is>
          <t>Azithromycin 500 mg OD</t>
        </is>
      </c>
      <c r="F274" s="38" t="inlineStr">
        <is>
          <t>Doxycycline 100 mg BID</t>
        </is>
      </c>
      <c r="G274" s="38" t="inlineStr">
        <is>
          <t>Cotrimoxazole 160/800 mg BID</t>
        </is>
      </c>
      <c r="H274" s="38" t="inlineStr">
        <is>
          <t>Metronidazole 400 mg TID</t>
        </is>
      </c>
      <c r="I274" s="37" t="inlineStr">
        <is>
          <t>1</t>
        </is>
      </c>
      <c r="J274" s="38"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38" t="n"/>
      <c r="L274" s="39" t="inlineStr">
        <is>
          <t>Tuberculosis</t>
        </is>
      </c>
      <c r="M274" s="39" t="inlineStr">
        <is>
          <t>Clinic</t>
        </is>
      </c>
      <c r="N274" s="38" t="inlineStr">
        <is>
          <t>ข้อ 1 (PLE_CC1_Key_Rx20_UBU.md)</t>
        </is>
      </c>
      <c r="O274" s="39" t="n"/>
      <c r="P274" s="39" t="n"/>
    </row>
    <row r="275" ht="13.2" customHeight="1" s="49">
      <c r="A275" s="37" t="n">
        <v>273</v>
      </c>
      <c r="B275" s="38" t="inlineStr">
        <is>
          <t>โครงสร้างใดต่อไปนี้ที่จะใช้คู่กับยา Amoxicillin เพื่อป้องกันการถูกทำลายโดย Enzyme ของแบคทีเรีย</t>
        </is>
      </c>
      <c r="C275" s="38" t="n"/>
      <c r="D275" s="38" t="inlineStr">
        <is>
          <t>Tenofovir/Emtricitabine 300/200 mg OD</t>
        </is>
      </c>
      <c r="E275" s="38" t="inlineStr">
        <is>
          <t>Dolutegravir 50 mg OD</t>
        </is>
      </c>
      <c r="F275" s="38" t="inlineStr">
        <is>
          <t>Vancomycin 1 g IV Q12H</t>
        </is>
      </c>
      <c r="G275" s="38" t="inlineStr">
        <is>
          <t>Meropenem 1 g IV Q8H</t>
        </is>
      </c>
      <c r="H275" s="38" t="inlineStr">
        <is>
          <t>Cefazolin 1 g IV Q8H</t>
        </is>
      </c>
      <c r="I275" s="37" t="inlineStr">
        <is>
          <t>1</t>
        </is>
      </c>
      <c r="J275"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38" t="n"/>
      <c r="L275" s="39" t="inlineStr">
        <is>
          <t>URTI</t>
        </is>
      </c>
      <c r="M275" s="39" t="inlineStr">
        <is>
          <t>Clinic</t>
        </is>
      </c>
      <c r="N275" s="38" t="inlineStr">
        <is>
          <t>ข้อ 7 (PLE_CC1_Key_Rx20_UBU.md)</t>
        </is>
      </c>
      <c r="O275" s="39" t="n"/>
      <c r="P275" s="39" t="n"/>
    </row>
    <row r="276" ht="13.2" customHeight="1" s="49">
      <c r="A276" s="37" t="n">
        <v>274</v>
      </c>
      <c r="B276" s="38" t="inlineStr">
        <is>
          <t>แนะนำให้ผู้ป่วยไปตรวจการติดเชื้อ HIV</t>
        </is>
      </c>
      <c r="C276" s="38" t="n"/>
      <c r="D276" s="38" t="inlineStr">
        <is>
          <t>Amoxicillin/Clavulanate 1 g BID</t>
        </is>
      </c>
      <c r="E276" s="38" t="inlineStr">
        <is>
          <t>Ceftriaxone 1 g IV OD</t>
        </is>
      </c>
      <c r="F276" s="38" t="inlineStr">
        <is>
          <t>Ciprofloxacin 500 mg BID</t>
        </is>
      </c>
      <c r="G276" s="38" t="inlineStr">
        <is>
          <t>Azithromycin 500 mg OD</t>
        </is>
      </c>
      <c r="H276" s="38" t="inlineStr">
        <is>
          <t>Doxycycline 100 mg BID</t>
        </is>
      </c>
      <c r="I276" s="37" t="inlineStr">
        <is>
          <t>1</t>
        </is>
      </c>
      <c r="J276" s="38" t="inlineStr">
        <is>
          <t>✅ คำตอบที่ถูกต้อง: ข้อ ก. Amoxicillin/Clavulanate 1 g BID
💡 Background:
การดูแลผู้ติดเชื้อ HIV เน้นเริ่ม Antiretroviral Therapy (ART) ทันทีเพื่อกด viral load ให้ undetectable (U=U) และฟื้นฟูระบบภูมิคุ้มกัน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6" s="38" t="n"/>
      <c r="L276" s="39" t="inlineStr">
        <is>
          <t>HIV infection</t>
        </is>
      </c>
      <c r="M276" s="39" t="inlineStr">
        <is>
          <t>Clinic</t>
        </is>
      </c>
      <c r="N276" s="38" t="inlineStr">
        <is>
          <t>ข้อ 1 (PLE_CC1_Key_Rx20_UBU.md)</t>
        </is>
      </c>
      <c r="O276" s="39" t="n"/>
      <c r="P276" s="39" t="n"/>
    </row>
    <row r="277" ht="13.2" customHeight="1" s="49">
      <c r="A277" s="37" t="n">
        <v>275</v>
      </c>
      <c r="B277" s="38"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38" t="n"/>
      <c r="D277" s="38" t="inlineStr">
        <is>
          <t>Dolutegravir 50 mg OD</t>
        </is>
      </c>
      <c r="E277" s="38" t="inlineStr">
        <is>
          <t>Vancomycin 1 g IV Q12H</t>
        </is>
      </c>
      <c r="F277" s="38" t="inlineStr">
        <is>
          <t>Meropenem 1 g IV Q8H</t>
        </is>
      </c>
      <c r="G277" s="38" t="inlineStr">
        <is>
          <t>Cefazolin 1 g IV Q8H</t>
        </is>
      </c>
      <c r="H277" s="38" t="inlineStr">
        <is>
          <t>Amoxicillin/Clavulanate 1 g BID</t>
        </is>
      </c>
      <c r="I277" s="37" t="inlineStr">
        <is>
          <t>1</t>
        </is>
      </c>
      <c r="J277" s="38"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แนวทางการวินิจฉัยและรักษาโรคติดเชื้อในประเทศไทย พ.ศ. 2563 (สมาคมโรคติดเชื้อแห่งประเทศไทย)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38" t="n"/>
      <c r="L277" s="39" t="inlineStr">
        <is>
          <t>Cystitis</t>
        </is>
      </c>
      <c r="M277" s="39" t="inlineStr">
        <is>
          <t>Clinic</t>
        </is>
      </c>
      <c r="N277" s="38" t="inlineStr">
        <is>
          <t>ข้อ 5 (PLE_CC1_Key_Rx20_UBU.md)</t>
        </is>
      </c>
      <c r="O277" s="39" t="n"/>
      <c r="P277" s="39" t="n"/>
    </row>
    <row r="278" ht="13.2" customHeight="1" s="49">
      <c r="A278" s="37" t="n">
        <v>276</v>
      </c>
      <c r="B278" s="38"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38" t="n"/>
      <c r="D278" s="38" t="inlineStr">
        <is>
          <t>Cefazolin 1 g IV Q8H</t>
        </is>
      </c>
      <c r="E278" s="38" t="inlineStr">
        <is>
          <t>Amoxicillin/Clavulanate 1 g BID</t>
        </is>
      </c>
      <c r="F278" s="38" t="inlineStr">
        <is>
          <t>Ceftriaxone 1 g IV OD</t>
        </is>
      </c>
      <c r="G278" s="38" t="inlineStr">
        <is>
          <t>Ciprofloxacin 500 mg BID</t>
        </is>
      </c>
      <c r="H278" s="38" t="inlineStr">
        <is>
          <t>Azithromycin 500 mg OD</t>
        </is>
      </c>
      <c r="I278" s="37" t="inlineStr">
        <is>
          <t>1</t>
        </is>
      </c>
      <c r="J278" s="38"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38" t="n"/>
      <c r="L278" s="39" t="inlineStr">
        <is>
          <t>Pneumonia</t>
        </is>
      </c>
      <c r="M278" s="39" t="inlineStr">
        <is>
          <t>Clinic</t>
        </is>
      </c>
      <c r="N278" s="38" t="inlineStr">
        <is>
          <t>ข้อ 5 (PLE_CC1_Key_Rx20_UBU.md)</t>
        </is>
      </c>
      <c r="O278" s="39" t="n"/>
      <c r="P278" s="39" t="n"/>
    </row>
    <row r="279" ht="13.2" customHeight="1" s="49">
      <c r="A279" s="37" t="n">
        <v>277</v>
      </c>
      <c r="B279" s="38" t="inlineStr">
        <is>
          <t>จากรูปโครงสร้างยา ceftriaxone ห้ามผสมใน diluent ชนิดไหน - dome = 100 my/m</t>
        </is>
      </c>
      <c r="C279" s="38" t="n"/>
      <c r="D279" s="38" t="inlineStr">
        <is>
          <t>Ciprofloxacin 500 mg BID</t>
        </is>
      </c>
      <c r="E279" s="38" t="inlineStr">
        <is>
          <t>Azithromycin 500 mg OD</t>
        </is>
      </c>
      <c r="F279" s="38" t="inlineStr">
        <is>
          <t>Doxycycline 100 mg BID</t>
        </is>
      </c>
      <c r="G279" s="38" t="inlineStr">
        <is>
          <t>Cotrimoxazole 160/800 mg BID</t>
        </is>
      </c>
      <c r="H279" s="38" t="inlineStr">
        <is>
          <t>Metronidazole 400 mg TID</t>
        </is>
      </c>
      <c r="I279" s="37" t="inlineStr">
        <is>
          <t>1</t>
        </is>
      </c>
      <c r="J279" s="38"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38" t="n"/>
      <c r="L279" s="39" t="inlineStr">
        <is>
          <t>Pneumonia</t>
        </is>
      </c>
      <c r="M279" s="39" t="inlineStr">
        <is>
          <t>Clinic</t>
        </is>
      </c>
      <c r="N279" s="38" t="inlineStr">
        <is>
          <t>ข้อ 31 (PLE_CC1_Key_Rx20_UBU.md)</t>
        </is>
      </c>
      <c r="O279" s="39" t="n"/>
      <c r="P279" s="39" t="n"/>
    </row>
    <row r="280" ht="13.2" customHeight="1" s="49">
      <c r="A280" s="37" t="n">
        <v>278</v>
      </c>
      <c r="B280" s="38" t="inlineStr">
        <is>
          <t>Ringer solution Ceftriaxone เกิด incomplatibity กับ calcium ในสารน้ำ Ringer solution</t>
        </is>
      </c>
      <c r="C280" s="38" t="n"/>
      <c r="D280" s="38" t="inlineStr">
        <is>
          <t>Cotrimoxazole 160/800 mg BID</t>
        </is>
      </c>
      <c r="E280" s="38" t="inlineStr">
        <is>
          <t>Metronidazole 400 mg TID</t>
        </is>
      </c>
      <c r="F280" s="38" t="inlineStr">
        <is>
          <t>Nitrofurantoin 100 mg BID</t>
        </is>
      </c>
      <c r="G280" s="38" t="inlineStr">
        <is>
          <t>Tenofovir/Emtricitabine 300/200 mg OD</t>
        </is>
      </c>
      <c r="H280" s="38" t="inlineStr">
        <is>
          <t>Dolutegravir 50 mg OD</t>
        </is>
      </c>
      <c r="I280" s="37" t="inlineStr">
        <is>
          <t>1</t>
        </is>
      </c>
      <c r="J280" s="38"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38" t="n"/>
      <c r="L280" s="39" t="inlineStr">
        <is>
          <t>Pneumonia</t>
        </is>
      </c>
      <c r="M280" s="39" t="inlineStr">
        <is>
          <t>Clinic</t>
        </is>
      </c>
      <c r="N280" s="38" t="inlineStr">
        <is>
          <t>ข้อ 5 (PLE_CC1_Key_Rx20_UBU.md)</t>
        </is>
      </c>
      <c r="O280" s="39" t="n"/>
      <c r="P280" s="39" t="n"/>
    </row>
    <row r="281" ht="13.2" customHeight="1" s="49">
      <c r="A281" s="37" t="n">
        <v>279</v>
      </c>
      <c r="B281" s="38" t="inlineStr">
        <is>
          <t>ยา ceftriaxone ที่ใช้ในการรักษาผู้ป่วยรายนี้ ควรบริหารยาแบบใด</t>
        </is>
      </c>
      <c r="C281" s="38" t="n"/>
      <c r="D281" s="38" t="inlineStr">
        <is>
          <t>Tenofovir/Emtricitabine 300/200 mg OD</t>
        </is>
      </c>
      <c r="E281" s="38" t="inlineStr">
        <is>
          <t>Dolutegravir 50 mg OD</t>
        </is>
      </c>
      <c r="F281" s="38" t="inlineStr">
        <is>
          <t>Vancomycin 1 g IV Q12H</t>
        </is>
      </c>
      <c r="G281" s="38" t="inlineStr">
        <is>
          <t>Meropenem 1 g IV Q8H</t>
        </is>
      </c>
      <c r="H281" s="38" t="inlineStr">
        <is>
          <t>Cefazolin 1 g IV Q8H</t>
        </is>
      </c>
      <c r="I281" s="37" t="inlineStr">
        <is>
          <t>1</t>
        </is>
      </c>
      <c r="J281"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38" t="n"/>
      <c r="L281" s="39" t="inlineStr">
        <is>
          <t>Pneumonia</t>
        </is>
      </c>
      <c r="M281" s="39" t="inlineStr">
        <is>
          <t>Clinic</t>
        </is>
      </c>
      <c r="N281" s="38" t="inlineStr">
        <is>
          <t>ข้อ 32 (PLE_CC1_Key_Rx20_UBU.md)</t>
        </is>
      </c>
      <c r="O281" s="39" t="n"/>
      <c r="P281" s="39" t="n"/>
    </row>
    <row r="282" ht="13.2" customHeight="1" s="49">
      <c r="A282" s="37" t="n">
        <v>280</v>
      </c>
      <c r="B282" s="38"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38" t="n"/>
      <c r="D282" s="38" t="inlineStr">
        <is>
          <t>Meropenem 1 g IV Q8H</t>
        </is>
      </c>
      <c r="E282" s="38" t="inlineStr">
        <is>
          <t>Cefazolin 1 g IV Q8H</t>
        </is>
      </c>
      <c r="F282" s="38" t="inlineStr">
        <is>
          <t>Amoxicillin/Clavulanate 1 g BID</t>
        </is>
      </c>
      <c r="G282" s="38" t="inlineStr">
        <is>
          <t>Ceftriaxone 1 g IV OD</t>
        </is>
      </c>
      <c r="H282" s="38" t="inlineStr">
        <is>
          <t>Ciprofloxacin 500 mg BID</t>
        </is>
      </c>
      <c r="I282" s="37" t="inlineStr">
        <is>
          <t>1</t>
        </is>
      </c>
      <c r="J282"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38" t="n"/>
      <c r="L282" s="39" t="inlineStr">
        <is>
          <t>Pneumonia</t>
        </is>
      </c>
      <c r="M282" s="39" t="inlineStr">
        <is>
          <t>Clinic</t>
        </is>
      </c>
      <c r="N282" s="38" t="inlineStr">
        <is>
          <t>ข้อ 33 (PLE_CC1_Key_Rx20_UBU.md)</t>
        </is>
      </c>
      <c r="O282" s="39" t="n"/>
      <c r="P282" s="39" t="n"/>
    </row>
    <row r="283" ht="13.2" customHeight="1" s="49">
      <c r="A283" s="37" t="n">
        <v>281</v>
      </c>
      <c r="B283" s="38" t="inlineStr">
        <is>
          <t>ไม่ต้องจ่ายค่ายารักษาโรคติดเชื้อฉวยโอกาส แต่ต้องจ่ายเงินค่ารักษาโรคเอดส์</t>
        </is>
      </c>
      <c r="C283" s="38" t="n"/>
      <c r="D283" s="38" t="inlineStr">
        <is>
          <t>Ceftriaxone 1 g IV OD</t>
        </is>
      </c>
      <c r="E283" s="38" t="inlineStr">
        <is>
          <t>Ciprofloxacin 500 mg BID</t>
        </is>
      </c>
      <c r="F283" s="38" t="inlineStr">
        <is>
          <t>Azithromycin 500 mg OD</t>
        </is>
      </c>
      <c r="G283" s="38" t="inlineStr">
        <is>
          <t>Doxycycline 100 mg BID</t>
        </is>
      </c>
      <c r="H283" s="38" t="inlineStr">
        <is>
          <t>Cotrimoxazole 160/800 mg BID</t>
        </is>
      </c>
      <c r="I283" s="37" t="inlineStr">
        <is>
          <t>1</t>
        </is>
      </c>
      <c r="J283"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3" s="38" t="n"/>
      <c r="L283" s="39" t="inlineStr">
        <is>
          <t>HIV infection</t>
        </is>
      </c>
      <c r="M283" s="39" t="inlineStr">
        <is>
          <t>Clinic</t>
        </is>
      </c>
      <c r="N283" s="38" t="inlineStr">
        <is>
          <t>ข้อ 4 (PLE_CC1_Key_Rx20_UBU.md)</t>
        </is>
      </c>
      <c r="O283" s="39" t="n"/>
      <c r="P283" s="39" t="n"/>
    </row>
    <row r="284" ht="13.2" customHeight="1" s="49">
      <c r="A284" s="37" t="n">
        <v>282</v>
      </c>
      <c r="B284" s="38"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38" t="n"/>
      <c r="D284" s="38" t="inlineStr">
        <is>
          <t>Doxycycline 100 mg BID</t>
        </is>
      </c>
      <c r="E284" s="38" t="inlineStr">
        <is>
          <t>Cotrimoxazole 160/800 mg BID</t>
        </is>
      </c>
      <c r="F284" s="38" t="inlineStr">
        <is>
          <t>Metronidazole 400 mg TID</t>
        </is>
      </c>
      <c r="G284" s="38" t="inlineStr">
        <is>
          <t>Nitrofurantoin 100 mg BID</t>
        </is>
      </c>
      <c r="H284" s="38" t="inlineStr">
        <is>
          <t>Tenofovir/Emtricitabine 300/200 mg OD</t>
        </is>
      </c>
      <c r="I284" s="37" t="inlineStr">
        <is>
          <t>1</t>
        </is>
      </c>
      <c r="J284"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4" s="38" t="n"/>
      <c r="L284" s="39" t="inlineStr">
        <is>
          <t>HIV infection</t>
        </is>
      </c>
      <c r="M284" s="39" t="inlineStr">
        <is>
          <t>Clinic</t>
        </is>
      </c>
      <c r="N284" s="38" t="inlineStr">
        <is>
          <t>ข้อ 5 (PLE_CC1_Key_Rx20_UBU.md)</t>
        </is>
      </c>
      <c r="O284" s="39" t="n"/>
      <c r="P284" s="39" t="n"/>
    </row>
    <row r="285" ht="13.2" customHeight="1" s="49">
      <c r="A285" s="37" t="n">
        <v>283</v>
      </c>
      <c r="B285" s="38" t="inlineStr">
        <is>
          <t>ยาปฏิชีวนะในข$อใด เปญนทางเลือกแรกสำหรับการรักษาภาวะ Spontaneous bacterial peritonitis (1) Amoxicillin (2) Cefotaxime (3) Colistimethate (4) Clindamycin (5) Ofloxacin</t>
        </is>
      </c>
      <c r="C285" s="38" t="n"/>
      <c r="D285" s="38" t="inlineStr">
        <is>
          <t>Nitrofurantoin 100 mg BID</t>
        </is>
      </c>
      <c r="E285" s="38" t="inlineStr">
        <is>
          <t>Tenofovir/Emtricitabine 300/200 mg OD</t>
        </is>
      </c>
      <c r="F285" s="38" t="inlineStr">
        <is>
          <t>Dolutegravir 50 mg OD</t>
        </is>
      </c>
      <c r="G285" s="38" t="inlineStr">
        <is>
          <t>Vancomycin 1 g IV Q12H</t>
        </is>
      </c>
      <c r="H285" s="38" t="inlineStr">
        <is>
          <t>Meropenem 1 g IV Q8H</t>
        </is>
      </c>
      <c r="I285" s="37" t="inlineStr">
        <is>
          <t>3</t>
        </is>
      </c>
      <c r="J285" s="38"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38" t="n"/>
      <c r="L285" s="39" t="inlineStr">
        <is>
          <t>URTI</t>
        </is>
      </c>
      <c r="M285" s="39" t="inlineStr">
        <is>
          <t>Clinic</t>
        </is>
      </c>
      <c r="N285" s="38" t="inlineStr">
        <is>
          <t>ข้อ 60 (PLE_CC1_Key_Rx20_UBU.md)</t>
        </is>
      </c>
      <c r="O285" s="39" t="n"/>
      <c r="P285" s="39" t="n"/>
    </row>
    <row r="286" ht="13.2" customHeight="1" s="49">
      <c r="A286" s="37" t="n">
        <v>284</v>
      </c>
      <c r="B286" s="38"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38" t="n"/>
      <c r="D286" s="38" t="inlineStr">
        <is>
          <t>Vancomycin 1 g IV Q12H</t>
        </is>
      </c>
      <c r="E286" s="38" t="inlineStr">
        <is>
          <t>Meropenem 1 g IV Q8H</t>
        </is>
      </c>
      <c r="F286" s="38" t="inlineStr">
        <is>
          <t>Cefazolin 1 g IV Q8H</t>
        </is>
      </c>
      <c r="G286" s="38" t="inlineStr">
        <is>
          <t>Amoxicillin/Clavulanate 1 g BID</t>
        </is>
      </c>
      <c r="H286" s="38" t="inlineStr">
        <is>
          <t>Ceftriaxone 1 g IV OD</t>
        </is>
      </c>
      <c r="I286" s="37" t="inlineStr">
        <is>
          <t>2</t>
        </is>
      </c>
      <c r="J286" s="38" t="inlineStr">
        <is>
          <t>✅ คำตอบที่ถูกต้อง: ข้อ ข.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86" s="38" t="n"/>
      <c r="L286" s="39" t="inlineStr">
        <is>
          <t>HIV infection</t>
        </is>
      </c>
      <c r="M286" s="39" t="inlineStr">
        <is>
          <t>Clinic</t>
        </is>
      </c>
      <c r="N286" s="38" t="inlineStr">
        <is>
          <t>ข้อ 5 (PLE_CC1_Key_Rx20_UBU.md)</t>
        </is>
      </c>
      <c r="O286" s="39" t="n"/>
      <c r="P286" s="39" t="n"/>
    </row>
    <row r="287" ht="13.2" customHeight="1" s="49">
      <c r="A287" s="37" t="n">
        <v>285</v>
      </c>
      <c r="B287" s="38" t="inlineStr">
        <is>
          <t>ยาควบคุมพิเศษ-ยาควบคุมพิเศษใช$เฉพาะสถานพยาบาล สถานการณ) 2 ผู$ป&amp;วยหญิงไทย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38" t="n"/>
      <c r="D287" s="38" t="inlineStr">
        <is>
          <t>Amoxicillin/Clavulanate 1 g BID</t>
        </is>
      </c>
      <c r="E287" s="38" t="inlineStr">
        <is>
          <t>Ceftriaxone 1 g IV OD</t>
        </is>
      </c>
      <c r="F287" s="38" t="inlineStr">
        <is>
          <t>Ciprofloxacin 500 mg BID</t>
        </is>
      </c>
      <c r="G287" s="38" t="inlineStr">
        <is>
          <t>Azithromycin 500 mg OD</t>
        </is>
      </c>
      <c r="H287" s="38" t="inlineStr">
        <is>
          <t>Doxycycline 100 mg BID</t>
        </is>
      </c>
      <c r="I287" s="37" t="inlineStr">
        <is>
          <t>2</t>
        </is>
      </c>
      <c r="J287" s="38"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38" t="n"/>
      <c r="L287" s="39" t="inlineStr">
        <is>
          <t>Tuberculosis</t>
        </is>
      </c>
      <c r="M287" s="39" t="inlineStr">
        <is>
          <t>Clinic</t>
        </is>
      </c>
      <c r="N287" s="38" t="inlineStr">
        <is>
          <t>ข้อ 5 (PLE_CC1_Key_Rx20_UBU.md)</t>
        </is>
      </c>
      <c r="O287" s="39" t="n"/>
      <c r="P287" s="39" t="n"/>
    </row>
    <row r="288" ht="13.2" customHeight="1" s="49">
      <c r="A288" s="37" t="n">
        <v>286</v>
      </c>
      <c r="B288" s="38" t="inlineStr">
        <is>
          <t>นำยา Ceftazidime 1 vial มาผสมกับ 0.9% NaCl 5 ml จากนั้นดูดมา 2.5 ml แล$วเติม Isotonic solution 7.5 ml</t>
        </is>
      </c>
      <c r="C288" s="38" t="n"/>
      <c r="D288" s="38" t="inlineStr">
        <is>
          <t>Metronidazole 400 mg TID</t>
        </is>
      </c>
      <c r="E288" s="38" t="inlineStr">
        <is>
          <t>Nitrofurantoin 100 mg BID</t>
        </is>
      </c>
      <c r="F288" s="38" t="inlineStr">
        <is>
          <t>Tenofovir/Emtricitabine 300/200 mg OD</t>
        </is>
      </c>
      <c r="G288" s="38" t="inlineStr">
        <is>
          <t>Dolutegravir 50 mg OD</t>
        </is>
      </c>
      <c r="H288" s="38" t="inlineStr">
        <is>
          <t>Vancomycin 1 g IV Q12H</t>
        </is>
      </c>
      <c r="I288" s="37" t="inlineStr">
        <is>
          <t>1</t>
        </is>
      </c>
      <c r="J288" s="38"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38" t="n"/>
      <c r="L288" s="39" t="inlineStr">
        <is>
          <t>Cystitis</t>
        </is>
      </c>
      <c r="M288" s="39" t="inlineStr">
        <is>
          <t>Clinic</t>
        </is>
      </c>
      <c r="N288" s="38" t="inlineStr">
        <is>
          <t>ข้อ 1 (PLE_CC1_Key_Rx20_UBU.md)</t>
        </is>
      </c>
      <c r="O288" s="39" t="n"/>
      <c r="P288" s="39" t="n"/>
    </row>
    <row r="289" ht="13.2" customHeight="1" s="49">
      <c r="A289" s="37" t="n">
        <v>287</v>
      </c>
      <c r="B289" s="38" t="inlineStr">
        <is>
          <t>ชั่งยา Ceftazidime 500 mg แล$วเติม Isotonic solution จนครบ 10 ml</t>
        </is>
      </c>
      <c r="C289" s="38" t="n"/>
      <c r="D289" s="38" t="inlineStr">
        <is>
          <t>Dolutegravir 50 mg OD</t>
        </is>
      </c>
      <c r="E289" s="38" t="inlineStr">
        <is>
          <t>Vancomycin 1 g IV Q12H</t>
        </is>
      </c>
      <c r="F289" s="38" t="inlineStr">
        <is>
          <t>Meropenem 1 g IV Q8H</t>
        </is>
      </c>
      <c r="G289" s="38" t="inlineStr">
        <is>
          <t>Cefazolin 1 g IV Q8H</t>
        </is>
      </c>
      <c r="H289" s="38" t="inlineStr">
        <is>
          <t>Amoxicillin/Clavulanate 1 g BID</t>
        </is>
      </c>
      <c r="I289" s="37" t="inlineStr">
        <is>
          <t>1</t>
        </is>
      </c>
      <c r="J289" s="38"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38" t="n"/>
      <c r="L289" s="39" t="inlineStr">
        <is>
          <t>Cystitis</t>
        </is>
      </c>
      <c r="M289" s="39" t="inlineStr">
        <is>
          <t>Clinic</t>
        </is>
      </c>
      <c r="N289" s="38" t="inlineStr">
        <is>
          <t>ข้อ 2 (PLE_CC1_Key_Rx20_UBU.md)</t>
        </is>
      </c>
      <c r="O289" s="39" t="n"/>
      <c r="P289" s="39" t="n"/>
    </row>
    <row r="290" ht="13.2" customHeight="1" s="49">
      <c r="A290" s="37" t="n">
        <v>288</v>
      </c>
      <c r="B290" s="38" t="inlineStr">
        <is>
          <t>นำยา Ceftazidime 1 vial มาผสมกับ 0.9% NaCl 2.5 ml จากนั้นดูดมา 2.5 ml แล$วเติม Isotonic solution 7.5 ml</t>
        </is>
      </c>
      <c r="C290" s="38" t="n"/>
      <c r="D290" s="38" t="inlineStr">
        <is>
          <t>Cefazolin 1 g IV Q8H</t>
        </is>
      </c>
      <c r="E290" s="38" t="inlineStr">
        <is>
          <t>Amoxicillin/Clavulanate 1 g BID</t>
        </is>
      </c>
      <c r="F290" s="38" t="inlineStr">
        <is>
          <t>Ceftriaxone 1 g IV OD</t>
        </is>
      </c>
      <c r="G290" s="38" t="inlineStr">
        <is>
          <t>Ciprofloxacin 500 mg BID</t>
        </is>
      </c>
      <c r="H290" s="38" t="inlineStr">
        <is>
          <t>Azithromycin 500 mg OD</t>
        </is>
      </c>
      <c r="I290" s="37" t="inlineStr">
        <is>
          <t>1</t>
        </is>
      </c>
      <c r="J290" s="38"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38" t="n"/>
      <c r="L290" s="39" t="inlineStr">
        <is>
          <t>Cystitis</t>
        </is>
      </c>
      <c r="M290" s="39" t="inlineStr">
        <is>
          <t>Clinic</t>
        </is>
      </c>
      <c r="N290" s="38" t="inlineStr">
        <is>
          <t>ข้อ 3 (PLE_CC1_Key_Rx20_UBU.md)</t>
        </is>
      </c>
      <c r="O290" s="39" t="n"/>
      <c r="P290" s="39" t="n"/>
    </row>
    <row r="291" ht="13.2" customHeight="1" s="49">
      <c r="A291" s="37" t="n">
        <v>289</v>
      </c>
      <c r="B291" s="38" t="inlineStr">
        <is>
          <t>ชั่งยา Ceftazidime 250 mg แล$วเติม Isotonic solution จนครบ 10 ml</t>
        </is>
      </c>
      <c r="C291" s="38" t="n"/>
      <c r="D291" s="38" t="inlineStr">
        <is>
          <t>Ciprofloxacin 500 mg BID</t>
        </is>
      </c>
      <c r="E291" s="38" t="inlineStr">
        <is>
          <t>Azithromycin 500 mg OD</t>
        </is>
      </c>
      <c r="F291" s="38" t="inlineStr">
        <is>
          <t>Doxycycline 100 mg BID</t>
        </is>
      </c>
      <c r="G291" s="38" t="inlineStr">
        <is>
          <t>Cotrimoxazole 160/800 mg BID</t>
        </is>
      </c>
      <c r="H291" s="38" t="inlineStr">
        <is>
          <t>Metronidazole 400 mg TID</t>
        </is>
      </c>
      <c r="I291" s="37" t="inlineStr">
        <is>
          <t>1</t>
        </is>
      </c>
      <c r="J291" s="38"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38" t="n"/>
      <c r="L291" s="39" t="inlineStr">
        <is>
          <t>Cystitis</t>
        </is>
      </c>
      <c r="M291" s="39" t="inlineStr">
        <is>
          <t>Clinic</t>
        </is>
      </c>
      <c r="N291" s="38" t="inlineStr">
        <is>
          <t>ข้อ 4 (PLE_CC1_Key_Rx20_UBU.md)</t>
        </is>
      </c>
      <c r="O291" s="39" t="n"/>
      <c r="P291" s="39" t="n"/>
    </row>
    <row r="292" ht="13.2" customHeight="1" s="49">
      <c r="A292" s="37" t="n">
        <v>290</v>
      </c>
      <c r="B292" s="38" t="inlineStr">
        <is>
          <t>นำยา Ceftazidime 1 vial มาผสมกับ 0.9% NaCl 5 ml จากนั้นดูดมา 5 ml แล$วเติม Isotonic solution 5 ml</t>
        </is>
      </c>
      <c r="C292" s="38" t="n"/>
      <c r="D292" s="38" t="inlineStr">
        <is>
          <t>Cotrimoxazole 160/800 mg BID</t>
        </is>
      </c>
      <c r="E292" s="38" t="inlineStr">
        <is>
          <t>Metronidazole 400 mg TID</t>
        </is>
      </c>
      <c r="F292" s="38" t="inlineStr">
        <is>
          <t>Nitrofurantoin 100 mg BID</t>
        </is>
      </c>
      <c r="G292" s="38" t="inlineStr">
        <is>
          <t>Tenofovir/Emtricitabine 300/200 mg OD</t>
        </is>
      </c>
      <c r="H292" s="38" t="inlineStr">
        <is>
          <t>Dolutegravir 50 mg OD</t>
        </is>
      </c>
      <c r="I292" s="37" t="inlineStr">
        <is>
          <t>1</t>
        </is>
      </c>
      <c r="J292" s="38"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38" t="n"/>
      <c r="L292" s="39" t="inlineStr">
        <is>
          <t>Cystitis</t>
        </is>
      </c>
      <c r="M292" s="39" t="inlineStr">
        <is>
          <t>Clinic</t>
        </is>
      </c>
      <c r="N292" s="38" t="inlineStr">
        <is>
          <t>ข้อ 5 (PLE_CC1_Key_Rx20_UBU.md)</t>
        </is>
      </c>
      <c r="O292" s="39" t="n"/>
      <c r="P292" s="39" t="n"/>
    </row>
    <row r="293" ht="13.2" customHeight="1" s="49">
      <c r="A293" s="37" t="n">
        <v>291</v>
      </c>
      <c r="B293" s="38" t="inlineStr">
        <is>
          <t>เปลี่ยน Ceftazidime เปญน Ceftriaxone</t>
        </is>
      </c>
      <c r="C293" s="38" t="n"/>
      <c r="D293" s="38" t="inlineStr">
        <is>
          <t>Tenofovir/Emtricitabine 300/200 mg OD</t>
        </is>
      </c>
      <c r="E293" s="38" t="inlineStr">
        <is>
          <t>Dolutegravir 50 mg OD</t>
        </is>
      </c>
      <c r="F293" s="38" t="inlineStr">
        <is>
          <t>Vancomycin 1 g IV Q12H</t>
        </is>
      </c>
      <c r="G293" s="38" t="inlineStr">
        <is>
          <t>Meropenem 1 g IV Q8H</t>
        </is>
      </c>
      <c r="H293" s="38" t="inlineStr">
        <is>
          <t>Cefazolin 1 g IV Q8H</t>
        </is>
      </c>
      <c r="I293" s="37" t="inlineStr">
        <is>
          <t>1</t>
        </is>
      </c>
      <c r="J293" s="38"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38" t="n"/>
      <c r="L293" s="39" t="inlineStr">
        <is>
          <t>Pneumonia</t>
        </is>
      </c>
      <c r="M293" s="39" t="inlineStr">
        <is>
          <t>Clinic</t>
        </is>
      </c>
      <c r="N293" s="38" t="inlineStr">
        <is>
          <t>ข้อ 1 (PLE_CC1_Key_Rx20_UBU.md)</t>
        </is>
      </c>
      <c r="O293" s="39" t="n"/>
      <c r="P293" s="39" t="n"/>
    </row>
    <row r="294" ht="13.2" customHeight="1" s="49">
      <c r="A294" s="37" t="n">
        <v>292</v>
      </c>
      <c r="B294" s="38" t="inlineStr">
        <is>
          <t>Amoxicillin เปญนยาที่ทนกรด สามารถรับประทานได$ จากโครงสร$างของ Amoxicillin สGวนใดที่ทำให$ Amoxicillin รับประทานได$</t>
        </is>
      </c>
      <c r="C294" s="38" t="n"/>
      <c r="D294" s="38" t="inlineStr">
        <is>
          <t>Meropenem 1 g IV Q8H</t>
        </is>
      </c>
      <c r="E294" s="38" t="inlineStr">
        <is>
          <t>Cefazolin 1 g IV Q8H</t>
        </is>
      </c>
      <c r="F294" s="38" t="inlineStr">
        <is>
          <t>Amoxicillin/Clavulanate 1 g BID</t>
        </is>
      </c>
      <c r="G294" s="38" t="inlineStr">
        <is>
          <t>Ceftriaxone 1 g IV OD</t>
        </is>
      </c>
      <c r="H294" s="38" t="inlineStr">
        <is>
          <t>Ciprofloxacin 500 mg BID</t>
        </is>
      </c>
      <c r="I294" s="37" t="inlineStr">
        <is>
          <t>1</t>
        </is>
      </c>
      <c r="J294" s="38"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38" t="n"/>
      <c r="L294" s="39" t="inlineStr">
        <is>
          <t>URTI</t>
        </is>
      </c>
      <c r="M294" s="39" t="inlineStr">
        <is>
          <t>Clinic</t>
        </is>
      </c>
      <c r="N294" s="38" t="inlineStr">
        <is>
          <t>ข้อ 65 (PLE_CC1_Key_Rx20_UBU.md)</t>
        </is>
      </c>
      <c r="O294" s="39" t="n"/>
      <c r="P294" s="39" t="n"/>
    </row>
    <row r="295" ht="13.2" customHeight="1" s="49">
      <c r="A295" s="37" t="n">
        <v>293</v>
      </c>
      <c r="B295" s="38" t="inlineStr">
        <is>
          <t>ยาต้าน HIV ที่ควรให้ในผู้ป่วยรายนี้</t>
        </is>
      </c>
      <c r="C295" s="38" t="n"/>
      <c r="D295" s="38" t="inlineStr">
        <is>
          <t>Ceftriaxone 1 g IV OD</t>
        </is>
      </c>
      <c r="E295" s="38" t="inlineStr">
        <is>
          <t>Ciprofloxacin 500 mg BID</t>
        </is>
      </c>
      <c r="F295" s="38" t="inlineStr">
        <is>
          <t>Azithromycin 500 mg OD</t>
        </is>
      </c>
      <c r="G295" s="38" t="inlineStr">
        <is>
          <t>Doxycycline 100 mg BID</t>
        </is>
      </c>
      <c r="H295" s="38" t="inlineStr">
        <is>
          <t>Cotrimoxazole 160/800 mg BID</t>
        </is>
      </c>
      <c r="I295" s="37" t="inlineStr">
        <is>
          <t>1</t>
        </is>
      </c>
      <c r="J295" s="38" t="inlineStr">
        <is>
          <t>✅ คำตอบที่ถูกต้อง: ข้อ ก. Ceftriaxone 1 g IV OD
💡 Background:
การดูแลผู้ติดเชื้อ HIV เน้นเริ่ม Antiretroviral Therapy (ART) ทันทีเพื่อกด viral load ให้ undetectable (U=U) และฟื้นฟูระบบภูมิคุ้มกัน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5" s="38" t="n"/>
      <c r="L295" s="39" t="inlineStr">
        <is>
          <t>HIV infection</t>
        </is>
      </c>
      <c r="M295" s="39" t="inlineStr">
        <is>
          <t>Clinic</t>
        </is>
      </c>
      <c r="N295" s="38" t="inlineStr">
        <is>
          <t>ข้อ 6 (PLE_CC1_Key_Rx20_UBU.md)</t>
        </is>
      </c>
      <c r="O295" s="39" t="n"/>
      <c r="P295" s="39" t="n"/>
    </row>
    <row r="296" ht="13.2" customHeight="1" s="49">
      <c r="A296" s="37" t="n">
        <v>294</v>
      </c>
      <c r="B296" s="38" t="inlineStr">
        <is>
          <t>ยาที่ควรได้รับในผู้ป่วยรายนี้เพื่อป้องกันโรคติดเชื้อฉวยโอกาส</t>
        </is>
      </c>
      <c r="C296" s="38" t="n"/>
      <c r="D296" s="38" t="inlineStr">
        <is>
          <t>Doxycycline 100 mg BID</t>
        </is>
      </c>
      <c r="E296" s="38" t="inlineStr">
        <is>
          <t>Cotrimoxazole 160/800 mg BID</t>
        </is>
      </c>
      <c r="F296" s="38" t="inlineStr">
        <is>
          <t>Metronidazole 400 mg TID</t>
        </is>
      </c>
      <c r="G296" s="38" t="inlineStr">
        <is>
          <t>Nitrofurantoin 100 mg BID</t>
        </is>
      </c>
      <c r="H296" s="38" t="inlineStr">
        <is>
          <t>Tenofovir/Emtricitabine 300/200 mg OD</t>
        </is>
      </c>
      <c r="I296" s="37" t="inlineStr">
        <is>
          <t>1</t>
        </is>
      </c>
      <c r="J296" s="38" t="inlineStr">
        <is>
          <t>✅ คำตอบที่ถูกต้อง: ข้อ ก. Doxycycline 100 mg BID
💡 Background:
การดูแลผู้ติดเชื้อ HIV เน้นเริ่ม Antiretroviral Therapy (ART) ทันทีเพื่อกด viral load ให้ undetectable (U=U) และฟื้นฟูระบบภูมิคุ้มกัน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6" s="38" t="n"/>
      <c r="L296" s="39" t="inlineStr">
        <is>
          <t>HIV infection</t>
        </is>
      </c>
      <c r="M296" s="39" t="inlineStr">
        <is>
          <t>Clinic</t>
        </is>
      </c>
      <c r="N296" s="38" t="inlineStr">
        <is>
          <t>ข้อ 8 (PLE_CC1_Key_Rx20_UBU.md)</t>
        </is>
      </c>
      <c r="O296" s="39" t="n"/>
      <c r="P296" s="39" t="n"/>
    </row>
    <row r="297" ht="13.2" customHeight="1" s="49">
      <c r="A297" s="37" t="n">
        <v>295</v>
      </c>
      <c r="B297" s="38" t="inlineStr">
        <is>
          <t>Herpe zoster ตากุ้งยิงเป็นการอักเสบหรือติดเชื้อจากการอุดตันของต่อมไขมันบริเวณเปลือกตา</t>
        </is>
      </c>
      <c r="C297" s="38" t="n"/>
      <c r="D297" s="38" t="inlineStr">
        <is>
          <t>Nitrofurantoin 100 mg BID</t>
        </is>
      </c>
      <c r="E297" s="38" t="inlineStr">
        <is>
          <t>Tenofovir/Emtricitabine 300/200 mg OD</t>
        </is>
      </c>
      <c r="F297" s="38" t="inlineStr">
        <is>
          <t>Dolutegravir 50 mg OD</t>
        </is>
      </c>
      <c r="G297" s="38" t="inlineStr">
        <is>
          <t>Vancomycin 1 g IV Q12H</t>
        </is>
      </c>
      <c r="H297" s="38" t="inlineStr">
        <is>
          <t>Meropenem 1 g IV Q8H</t>
        </is>
      </c>
      <c r="I297" s="37" t="inlineStr">
        <is>
          <t>5</t>
        </is>
      </c>
      <c r="J297" s="38" t="inlineStr">
        <is>
          <t>✅ คำตอบที่ถูกต้อง: ข้อ จ.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97" s="38" t="n"/>
      <c r="L297" s="39" t="inlineStr">
        <is>
          <t>HIV infection</t>
        </is>
      </c>
      <c r="M297" s="39" t="inlineStr">
        <is>
          <t>Clinic</t>
        </is>
      </c>
      <c r="N297" s="38" t="inlineStr">
        <is>
          <t>ข้อ 5 (PLE_CC1_Key_Rx20_UBU.md)</t>
        </is>
      </c>
      <c r="O297" s="39" t="n"/>
      <c r="P297" s="39" t="n"/>
    </row>
    <row r="298" ht="13.2" customHeight="1" s="49">
      <c r="A298" s="37" t="n">
        <v>296</v>
      </c>
      <c r="B298" s="38" t="inlineStr">
        <is>
          <t>dicloxacillin ต่างจาก amoxicillin อย่างไร</t>
        </is>
      </c>
      <c r="C298" s="38" t="n"/>
      <c r="D298" s="38" t="inlineStr">
        <is>
          <t>Vancomycin 1 g IV Q12H</t>
        </is>
      </c>
      <c r="E298" s="38" t="inlineStr">
        <is>
          <t>Meropenem 1 g IV Q8H</t>
        </is>
      </c>
      <c r="F298" s="38" t="inlineStr">
        <is>
          <t>Cefazolin 1 g IV Q8H</t>
        </is>
      </c>
      <c r="G298" s="38" t="inlineStr">
        <is>
          <t>Amoxicillin/Clavulanate 1 g BID</t>
        </is>
      </c>
      <c r="H298" s="38" t="inlineStr">
        <is>
          <t>Ceftriaxone 1 g IV OD</t>
        </is>
      </c>
      <c r="I298" s="37" t="inlineStr">
        <is>
          <t>1</t>
        </is>
      </c>
      <c r="J298" s="38"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38" t="n"/>
      <c r="L298" s="39" t="inlineStr">
        <is>
          <t>URTI</t>
        </is>
      </c>
      <c r="M298" s="39" t="inlineStr">
        <is>
          <t>Clinic</t>
        </is>
      </c>
      <c r="N298" s="38" t="inlineStr">
        <is>
          <t>ข้อ 5 (PLE_CC1_Key_Rx20_UBU.md)</t>
        </is>
      </c>
      <c r="O298" s="39" t="n"/>
      <c r="P298" s="39" t="n"/>
    </row>
    <row r="299" ht="13.2" customHeight="1" s="49">
      <c r="A299" s="37" t="n">
        <v>297</v>
      </c>
      <c r="B299" s="38" t="inlineStr">
        <is>
          <t>ทน bata lactamase มากกว่า amoxicillin</t>
        </is>
      </c>
      <c r="C299" s="38" t="n"/>
      <c r="D299" s="38" t="inlineStr">
        <is>
          <t>Amoxicillin/Clavulanate 1 g BID</t>
        </is>
      </c>
      <c r="E299" s="38" t="inlineStr">
        <is>
          <t>Ceftriaxone 1 g IV OD</t>
        </is>
      </c>
      <c r="F299" s="38" t="inlineStr">
        <is>
          <t>Ciprofloxacin 500 mg BID</t>
        </is>
      </c>
      <c r="G299" s="38" t="inlineStr">
        <is>
          <t>Azithromycin 500 mg OD</t>
        </is>
      </c>
      <c r="H299" s="38" t="inlineStr">
        <is>
          <t>Doxycycline 100 mg BID</t>
        </is>
      </c>
      <c r="I299" s="37" t="inlineStr">
        <is>
          <t>1</t>
        </is>
      </c>
      <c r="J299" s="38"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38" t="n"/>
      <c r="L299" s="39" t="inlineStr">
        <is>
          <t>URTI</t>
        </is>
      </c>
      <c r="M299" s="39" t="inlineStr">
        <is>
          <t>Clinic</t>
        </is>
      </c>
      <c r="N299" s="38" t="inlineStr">
        <is>
          <t>ข้อ 1 (PLE_CC1_Key_Rx20_UBU.md)</t>
        </is>
      </c>
      <c r="O299" s="39" t="n"/>
      <c r="P299" s="39" t="n"/>
    </row>
    <row r="300" ht="13.2" customHeight="1" s="49">
      <c r="A300" s="37" t="n">
        <v>298</v>
      </c>
      <c r="B300" s="38" t="inlineStr">
        <is>
          <t>ใช้ร่วมกับยา rifampin</t>
        </is>
      </c>
      <c r="C300" s="38" t="n"/>
      <c r="D300" s="38" t="inlineStr">
        <is>
          <t>Azithromycin 500 mg OD</t>
        </is>
      </c>
      <c r="E300" s="38" t="inlineStr">
        <is>
          <t>Doxycycline 100 mg BID</t>
        </is>
      </c>
      <c r="F300" s="38" t="inlineStr">
        <is>
          <t>Cotrimoxazole 160/800 mg BID</t>
        </is>
      </c>
      <c r="G300" s="38" t="inlineStr">
        <is>
          <t>Metronidazole 400 mg TID</t>
        </is>
      </c>
      <c r="H300" s="38" t="inlineStr">
        <is>
          <t>Nitrofurantoin 100 mg BID</t>
        </is>
      </c>
      <c r="I300" s="37" t="inlineStr">
        <is>
          <t>1</t>
        </is>
      </c>
      <c r="J300" s="38" t="inlineStr">
        <is>
          <t>✅ คำตอบที่ถูกต้อง: ข้อ ก. Azithromycin 500 mg OD
💡 Background:
การดูแลผู้ติดเชื้อ HIV เน้นเริ่ม Antiretroviral Therapy (ART) ทันทีเพื่อกด viral load ให้ undetectable (U=U) และฟื้นฟูระบบภูมิคุ้มกัน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0" s="38" t="n"/>
      <c r="L300" s="39" t="inlineStr">
        <is>
          <t>HIV infection</t>
        </is>
      </c>
      <c r="M300" s="39" t="inlineStr">
        <is>
          <t>Clinic</t>
        </is>
      </c>
      <c r="N300" s="38" t="inlineStr">
        <is>
          <t>ข้อ 4 (PLE_CC1_Key_Rx20_UBU.md)</t>
        </is>
      </c>
      <c r="O300" s="39" t="n"/>
      <c r="P300" s="39" t="n"/>
    </row>
    <row r="301" ht="13.2" customHeight="1" s="49">
      <c r="A301" s="37" t="n">
        <v>299</v>
      </c>
      <c r="B301" s="38"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38" t="n"/>
      <c r="D301" s="38" t="inlineStr">
        <is>
          <t>Metronidazole 400 mg TID</t>
        </is>
      </c>
      <c r="E301" s="38" t="inlineStr">
        <is>
          <t>Nitrofurantoin 100 mg BID</t>
        </is>
      </c>
      <c r="F301" s="38" t="inlineStr">
        <is>
          <t>Tenofovir/Emtricitabine 300/200 mg OD</t>
        </is>
      </c>
      <c r="G301" s="38" t="inlineStr">
        <is>
          <t>Dolutegravir 50 mg OD</t>
        </is>
      </c>
      <c r="H301" s="38" t="inlineStr">
        <is>
          <t>Vancomycin 1 g IV Q12H</t>
        </is>
      </c>
      <c r="I301" s="37" t="inlineStr">
        <is>
          <t>1</t>
        </is>
      </c>
      <c r="J301" s="38" t="inlineStr">
        <is>
          <t>✅ คำตอบที่ถูกต้อง: ข้อ ก. Metronidazole 400 mg TID
💡 Background:
การดูแลผู้ติดเชื้อ HIV เน้นเริ่ม Antiretroviral Therapy (ART) ทันทีเพื่อกด viral load ให้ undetectable (U=U) และฟื้นฟูระบบภูมิคุ้มกัน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01" s="38" t="n"/>
      <c r="L301" s="39" t="inlineStr">
        <is>
          <t>HIV infection</t>
        </is>
      </c>
      <c r="M301" s="39" t="inlineStr">
        <is>
          <t>Clinic</t>
        </is>
      </c>
      <c r="N301" s="38" t="inlineStr">
        <is>
          <t>ข้อ 5 (PLE_CC1_Key_Rx20_UBU.md)</t>
        </is>
      </c>
      <c r="O301" s="39" t="n"/>
      <c r="P301" s="39" t="n"/>
    </row>
    <row r="302" ht="13.2" customHeight="1" s="49">
      <c r="A302" s="37" t="n">
        <v>300</v>
      </c>
      <c r="B302" s="38" t="inlineStr">
        <is>
          <t>ป้องกันภาวะแทรกซ้อนจากการติดเชื้อในช่องท้อง</t>
        </is>
      </c>
      <c r="C302" s="38" t="n"/>
      <c r="D302" s="38" t="inlineStr">
        <is>
          <t>Dolutegravir 50 mg OD</t>
        </is>
      </c>
      <c r="E302" s="38" t="inlineStr">
        <is>
          <t>Vancomycin 1 g IV Q12H</t>
        </is>
      </c>
      <c r="F302" s="38" t="inlineStr">
        <is>
          <t>Meropenem 1 g IV Q8H</t>
        </is>
      </c>
      <c r="G302" s="38" t="inlineStr">
        <is>
          <t>Cefazolin 1 g IV Q8H</t>
        </is>
      </c>
      <c r="H302" s="38" t="inlineStr">
        <is>
          <t>Amoxicillin/Clavulanate 1 g BID</t>
        </is>
      </c>
      <c r="I302" s="37" t="inlineStr">
        <is>
          <t>1</t>
        </is>
      </c>
      <c r="J302" s="38" t="inlineStr">
        <is>
          <t>✅ คำตอบที่ถูกต้อง: ข้อ ก. Dolutegravir 50 mg OD
💡 Background:
การดูแลผู้ติดเชื้อ HIV เน้นเริ่ม Antiretroviral Therapy (ART) ทันทีเพื่อกด viral load ให้ undetectable (U=U) และฟื้นฟูระบบภูมิคุ้มกัน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302" s="38" t="n"/>
      <c r="L302" s="39" t="inlineStr">
        <is>
          <t>HIV infection</t>
        </is>
      </c>
      <c r="M302" s="39" t="inlineStr">
        <is>
          <t>Clinic</t>
        </is>
      </c>
      <c r="N302" s="38" t="inlineStr">
        <is>
          <t>ข้อ 1 (PLE_CC1_Key_Rx20_UBU.md)</t>
        </is>
      </c>
      <c r="O302" s="39" t="n"/>
      <c r="P302" s="39" t="n"/>
    </row>
    <row r="303" ht="13.2" customHeight="1" s="49">
      <c r="A303" s="37" t="n">
        <v>301</v>
      </c>
      <c r="B303" s="38" t="inlineStr">
        <is>
          <t>น่าจะติดเชื้อใด</t>
        </is>
      </c>
      <c r="C303" s="38" t="n"/>
      <c r="D303" s="38" t="inlineStr">
        <is>
          <t>Cefazolin 1 g IV Q8H</t>
        </is>
      </c>
      <c r="E303" s="38" t="inlineStr">
        <is>
          <t>Amoxicillin/Clavulanate 1 g BID</t>
        </is>
      </c>
      <c r="F303" s="38" t="inlineStr">
        <is>
          <t>Ceftriaxone 1 g IV OD</t>
        </is>
      </c>
      <c r="G303" s="38" t="inlineStr">
        <is>
          <t>Ciprofloxacin 500 mg BID</t>
        </is>
      </c>
      <c r="H303" s="38" t="inlineStr">
        <is>
          <t>Azithromycin 500 mg OD</t>
        </is>
      </c>
      <c r="I303" s="37" t="inlineStr">
        <is>
          <t>1</t>
        </is>
      </c>
      <c r="J303" s="38" t="inlineStr">
        <is>
          <t>✅ คำตอบที่ถูกต้อง: ข้อ ก. Cefazolin 1 g IV Q8H
💡 Background:
การดูแลผู้ติดเชื้อ HIV เน้นเริ่ม Antiretroviral Therapy (ART) ทันทีเพื่อกด viral load ให้ undetectable (U=U) และฟื้นฟูระบบภูมิคุ้มกัน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3" s="38" t="n"/>
      <c r="L303" s="39" t="inlineStr">
        <is>
          <t>HIV infection</t>
        </is>
      </c>
      <c r="M303" s="39" t="inlineStr">
        <is>
          <t>Clinic</t>
        </is>
      </c>
      <c r="N303" s="38" t="inlineStr">
        <is>
          <t>ข้อ 1 (PLE_CC1_Key_Rx20_UBU.md)</t>
        </is>
      </c>
      <c r="O303" s="39" t="n"/>
      <c r="P303" s="39" t="n"/>
    </row>
    <row r="304" ht="13.2" customHeight="1" s="49">
      <c r="A304" s="37" t="n">
        <v>302</v>
      </c>
      <c r="B304" s="38" t="inlineStr">
        <is>
          <t>ข้อใดน่าจะเป็นสาเหตุของการติดเชื้อในครั้งนี้มากที่สุด</t>
        </is>
      </c>
      <c r="C304" s="38" t="n"/>
      <c r="D304" s="38" t="inlineStr">
        <is>
          <t>Ciprofloxacin 500 mg BID</t>
        </is>
      </c>
      <c r="E304" s="38" t="inlineStr">
        <is>
          <t>Azithromycin 500 mg OD</t>
        </is>
      </c>
      <c r="F304" s="38" t="inlineStr">
        <is>
          <t>Doxycycline 100 mg BID</t>
        </is>
      </c>
      <c r="G304" s="38" t="inlineStr">
        <is>
          <t>Cotrimoxazole 160/800 mg BID</t>
        </is>
      </c>
      <c r="H304" s="38" t="inlineStr">
        <is>
          <t>Metronidazole 400 mg TID</t>
        </is>
      </c>
      <c r="I304" s="37" t="inlineStr">
        <is>
          <t>1</t>
        </is>
      </c>
      <c r="J304" s="38" t="inlineStr">
        <is>
          <t>✅ คำตอบที่ถูกต้อง: ข้อ ก. Ciprofloxacin 500 mg BID
💡 Background:
การดูแลผู้ติดเชื้อ HIV เน้นเริ่ม Antiretroviral Therapy (ART) ทันทีเพื่อกด viral load ให้ undetectable (U=U) และฟื้นฟูระบบภูมิคุ้มกัน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304" s="38" t="n"/>
      <c r="L304" s="39" t="inlineStr">
        <is>
          <t>HIV infection</t>
        </is>
      </c>
      <c r="M304" s="39" t="inlineStr">
        <is>
          <t>Clinic</t>
        </is>
      </c>
      <c r="N304" s="38" t="inlineStr">
        <is>
          <t>ข้อ 2 (PLE_CC1_Key_Rx20_UBU.md)</t>
        </is>
      </c>
      <c r="O304" s="39" t="n"/>
      <c r="P304" s="39" t="n"/>
    </row>
    <row r="305" ht="13.2" customHeight="1" s="49">
      <c r="A305" s="37" t="n">
        <v>303</v>
      </c>
      <c r="B305" s="38" t="inlineStr">
        <is>
          <t>Fluticasone ICS</t>
        </is>
      </c>
      <c r="C305" s="38" t="n"/>
      <c r="D305" s="38" t="inlineStr">
        <is>
          <t>Cotrimoxazole 160/800 mg BID</t>
        </is>
      </c>
      <c r="E305" s="38" t="inlineStr">
        <is>
          <t>Metronidazole 400 mg TID</t>
        </is>
      </c>
      <c r="F305" s="38" t="inlineStr">
        <is>
          <t>Nitrofurantoin 100 mg BID</t>
        </is>
      </c>
      <c r="G305" s="38" t="inlineStr">
        <is>
          <t>Tenofovir/Emtricitabine 300/200 mg OD</t>
        </is>
      </c>
      <c r="H305" s="38" t="inlineStr">
        <is>
          <t>Dolutegravir 50 mg OD</t>
        </is>
      </c>
      <c r="I305" s="37" t="inlineStr">
        <is>
          <t>1</t>
        </is>
      </c>
      <c r="J305" s="38"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38" t="n"/>
      <c r="L305" s="39" t="inlineStr">
        <is>
          <t>Cystitis</t>
        </is>
      </c>
      <c r="M305" s="39" t="inlineStr">
        <is>
          <t>Clinic</t>
        </is>
      </c>
      <c r="N305" s="38" t="inlineStr">
        <is>
          <t>ข้อ 1 (PLE_CC1_Key_Rx20_UBU.md)</t>
        </is>
      </c>
      <c r="O305" s="39" t="n"/>
      <c r="P305" s="39" t="n"/>
    </row>
    <row r="306" ht="13.2" customHeight="1" s="49">
      <c r="A306" s="37" t="n">
        <v>304</v>
      </c>
      <c r="B306" s="38" t="inlineStr">
        <is>
          <t>ติดเชื้อ H.pylori</t>
        </is>
      </c>
      <c r="C306" s="38" t="n"/>
      <c r="D306" s="38" t="inlineStr">
        <is>
          <t>Tenofovir/Emtricitabine 300/200 mg OD</t>
        </is>
      </c>
      <c r="E306" s="38" t="inlineStr">
        <is>
          <t>Dolutegravir 50 mg OD</t>
        </is>
      </c>
      <c r="F306" s="38" t="inlineStr">
        <is>
          <t>Vancomycin 1 g IV Q12H</t>
        </is>
      </c>
      <c r="G306" s="38" t="inlineStr">
        <is>
          <t>Meropenem 1 g IV Q8H</t>
        </is>
      </c>
      <c r="H306" s="38" t="inlineStr">
        <is>
          <t>Cefazolin 1 g IV Q8H</t>
        </is>
      </c>
      <c r="I306" s="37" t="inlineStr">
        <is>
          <t>1</t>
        </is>
      </c>
      <c r="J306" s="38" t="inlineStr">
        <is>
          <t>✅ คำตอบที่ถูกต้อง: ข้อ ก. Tenofovir/Emtricitabine 300/200 mg OD
💡 Background:
การดูแลผู้ติดเชื้อ HIV เน้นเริ่ม Antiretroviral Therapy (ART) ทันทีเพื่อกด viral load ให้ undetectable (U=U) และฟื้นฟูระบบภูมิคุ้มกัน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6" s="38" t="n"/>
      <c r="L306" s="39" t="inlineStr">
        <is>
          <t>HIV infection</t>
        </is>
      </c>
      <c r="M306" s="39" t="inlineStr">
        <is>
          <t>Clinic</t>
        </is>
      </c>
      <c r="N306" s="38" t="inlineStr">
        <is>
          <t>ข้อ 3 (PLE_CC1_Key_Rx20_UBU.md)</t>
        </is>
      </c>
      <c r="O306" s="39" t="n"/>
      <c r="P306" s="39" t="n"/>
    </row>
    <row r="307" ht="13.2" customHeight="1" s="49">
      <c r="A307" s="37" t="n">
        <v>305</v>
      </c>
      <c r="B307" s="38" t="inlineStr">
        <is>
          <t>ยาตาน HIV ที่ผูปวยไดรับมีผลรบกวนยาแกปวดหัวไมเกรนยังไง</t>
        </is>
      </c>
      <c r="C307" s="38" t="n"/>
      <c r="D307" s="38" t="inlineStr">
        <is>
          <t>Meropenem 1 g IV Q8H</t>
        </is>
      </c>
      <c r="E307" s="38" t="inlineStr">
        <is>
          <t>Cefazolin 1 g IV Q8H</t>
        </is>
      </c>
      <c r="F307" s="38" t="inlineStr">
        <is>
          <t>Amoxicillin/Clavulanate 1 g BID</t>
        </is>
      </c>
      <c r="G307" s="38" t="inlineStr">
        <is>
          <t>Ceftriaxone 1 g IV OD</t>
        </is>
      </c>
      <c r="H307" s="38" t="inlineStr">
        <is>
          <t>Ciprofloxacin 500 mg BID</t>
        </is>
      </c>
      <c r="I307" s="37" t="inlineStr">
        <is>
          <t>1</t>
        </is>
      </c>
      <c r="J307" s="38" t="inlineStr">
        <is>
          <t>✅ คำตอบที่ถูกต้อง: ข้อ ก. Meropenem 1 g IV Q8H
💡 Background:
การดูแลผู้ติดเชื้อ HIV เน้นเริ่ม Antiretroviral Therapy (ART) ทันทีเพื่อกด viral load ให้ undetectable (U=U) และฟื้นฟูระบบภูมิคุ้มกัน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7" s="38" t="n"/>
      <c r="L307" s="39" t="inlineStr">
        <is>
          <t>HIV infection</t>
        </is>
      </c>
      <c r="M307" s="39" t="inlineStr">
        <is>
          <t>Clinic</t>
        </is>
      </c>
      <c r="N307" s="38" t="inlineStr">
        <is>
          <t>ข้อ 1 (PLE_CC1_Key_Rx20_UBU.md)</t>
        </is>
      </c>
      <c r="O307" s="39" t="n"/>
      <c r="P307" s="39" t="n"/>
    </row>
    <row r="308" ht="13.2" customHeight="1" s="49">
      <c r="A308" s="37" t="n">
        <v>306</v>
      </c>
      <c r="B308" s="38" t="inlineStr">
        <is>
          <t>ผู้ป่วยรายนี้ติดเชื้ออะไร</t>
        </is>
      </c>
      <c r="C308" s="38" t="n"/>
      <c r="D308" s="38" t="inlineStr">
        <is>
          <t>Adeno virus</t>
        </is>
      </c>
      <c r="E308" s="38" t="inlineStr">
        <is>
          <t>Influenza virus</t>
        </is>
      </c>
      <c r="F308" s="38" t="inlineStr">
        <is>
          <t>Haemophilus influenza</t>
        </is>
      </c>
      <c r="G308" s="38" t="inlineStr">
        <is>
          <t>streptococcus pyrogenes</t>
        </is>
      </c>
      <c r="H308" s="38" t="inlineStr">
        <is>
          <t>streptococcus pneumoniae</t>
        </is>
      </c>
      <c r="I308" s="37" t="inlineStr">
        <is>
          <t>1</t>
        </is>
      </c>
      <c r="J308" s="38" t="inlineStr">
        <is>
          <t>✅ คำตอบที่ถูกต้อง: ข้อ ก. Adeno virus
💡 Background:
การดูแลผู้ติดเชื้อ HIV เน้นเริ่ม Antiretroviral Therapy (ART) ทันทีเพื่อกด viral load ให้ undetectable (U=U) และฟื้นฟูระบบภูมิคุ้มกัน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308" s="38" t="n"/>
      <c r="L308" s="39" t="inlineStr">
        <is>
          <t>HIV infection</t>
        </is>
      </c>
      <c r="M308" s="39" t="inlineStr">
        <is>
          <t>Clinic</t>
        </is>
      </c>
      <c r="N308" s="38" t="inlineStr">
        <is>
          <t>ข้อ 37 (PLE_CC1_Key_Rx20_UBU.md)</t>
        </is>
      </c>
      <c r="O308" s="39" t="n"/>
      <c r="P308" s="39" t="n"/>
    </row>
    <row r="309" ht="13.2" customHeight="1" s="49">
      <c r="A309" s="42" t="n">
        <v>307</v>
      </c>
      <c r="B309" s="38"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38" t="n"/>
      <c r="D309" s="38" t="inlineStr">
        <is>
          <t>1IRZE/5IR</t>
        </is>
      </c>
      <c r="E309" s="38" t="inlineStr">
        <is>
          <t>2IRZE/2IR</t>
        </is>
      </c>
      <c r="F309" s="38" t="inlineStr">
        <is>
          <t>2IRZE/4IR</t>
        </is>
      </c>
      <c r="G309" s="38" t="inlineStr">
        <is>
          <t>3IRZE/2IR</t>
        </is>
      </c>
      <c r="H309" s="38" t="inlineStr">
        <is>
          <t>3IRZE/3IR</t>
        </is>
      </c>
      <c r="I309" s="37" t="inlineStr">
        <is>
          <t>3</t>
        </is>
      </c>
      <c r="J309" s="38"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เป็นสูตรยามาตรฐานระดับชาติและสากลสำหรับรักษาผู้ป่วยวัณโรคปอดรายใหม่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38" t="n"/>
      <c r="L309" s="39" t="inlineStr">
        <is>
          <t>Tuberculosis</t>
        </is>
      </c>
      <c r="M309" s="39" t="inlineStr">
        <is>
          <t>Clinic</t>
        </is>
      </c>
      <c r="N309" s="38" t="inlineStr">
        <is>
          <t>Mock PLE-CC 1 ข้อ 95</t>
        </is>
      </c>
      <c r="O309" s="39" t="n"/>
      <c r="P309" s="39" t="n"/>
    </row>
    <row r="310" ht="13.2" customHeight="1" s="49">
      <c r="A310" s="42" t="n">
        <v>308</v>
      </c>
      <c r="B310" s="38"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38" t="n"/>
      <c r="D310" s="38" t="inlineStr">
        <is>
          <t>หยุดยา Ethambutol (E) เพียงตัวเดียว</t>
        </is>
      </c>
      <c r="E310" s="38" t="inlineStr">
        <is>
          <t>หยุดยา Isoniazid (I) และ Rifampicin (R) แต่คง Pyrazinamide (Z) ไว้</t>
        </is>
      </c>
      <c r="F310" s="38" t="inlineStr">
        <is>
          <t>หยุดยาที่มีพิษต่อตับ (I, R, Z) ทันที รอระดับเอนไซม์ตับกลับมาปกติก่อนพิจารณาเริ่มยาใหม่</t>
        </is>
      </c>
      <c r="G310" s="38" t="inlineStr">
        <is>
          <t>หยุดยา I, R, Z รอระดับเอนไซม์กลับมาปกติแล้วเริ่มยาทุกตัวพร้อมกันในขนาดครึ่งหนึ่ง</t>
        </is>
      </c>
      <c r="H310" s="38" t="inlineStr">
        <is>
          <t>ใช้ยาต่อเนื่องได้ ไม่ต้องหยุดยาเนื่องจากเอนไซม์ตับยังไม่เกิน 5 เท่า</t>
        </is>
      </c>
      <c r="I310" s="37" t="inlineStr">
        <is>
          <t>3</t>
        </is>
      </c>
      <c r="J310" s="38"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38" t="n"/>
      <c r="L310" s="39" t="inlineStr">
        <is>
          <t>Tuberculosis</t>
        </is>
      </c>
      <c r="M310" s="39" t="inlineStr">
        <is>
          <t>Clinic</t>
        </is>
      </c>
      <c r="N310" s="38" t="inlineStr">
        <is>
          <t>Mock PLE-CC 1 ข้อ 96</t>
        </is>
      </c>
      <c r="O310" s="39" t="n"/>
      <c r="P310" s="39" t="n"/>
    </row>
    <row r="311" ht="13.2" customHeight="1" s="49">
      <c r="A311" s="42" t="n">
        <v>309</v>
      </c>
      <c r="B311" s="38" t="inlineStr">
        <is>
          <t>ข้อใดถูกต้องเกี่ยวกับยา Rifampicin ในสูตรการรักษาวัณโรค</t>
        </is>
      </c>
      <c r="C311" s="38" t="n"/>
      <c r="D311" s="38" t="inlineStr">
        <is>
          <t>ยานี้ออกฤทธิ์ยับยั้งการสังเคราะห์ DNA โดยตรง</t>
        </is>
      </c>
      <c r="E311" s="38" t="inlineStr">
        <is>
          <t>ยานี้ออกฤทธิ์ยับยั้งการสังเคราะห์เยื่อหุ้มเซลล์</t>
        </is>
      </c>
      <c r="F311" s="38" t="inlineStr">
        <is>
          <t>ยานี้ทำให้ปัสสาวะ น้ำตา และสารคัดหลั่งในร่างกายเปลี่ยนเป็นสีส้มแดง</t>
        </is>
      </c>
      <c r="G311" s="38" t="inlineStr">
        <is>
          <t>Product acetyl ของยานี้เป็นพิษต่อตับจากการทำงานของเอนไซม์ NAT2</t>
        </is>
      </c>
      <c r="H311" s="38" t="inlineStr">
        <is>
          <t>ยานี้เป็นเอนไซม์อินฮิบิเตอร์ที่ยับยั้งการทำงานของ CYP3A4 อย่างแรง</t>
        </is>
      </c>
      <c r="I311" s="37" t="inlineStr">
        <is>
          <t>3</t>
        </is>
      </c>
      <c r="J311" s="38"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38" t="n"/>
      <c r="L311" s="39" t="inlineStr">
        <is>
          <t>Tuberculosis</t>
        </is>
      </c>
      <c r="M311" s="39" t="inlineStr">
        <is>
          <t>Clinic</t>
        </is>
      </c>
      <c r="N311" s="38" t="inlineStr">
        <is>
          <t>Mock PLE-CC 1 ข้อ 103</t>
        </is>
      </c>
      <c r="O311" s="39" t="n"/>
      <c r="P311" s="39" t="n"/>
    </row>
    <row r="312" ht="13.2" customHeight="1" s="49">
      <c r="A312" s="42" t="n">
        <v>310</v>
      </c>
      <c r="B312" s="38"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38" t="n"/>
      <c r="D312" s="38" t="inlineStr">
        <is>
          <t>Dolutegravir (DTG)</t>
        </is>
      </c>
      <c r="E312" s="38" t="inlineStr">
        <is>
          <t>Lopinavir/Ritonavir (LPV/r)</t>
        </is>
      </c>
      <c r="F312" s="38" t="inlineStr">
        <is>
          <t>Etravirine (ETR)</t>
        </is>
      </c>
      <c r="G312" s="38" t="inlineStr">
        <is>
          <t>Emtricitabine (FTC)</t>
        </is>
      </c>
      <c r="H312" s="38" t="inlineStr">
        <is>
          <t>Enfuvirtide (T-20)</t>
        </is>
      </c>
      <c r="I312" s="37" t="inlineStr">
        <is>
          <t>2</t>
        </is>
      </c>
      <c r="J312" s="38"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38" t="n"/>
      <c r="L312" s="39" t="inlineStr">
        <is>
          <t>Infectious diseases</t>
        </is>
      </c>
      <c r="M312" s="39" t="inlineStr">
        <is>
          <t>Clinic</t>
        </is>
      </c>
      <c r="N312" s="38" t="inlineStr">
        <is>
          <t>PLE_CC1_2567_Key ข้อ 12</t>
        </is>
      </c>
      <c r="O312" s="39" t="n"/>
      <c r="P312" s="39" t="n"/>
    </row>
    <row r="313" ht="13.2" customHeight="1" s="49">
      <c r="A313" t="n">
        <v>311</v>
      </c>
      <c r="B313" t="inlineStr">
        <is>
          <t>ถ้าผู้ป่วยติดเชื้อในช่องท้อง (SBP) ยาใดที่ควรให้</t>
        </is>
      </c>
      <c r="D313" t="inlineStr">
        <is>
          <t>Imipenem</t>
        </is>
      </c>
      <c r="E313" t="inlineStr">
        <is>
          <t>Ceftazidime IV</t>
        </is>
      </c>
      <c r="F313" t="inlineStr">
        <is>
          <t>Cefotaxime IV</t>
        </is>
      </c>
      <c r="G313" t="inlineStr">
        <is>
          <t>Norfloxacin oral</t>
        </is>
      </c>
      <c r="H313" t="inlineStr">
        <is>
          <t>Amoxicillin/clavulanic IV</t>
        </is>
      </c>
      <c r="I313" t="inlineStr">
        <is>
          <t>1</t>
        </is>
      </c>
      <c r="J313" t="inlineStr">
        <is>
          <t>✅ คำตอบที่ถูกต้อง: ข้อ ก. Imipenem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88 (PLE_CC1_2558_Key.md)</t>
        </is>
      </c>
    </row>
    <row r="314" ht="13.2" customHeight="1" s="49">
      <c r="A314" t="n">
        <v>312</v>
      </c>
      <c r="B314" t="inlineStr">
        <is>
          <t>เชื้อสาเหตุของ SBP คือข้อใด</t>
        </is>
      </c>
      <c r="D314" t="inlineStr">
        <is>
          <t>S. aureus</t>
        </is>
      </c>
      <c r="E314" t="inlineStr">
        <is>
          <t>S. pyogenes</t>
        </is>
      </c>
      <c r="F314" t="inlineStr">
        <is>
          <t>K. pneumoniea</t>
        </is>
      </c>
      <c r="G314" t="inlineStr">
        <is>
          <t>P. aeroginosa</t>
        </is>
      </c>
      <c r="H314" t="inlineStr">
        <is>
          <t>Proteus mirabilis</t>
        </is>
      </c>
      <c r="I314" t="inlineStr">
        <is>
          <t>1</t>
        </is>
      </c>
      <c r="J314" t="inlineStr">
        <is>
          <t>✅ คำตอบที่ถูกต้อง: ข้อ ก. S. aureus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90 (PLE_CC1_2558_Key.md)</t>
        </is>
      </c>
    </row>
    <row r="315" ht="13.2" customHeight="1" s="49">
      <c r="A315" t="n">
        <v>313</v>
      </c>
      <c r="B315" t="inlineStr">
        <is>
          <t>ยาที่ออกฤทธิ์ต่อพยาธิ โดยการยับยั้งการสร้าง microtubule และมีผลยับยั้งการนำกลูโคสเข้าเซลล์ คือยา ในข้อใด</t>
        </is>
      </c>
      <c r="D315" t="inlineStr">
        <is>
          <t>Praziquantel</t>
        </is>
      </c>
      <c r="E315" t="inlineStr">
        <is>
          <t>Niclosamide</t>
        </is>
      </c>
      <c r="F315" t="inlineStr">
        <is>
          <t>Mebendazole</t>
        </is>
      </c>
      <c r="G315" t="inlineStr">
        <is>
          <t>Pyrantel pamoate</t>
        </is>
      </c>
      <c r="H315" t="inlineStr">
        <is>
          <t>Ivermectin</t>
        </is>
      </c>
      <c r="I315" t="inlineStr">
        <is>
          <t>1</t>
        </is>
      </c>
      <c r="J315" t="inlineStr">
        <is>
          <t>✅ คำตอบที่ถูกต้อง: ข้อ ก. Praziquantel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40 (PLE_CC1_Practice_Exam.md)</t>
        </is>
      </c>
    </row>
    <row r="316" ht="13.2" customHeight="1" s="49">
      <c r="A316" t="n">
        <v>314</v>
      </c>
      <c r="B316" t="inlineStr">
        <is>
          <t>กระบวนการเปลี่ยนแปลงตัวยาในกลุ่ม nitroimidazole ให้อยู่ในรูปที่ออกฤทธิ์ได้ในเชื้อโปรโตซัวเรียกว่า อะไร</t>
        </is>
      </c>
      <c r="D316" t="inlineStr">
        <is>
          <t>Nitro-Reduction</t>
        </is>
      </c>
      <c r="E316" t="inlineStr">
        <is>
          <t>Hydroxylation</t>
        </is>
      </c>
      <c r="F316" t="inlineStr">
        <is>
          <t>Hydrolysis</t>
        </is>
      </c>
      <c r="G316" t="inlineStr">
        <is>
          <t>Demethylation</t>
        </is>
      </c>
      <c r="H316" t="inlineStr">
        <is>
          <t>Cyclization</t>
        </is>
      </c>
      <c r="I316" t="inlineStr">
        <is>
          <t>1</t>
        </is>
      </c>
      <c r="J316" t="inlineStr">
        <is>
          <t>✅ คำตอบที่ถูกต้อง: ข้อ ก. Nitro-Reduction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6" t="inlineStr">
        <is>
          <t>Hypertension</t>
        </is>
      </c>
      <c r="M316" t="inlineStr">
        <is>
          <t>Clinic</t>
        </is>
      </c>
      <c r="N316" t="inlineStr">
        <is>
          <t>ข้อ 43 (PLE_CC1_Practice_Exam.md)</t>
        </is>
      </c>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Q145"/>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0">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37" t="n">
        <v>1</v>
      </c>
      <c r="B3" s="38"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38" t="n"/>
      <c r="D3" s="38" t="inlineStr">
        <is>
          <t>แนะนำให้ผู้ป่วยหลีกเลี่ยงปัจจัยกระตุ้นให้เกิดการชัก</t>
        </is>
      </c>
      <c r="E3" s="38" t="inlineStr">
        <is>
          <t>สามารถรักษาโรคชักบางชนิดได้ด้วยการผ่าตัด</t>
        </is>
      </c>
      <c r="F3" s="38" t="inlineStr">
        <is>
          <t>ควรใช้ยากันชักเฉพาะช่วงที่ผู้ป่วยมีอาการชักเท่านั้น</t>
        </is>
      </c>
      <c r="G3" s="38" t="inlineStr">
        <is>
          <t>หากใช้ยากันชักชนิดเดียวไม่ได้ผล อาจจะพิจารณาเพิ่มยาตัวที่สอง</t>
        </is>
      </c>
      <c r="H3" s="38" t="inlineStr">
        <is>
          <t>หากยากันชักชนิดแรกไม่สามารถควบคุมอาการชักได้ ให้ใช้ยาตัวอื่นหรือใช้ยา 2 ชนิดร่วมกัน</t>
        </is>
      </c>
      <c r="I3" s="37" t="inlineStr">
        <is>
          <t>3</t>
        </is>
      </c>
      <c r="J3" s="38"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38" t="n"/>
      <c r="L3" s="39" t="inlineStr">
        <is>
          <t>Epilepsy</t>
        </is>
      </c>
      <c r="M3" s="39" t="inlineStr">
        <is>
          <t>Clinic</t>
        </is>
      </c>
      <c r="N3" s="38" t="inlineStr">
        <is>
          <t>ข้อ 1 Pharma Plus เล่มม่วง (เฉลยข้อ ค)</t>
        </is>
      </c>
      <c r="O3" s="39" t="n"/>
      <c r="P3" s="39" t="n"/>
    </row>
    <row r="4" ht="13.2" customHeight="1" s="49">
      <c r="A4" s="37" t="n">
        <v>2</v>
      </c>
      <c r="B4" s="38" t="inlineStr">
        <is>
          <t>ยากันชักข้อใดที่มีกลไกการออกฤทธิ์เหมือนกับ phenytoin sodium</t>
        </is>
      </c>
      <c r="C4" s="38" t="n"/>
      <c r="D4" s="38" t="inlineStr">
        <is>
          <t>Ethosuximide</t>
        </is>
      </c>
      <c r="E4" s="38" t="inlineStr">
        <is>
          <t>Diazepam</t>
        </is>
      </c>
      <c r="F4" s="38" t="inlineStr">
        <is>
          <t>Vigabatrin</t>
        </is>
      </c>
      <c r="G4" s="38" t="inlineStr">
        <is>
          <t>Carbamazepine</t>
        </is>
      </c>
      <c r="H4" s="38" t="inlineStr">
        <is>
          <t>Gabapentin</t>
        </is>
      </c>
      <c r="I4" s="37" t="inlineStr">
        <is>
          <t>4</t>
        </is>
      </c>
      <c r="J4" s="38"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38" t="n"/>
      <c r="L4" s="39" t="inlineStr">
        <is>
          <t>Epilepsy</t>
        </is>
      </c>
      <c r="M4" s="39" t="inlineStr">
        <is>
          <t>Clinic</t>
        </is>
      </c>
      <c r="N4" s="38" t="inlineStr">
        <is>
          <t>ข้อ 2 Pharma Plus เล่มม่วง (เฉลยข้อ ง)</t>
        </is>
      </c>
      <c r="O4" s="39" t="n"/>
      <c r="P4" s="39" t="n"/>
    </row>
    <row r="5" ht="13.2" customHeight="1" s="49">
      <c r="A5" s="37" t="n">
        <v>3</v>
      </c>
      <c r="B5" s="38" t="inlineStr">
        <is>
          <t>อาการไม่พึงประสงค์ในข้อใดที่สัมพันธ์กับระดับ phenytoin ในกระแสเลือดของผู้ป่วย</t>
        </is>
      </c>
      <c r="C5" s="38" t="n"/>
      <c r="D5" s="38" t="inlineStr">
        <is>
          <t>Gingival hyperplasia</t>
        </is>
      </c>
      <c r="E5" s="38" t="inlineStr">
        <is>
          <t>Hepatitis</t>
        </is>
      </c>
      <c r="F5" s="38" t="inlineStr">
        <is>
          <t>Rash</t>
        </is>
      </c>
      <c r="G5" s="38" t="inlineStr">
        <is>
          <t>Ataxia</t>
        </is>
      </c>
      <c r="H5" s="38" t="inlineStr">
        <is>
          <t>Hyponatremia</t>
        </is>
      </c>
      <c r="I5" s="37" t="inlineStr">
        <is>
          <t>4</t>
        </is>
      </c>
      <c r="J5" s="38"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38" t="n"/>
      <c r="L5" s="39" t="inlineStr">
        <is>
          <t>Epilepsy</t>
        </is>
      </c>
      <c r="M5" s="39" t="inlineStr">
        <is>
          <t>Clinic</t>
        </is>
      </c>
      <c r="N5" s="38" t="inlineStr">
        <is>
          <t>ข้อ 3 Pharma Plus เล่มม่วง (เฉลยข้อ ง)</t>
        </is>
      </c>
      <c r="O5" s="39" t="n"/>
      <c r="P5" s="39" t="n"/>
    </row>
    <row r="6" ht="13.2" customHeight="1" s="49">
      <c r="A6" s="37" t="n">
        <v>4</v>
      </c>
      <c r="B6" s="38" t="inlineStr">
        <is>
          <t>ยากันชักตัวใดมีผลเพิ่มระดับความเข้มข้นของยาซึ่งผ่านกระบวนการเมตาบอลิซึมจากเอนไซม์ตัวเดียวกัน</t>
        </is>
      </c>
      <c r="C6" s="38" t="n"/>
      <c r="D6" s="38" t="inlineStr">
        <is>
          <t>Phenytoin</t>
        </is>
      </c>
      <c r="E6" s="38" t="inlineStr">
        <is>
          <t>Valproate</t>
        </is>
      </c>
      <c r="F6" s="38" t="inlineStr">
        <is>
          <t>Phenobarbital</t>
        </is>
      </c>
      <c r="G6" s="38" t="inlineStr">
        <is>
          <t>Carbamazepine</t>
        </is>
      </c>
      <c r="H6" s="38" t="inlineStr">
        <is>
          <t>Phenobarbital</t>
        </is>
      </c>
      <c r="I6" s="37" t="inlineStr">
        <is>
          <t>2</t>
        </is>
      </c>
      <c r="J6" s="38"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38" t="n"/>
      <c r="L6" s="39" t="inlineStr">
        <is>
          <t>Epilepsy</t>
        </is>
      </c>
      <c r="M6" s="39" t="inlineStr">
        <is>
          <t>Clinic</t>
        </is>
      </c>
      <c r="N6" s="38" t="inlineStr">
        <is>
          <t>ข้อ 4 Pharma Plus เล่มม่วง (เฉลยข้อ ข)</t>
        </is>
      </c>
      <c r="O6" s="39" t="n"/>
      <c r="P6" s="39" t="n"/>
    </row>
    <row r="7" ht="13.2" customHeight="1" s="49">
      <c r="A7" s="37" t="n">
        <v>5</v>
      </c>
      <c r="B7" s="38" t="inlineStr">
        <is>
          <t>ยาในข้อใดหากรับประทานพร้อมกับ phenytoin จะทำให้ phenytoin เพิ่มขึ้น</t>
        </is>
      </c>
      <c r="C7" s="38" t="n"/>
      <c r="D7" s="38" t="inlineStr">
        <is>
          <t>Erythromycin</t>
        </is>
      </c>
      <c r="E7" s="38" t="inlineStr">
        <is>
          <t>Cimetidine</t>
        </is>
      </c>
      <c r="F7" s="38" t="inlineStr">
        <is>
          <t>Conjugated estrogen</t>
        </is>
      </c>
      <c r="G7" s="38" t="inlineStr">
        <is>
          <t>Furosemide</t>
        </is>
      </c>
      <c r="H7" s="38" t="inlineStr">
        <is>
          <t>Thiazide</t>
        </is>
      </c>
      <c r="I7" s="37" t="inlineStr">
        <is>
          <t>2</t>
        </is>
      </c>
      <c r="J7" s="38"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38" t="n"/>
      <c r="L7" s="39" t="inlineStr">
        <is>
          <t>Epilepsy</t>
        </is>
      </c>
      <c r="M7" s="39" t="inlineStr">
        <is>
          <t>Clinic</t>
        </is>
      </c>
      <c r="N7" s="38" t="inlineStr">
        <is>
          <t>ข้อ 5 Pharma Plus เล่มม่วง (เฉลยข้อ ข)</t>
        </is>
      </c>
      <c r="O7" s="39" t="n"/>
      <c r="P7" s="39" t="n"/>
    </row>
    <row r="8" ht="13.2" customHeight="1" s="49">
      <c r="A8" s="37" t="n">
        <v>6</v>
      </c>
      <c r="B8"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38" t="n"/>
      <c r="D8" s="38" t="inlineStr">
        <is>
          <t>Migraine headache</t>
        </is>
      </c>
      <c r="E8" s="38" t="inlineStr">
        <is>
          <t>Tension headache</t>
        </is>
      </c>
      <c r="F8" s="38" t="inlineStr">
        <is>
          <t>Cluster headache</t>
        </is>
      </c>
      <c r="G8" s="38" t="inlineStr">
        <is>
          <t>Trauma headache</t>
        </is>
      </c>
      <c r="H8" s="38" t="inlineStr">
        <is>
          <t>Hypertension</t>
        </is>
      </c>
      <c r="I8" s="37" t="inlineStr">
        <is>
          <t>1</t>
        </is>
      </c>
      <c r="J8" s="38"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38" t="n"/>
      <c r="L8" s="39" t="inlineStr">
        <is>
          <t>Headache</t>
        </is>
      </c>
      <c r="M8" s="39" t="inlineStr">
        <is>
          <t>Clinic</t>
        </is>
      </c>
      <c r="N8" s="38" t="inlineStr">
        <is>
          <t>ข้อ 6 Pharma Plus เล่มม่วง (เฉลยข้อ ก)</t>
        </is>
      </c>
      <c r="O8" s="39" t="n"/>
      <c r="P8" s="39" t="n"/>
    </row>
    <row r="9" ht="13.2" customHeight="1" s="49">
      <c r="A9" s="37" t="n">
        <v>7</v>
      </c>
      <c r="B9" s="38"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38" t="n"/>
      <c r="D9" s="38" t="inlineStr">
        <is>
          <t>Methyl ergotamine</t>
        </is>
      </c>
      <c r="E9" s="38" t="inlineStr">
        <is>
          <t>Sumatriptan</t>
        </is>
      </c>
      <c r="F9" s="38" t="inlineStr">
        <is>
          <t>Amitriptyline</t>
        </is>
      </c>
      <c r="G9" s="38" t="inlineStr">
        <is>
          <t>Naproxen</t>
        </is>
      </c>
      <c r="H9" s="38" t="inlineStr">
        <is>
          <t>Verapamil</t>
        </is>
      </c>
      <c r="I9" s="37" t="inlineStr">
        <is>
          <t>2</t>
        </is>
      </c>
      <c r="J9" s="38"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38" t="n"/>
      <c r="L9" s="39" t="inlineStr">
        <is>
          <t>Headache</t>
        </is>
      </c>
      <c r="M9" s="39" t="inlineStr">
        <is>
          <t>Clinic</t>
        </is>
      </c>
      <c r="N9" s="38" t="inlineStr">
        <is>
          <t>ข้อ 7 Pharma Plus เล่มม่วง (เฉลยข้อ ข)</t>
        </is>
      </c>
      <c r="O9" s="39" t="n"/>
      <c r="P9" s="39" t="n"/>
    </row>
    <row r="10" ht="13.2" customHeight="1" s="49">
      <c r="A10" s="37" t="n">
        <v>8</v>
      </c>
      <c r="B10" s="38"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38" t="n"/>
      <c r="D10" s="38" t="inlineStr">
        <is>
          <t>ขนาดเริ่มต้นคือ 1-2 เม็ด รับประทานเมื่อมีอาการ</t>
        </is>
      </c>
      <c r="E10" s="38" t="inlineStr">
        <is>
          <t>รับประทานยาซ้ำได้เมื่ออาการไม่ดีขึ้นภายใน 30 นาที</t>
        </is>
      </c>
      <c r="F10" s="38" t="inlineStr">
        <is>
          <t>ถ้ามีอาการชาที่ปลายมือปลายเท้าให้หยุดยา</t>
        </is>
      </c>
      <c r="G10" s="38" t="inlineStr">
        <is>
          <t>ไม่ควรรับประทานยาเกิน 6 เม็ด ต่อวัน</t>
        </is>
      </c>
      <c r="H10" s="38" t="inlineStr">
        <is>
          <t>ไม่มีข้อใดผิด</t>
        </is>
      </c>
      <c r="I10" s="37" t="n">
        <v>5</v>
      </c>
      <c r="J10" s="38"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38" t="n"/>
      <c r="L10" s="39" t="inlineStr">
        <is>
          <t>Headache</t>
        </is>
      </c>
      <c r="M10" s="39" t="inlineStr">
        <is>
          <t>Clinic</t>
        </is>
      </c>
      <c r="N10" s="38" t="inlineStr">
        <is>
          <t>ข้อ 8 Pharma Plus เล่มม่วง (เฉลยข้อ ก)</t>
        </is>
      </c>
      <c r="O10" s="39" t="n"/>
      <c r="P10" s="39" t="n"/>
    </row>
    <row r="11" ht="13.2" customHeight="1" s="49">
      <c r="A11" s="37" t="n">
        <v>9</v>
      </c>
      <c r="B11" s="38"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38" t="n"/>
      <c r="D11" s="38" t="inlineStr">
        <is>
          <t>Absorption</t>
        </is>
      </c>
      <c r="E11" s="38" t="inlineStr">
        <is>
          <t>Distribution</t>
        </is>
      </c>
      <c r="F11" s="38" t="inlineStr">
        <is>
          <t>Biotransformation</t>
        </is>
      </c>
      <c r="G11" s="38" t="inlineStr">
        <is>
          <t>Elimination</t>
        </is>
      </c>
      <c r="H11" s="38" t="inlineStr">
        <is>
          <t>Excretion</t>
        </is>
      </c>
      <c r="I11" s="37" t="inlineStr">
        <is>
          <t>3</t>
        </is>
      </c>
      <c r="J11" s="38"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38" t="n"/>
      <c r="L11" s="39" t="inlineStr">
        <is>
          <t>Headache</t>
        </is>
      </c>
      <c r="M11" s="39" t="inlineStr">
        <is>
          <t>Clinic</t>
        </is>
      </c>
      <c r="N11" s="38" t="inlineStr">
        <is>
          <t>ข้อ 9 Pharma Plus เล่มม่วง (เฉลยข้อ ค)</t>
        </is>
      </c>
      <c r="O11" s="39" t="n"/>
      <c r="P11" s="39" t="n"/>
    </row>
    <row r="12" ht="13.2" customHeight="1" s="49">
      <c r="A12" s="37" t="n">
        <v>10</v>
      </c>
      <c r="B12" s="38"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38" t="n"/>
      <c r="D12" s="38" t="inlineStr">
        <is>
          <t>ผู้ป่วยปวดศีรษะมากกว่า 2-3 ครั้ง/เดือน</t>
        </is>
      </c>
      <c r="E12" s="38" t="inlineStr">
        <is>
          <t>อาการปวดศีรษะค่อนข้างรุนแรง</t>
        </is>
      </c>
      <c r="F12" s="38" t="inlineStr">
        <is>
          <t>ผู้ป่วยมีอาการปวดนาน 12 ชม. และอายุที่เป็นครั้งแรกมากกว่า 55 ปี</t>
        </is>
      </c>
      <c r="G12" s="38" t="inlineStr">
        <is>
          <t>ผู้ป่วยทนต่ออาการไม่พึงประสงค์ของยาบรรเทาการปวดศีรษะไม่ได้</t>
        </is>
      </c>
      <c r="H12" s="38" t="inlineStr">
        <is>
          <t>ระยะเวลาที่จะมีอาการปวดศีรษะสามารถคาดการณ์ล่วงหน้าได้</t>
        </is>
      </c>
      <c r="I12" s="37" t="inlineStr">
        <is>
          <t>4</t>
        </is>
      </c>
      <c r="J12" s="38"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38" t="n"/>
      <c r="L12" s="39" t="inlineStr">
        <is>
          <t>Headache</t>
        </is>
      </c>
      <c r="M12" s="39" t="inlineStr">
        <is>
          <t>Clinic</t>
        </is>
      </c>
      <c r="N12" s="38" t="inlineStr">
        <is>
          <t>ข้อ 10 Pharma Plus เล่มม่วง (เฉลยข้อ ง)</t>
        </is>
      </c>
      <c r="O12" s="39" t="n"/>
      <c r="P12" s="39" t="n"/>
    </row>
    <row r="13" ht="13.2" customHeight="1" s="49">
      <c r="A13" s="37" t="n">
        <v>11</v>
      </c>
      <c r="B13" s="38"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38" t="n"/>
      <c r="D13" s="38" t="inlineStr">
        <is>
          <t>Indomethacin</t>
        </is>
      </c>
      <c r="E13" s="38" t="inlineStr">
        <is>
          <t>Ergotamine</t>
        </is>
      </c>
      <c r="F13" s="38" t="inlineStr">
        <is>
          <t>Sumatriptan</t>
        </is>
      </c>
      <c r="G13" s="38" t="inlineStr">
        <is>
          <t>Propranolol</t>
        </is>
      </c>
      <c r="H13" s="38" t="inlineStr">
        <is>
          <t>Verapamil</t>
        </is>
      </c>
      <c r="I13" s="37" t="inlineStr">
        <is>
          <t>4</t>
        </is>
      </c>
      <c r="J13" s="38"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38" t="n"/>
      <c r="L13" s="39" t="inlineStr">
        <is>
          <t>Headache</t>
        </is>
      </c>
      <c r="M13" s="39" t="inlineStr">
        <is>
          <t>Clinic</t>
        </is>
      </c>
      <c r="N13" s="38" t="inlineStr">
        <is>
          <t>ข้อ 11 Pharma Plus เล่มม่วง (เฉลยข้อ ง)</t>
        </is>
      </c>
      <c r="O13" s="39" t="n"/>
      <c r="P13" s="39" t="n"/>
    </row>
    <row r="14" ht="13.2" customHeight="1" s="49">
      <c r="A14" s="37" t="n">
        <v>12</v>
      </c>
      <c r="B14" s="38" t="inlineStr">
        <is>
          <t>การใช้ยาป้องกันอาการปวดศีรษะของผู้ป่วยรายนี้ ควรได้รับ</t>
        </is>
      </c>
      <c r="C14" s="38" t="n"/>
      <c r="D14" s="38" t="inlineStr">
        <is>
          <t>อย่างน้อย 6 เดือน หลังจากการปวดศีรษะครั้งสุดท้าย</t>
        </is>
      </c>
      <c r="E14" s="38" t="inlineStr">
        <is>
          <t>อย่างน้อย 6 เดือน หลังจากความถี่และอาการปวดศีรษะลดลง</t>
        </is>
      </c>
      <c r="F14" s="38" t="inlineStr">
        <is>
          <t>กินยาต่อไปจนกว่าผู้ป่วยจะทนอาการไม่พึงประสงค์ไม่ได้</t>
        </is>
      </c>
      <c r="G14" s="38" t="inlineStr">
        <is>
          <t>กินยาเดือนเว้นเดือน จนกว่าจะไม่มีอาการ</t>
        </is>
      </c>
      <c r="H14" s="38" t="inlineStr">
        <is>
          <t>กินได้ตลอดไป</t>
        </is>
      </c>
      <c r="I14" s="37" t="inlineStr">
        <is>
          <t>2</t>
        </is>
      </c>
      <c r="J14" s="38"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38" t="n"/>
      <c r="L14" s="39" t="inlineStr">
        <is>
          <t>Headache</t>
        </is>
      </c>
      <c r="M14" s="39" t="inlineStr">
        <is>
          <t>Clinic</t>
        </is>
      </c>
      <c r="N14" s="38" t="inlineStr">
        <is>
          <t>ข้อ 12 Pharma Plus เล่มม่วง (เฉลยข้อ ข)</t>
        </is>
      </c>
      <c r="O14" s="39" t="n"/>
      <c r="P14" s="39" t="n"/>
    </row>
    <row r="15" ht="13.2" customHeight="1" s="49">
      <c r="A15" s="37" t="n">
        <v>13</v>
      </c>
      <c r="B15" s="38" t="inlineStr">
        <is>
          <t>ยาในข้อใดไม่ควรใช้ป้องกันอาการปวดศีรษะในผู้ป่วยที่มีอาการ</t>
        </is>
      </c>
      <c r="C15" s="38" t="n"/>
      <c r="D15" s="38" t="inlineStr">
        <is>
          <t>Amitriptyline</t>
        </is>
      </c>
      <c r="E15" s="38" t="inlineStr">
        <is>
          <t>Fluoxetine</t>
        </is>
      </c>
      <c r="F15" s="38" t="inlineStr">
        <is>
          <t>Propranolol</t>
        </is>
      </c>
      <c r="G15" s="38" t="inlineStr">
        <is>
          <t>Diltiazem</t>
        </is>
      </c>
      <c r="H15" s="38" t="inlineStr">
        <is>
          <t>Gabapentin</t>
        </is>
      </c>
      <c r="I15" s="37" t="inlineStr">
        <is>
          <t>2</t>
        </is>
      </c>
      <c r="J15" s="38"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38" t="n"/>
      <c r="L15" s="39" t="inlineStr">
        <is>
          <t>Headache</t>
        </is>
      </c>
      <c r="M15" s="39" t="inlineStr">
        <is>
          <t>Clinic</t>
        </is>
      </c>
      <c r="N15" s="38" t="inlineStr">
        <is>
          <t>ข้อ 13 Pharma Plus เล่มม่วง (เฉลยข้อ ข ง)</t>
        </is>
      </c>
      <c r="O15" s="39" t="n"/>
      <c r="P15" s="39" t="n"/>
    </row>
    <row r="16" ht="13.2" customHeight="1" s="49">
      <c r="A16" s="37" t="n">
        <v>14</v>
      </c>
      <c r="B16" s="38"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38" t="n"/>
      <c r="D16" s="38" t="inlineStr">
        <is>
          <t>Migraine with aura</t>
        </is>
      </c>
      <c r="E16" s="38" t="inlineStr">
        <is>
          <t>Migraine without aura</t>
        </is>
      </c>
      <c r="F16" s="38" t="inlineStr">
        <is>
          <t>Tension</t>
        </is>
      </c>
      <c r="G16" s="38" t="inlineStr">
        <is>
          <t>Cluster</t>
        </is>
      </c>
      <c r="H16" s="38" t="inlineStr">
        <is>
          <t>Traumatic</t>
        </is>
      </c>
      <c r="I16" s="37" t="inlineStr">
        <is>
          <t>1</t>
        </is>
      </c>
      <c r="J16" s="38"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8" t="n"/>
      <c r="L16" s="39" t="inlineStr">
        <is>
          <t>Headache</t>
        </is>
      </c>
      <c r="M16" s="39" t="inlineStr">
        <is>
          <t>Clinic</t>
        </is>
      </c>
      <c r="N16" s="38" t="inlineStr">
        <is>
          <t>ข้อ 14 Pharma Plus เล่มม่วง (เฉลยข้อ ก)</t>
        </is>
      </c>
      <c r="O16" s="39" t="n"/>
      <c r="P16" s="39" t="n"/>
    </row>
    <row r="17" ht="13.2" customHeight="1" s="49">
      <c r="A17" s="37" t="n">
        <v>15</v>
      </c>
      <c r="B17" s="38"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38" t="n"/>
      <c r="D17" s="38" t="inlineStr">
        <is>
          <t>เนื่องจากผู้ป่วยรายนี้มีอาการคลื่นไส้อาเจียนร่วมด้วย</t>
        </is>
      </c>
      <c r="E17" s="38" t="inlineStr">
        <is>
          <t>ป้องกันการเกิดอาการปวดศีรษะซ้ำ</t>
        </is>
      </c>
      <c r="F17" s="38" t="inlineStr">
        <is>
          <t>ลดผลข้างเคียงจากยา cafergot</t>
        </is>
      </c>
      <c r="G17" s="38" t="inlineStr">
        <is>
          <t>ก และ ข ถูก</t>
        </is>
      </c>
      <c r="H17" s="38" t="inlineStr">
        <is>
          <t>ก และ ค ถูก</t>
        </is>
      </c>
      <c r="I17" s="37" t="inlineStr">
        <is>
          <t>5</t>
        </is>
      </c>
      <c r="J17" s="38" t="inlineStr">
        <is>
          <t>✅ คำตอบที่ถูกต้อง: ข้อ ข. ปวดศีรษะแบบไมเกรน (Migraine headache)
💡 Background: การวินิจฉัยแยกโรคปวดศีรษะปฐมภูมิ (Primary headache disorders) ตามเกณฑ์ ICHD-3
🎯 ทำไมข้อนี้ถึงถูก: หญิงวัยเจริญพันธุ์ที่มาด้วยอาการปวดศีรษะข้างเดียวแบบตุบๆ (Pulsatile / Throbbing) ปวดรุนแรงปานกลางถึงมาก ร่วมกับอาการคลื่นไส้ ไวต่อแสง (Photophobia) หรือเสียง (Phonophobia) ตรงตามเกณฑ์การวินิจฉัยโรคไมเกรน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
📖 Guideline อ้างอิง: แนวทางเวชปฏิบัติการรักษาโรคปวดศีรษะไมเกรนในประเทศไทย พ.ศ. 2562 (สมาคมประสาทวิทยาแห่งประเทศไทย)
📌 จุดจำก่อนสอบ: Migraine: ปวดข้างเดียว, ปวดตุบๆ (throbbing), ปานกลาง-รุนแรง, แย่ลงเมื่อเคลื่อนไหว, มีคลื่นไส้/photophobia/phonophobia</t>
        </is>
      </c>
      <c r="K17" s="38" t="n"/>
      <c r="L17" s="39" t="inlineStr">
        <is>
          <t>Pain management</t>
        </is>
      </c>
      <c r="M17" s="39" t="inlineStr">
        <is>
          <t>Clinic</t>
        </is>
      </c>
      <c r="N17" s="38" t="inlineStr">
        <is>
          <t>ข้อ 15 Pharma Plus เล่มม่วง (เฉลยข้อ จ)</t>
        </is>
      </c>
      <c r="O17" s="39" t="n"/>
      <c r="P17" s="39" t="n"/>
    </row>
    <row r="18" ht="13.2" customHeight="1" s="49">
      <c r="A18" s="37" t="n">
        <v>16</v>
      </c>
      <c r="B18" s="38"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38" t="n"/>
      <c r="D18" s="38" t="inlineStr">
        <is>
          <t>Flunarizine</t>
        </is>
      </c>
      <c r="E18" s="38" t="inlineStr">
        <is>
          <t>Ibuprofen</t>
        </is>
      </c>
      <c r="F18" s="38" t="inlineStr">
        <is>
          <t>Cafergot</t>
        </is>
      </c>
      <c r="G18" s="38" t="inlineStr">
        <is>
          <t>Nitrate</t>
        </is>
      </c>
      <c r="H18" s="38" t="inlineStr">
        <is>
          <t>Sumatriptan</t>
        </is>
      </c>
      <c r="I18" s="37" t="inlineStr">
        <is>
          <t>1</t>
        </is>
      </c>
      <c r="J18" s="38" t="inlineStr">
        <is>
          <t>✅ คำตอบที่ถูกต้อง: ข้อ ง. Sumatriptan หรือ Zolmitriptan ชนิดรับประทาน
💡 Background: การรักษาอาการปวดศีรษะไมเกรนกำเริบเฉียบพลัน (Acute migraine attack)
🎯 ทำไมข้อนี้ถึงถูก: ในผู้ป่วยที่มีอาการปวดไมเกรนระดับปานกลางถึงรุนแรงที่ไม่ตอบสนองต่อยาแก้ปวดทั่วไป ยาจำเพาะกลุ่ม Triptans (5-HT1B/1D receptor agonists) เช่น Sumatriptan จัดเป็นยาทางเลือกแรกในการระงับอาการปวดเฉียบพลัน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
📖 Guideline อ้างอิง: 2021 American Headache Society (AHS) Consensus Statement on the Treatment of Migraine
📌 จุดจำก่อนสอบ: Acute treatment = NSAIDs (mild-moderate), Triptans (moderate-severe); Prophylaxis = Beta-blockers, Amitriptyline, Topiramate, Flunarizine</t>
        </is>
      </c>
      <c r="K18" s="38" t="n"/>
      <c r="L18" s="39" t="inlineStr">
        <is>
          <t>Pain management</t>
        </is>
      </c>
      <c r="M18" s="39" t="inlineStr">
        <is>
          <t>Clinic</t>
        </is>
      </c>
      <c r="N18" s="38" t="inlineStr">
        <is>
          <t>ข้อ 16 Pharma Plus เล่มม่วง (เฉลยข้อ ก)</t>
        </is>
      </c>
      <c r="O18" s="39" t="n"/>
      <c r="P18" s="39" t="n"/>
    </row>
    <row r="19" ht="13.2" customHeight="1" s="49">
      <c r="A19" s="37" t="n">
        <v>17</v>
      </c>
      <c r="B19" s="38" t="inlineStr">
        <is>
          <t>ยาใดต่อไปนี้ไม่จัดเป็นยาป้องกันการเกิดไมเกรน</t>
        </is>
      </c>
      <c r="C19" s="38" t="n"/>
      <c r="D19" s="38" t="inlineStr">
        <is>
          <t>Amitriptyline</t>
        </is>
      </c>
      <c r="E19" s="38" t="inlineStr">
        <is>
          <t>Gabapentin</t>
        </is>
      </c>
      <c r="F19" s="38" t="inlineStr">
        <is>
          <t>Propranolol</t>
        </is>
      </c>
      <c r="G19" s="38" t="inlineStr">
        <is>
          <t>Metoprolol</t>
        </is>
      </c>
      <c r="H19" s="38" t="inlineStr">
        <is>
          <t>ทุกข้อเป็นยาป้องกันไมเกรน</t>
        </is>
      </c>
      <c r="I19" s="37" t="inlineStr">
        <is>
          <t>5</t>
        </is>
      </c>
      <c r="J19" s="38"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38" t="n"/>
      <c r="L19" s="39" t="inlineStr">
        <is>
          <t>Headache</t>
        </is>
      </c>
      <c r="M19" s="39" t="inlineStr">
        <is>
          <t>Clinic</t>
        </is>
      </c>
      <c r="N19" s="38" t="inlineStr">
        <is>
          <t>ข้อ 17 Pharma Plus เล่มม่วง (เฉลยข้อ จ)</t>
        </is>
      </c>
      <c r="O19" s="39" t="n"/>
      <c r="P19" s="39" t="n"/>
    </row>
    <row r="20" ht="13.2" customHeight="1" s="49">
      <c r="A20" s="37" t="n">
        <v>18</v>
      </c>
      <c r="B20" s="38" t="inlineStr">
        <is>
          <t>Ergotamine มี side effect ต่าง ๆ ต่อไปนี้ ยกเว้น</t>
        </is>
      </c>
      <c r="C20" s="38" t="n"/>
      <c r="D20" s="38" t="inlineStr">
        <is>
          <t>Nausea and vomiting</t>
        </is>
      </c>
      <c r="E20" s="38" t="inlineStr">
        <is>
          <t>Weakness in legs</t>
        </is>
      </c>
      <c r="F20" s="38" t="inlineStr">
        <is>
          <t>Angina-like pain</t>
        </is>
      </c>
      <c r="G20" s="38" t="inlineStr">
        <is>
          <t>Hypertension</t>
        </is>
      </c>
      <c r="H20" s="38" t="inlineStr">
        <is>
          <t>Bradycardia</t>
        </is>
      </c>
      <c r="I20" s="37" t="inlineStr">
        <is>
          <t>5</t>
        </is>
      </c>
      <c r="J20" s="38"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38" t="n"/>
      <c r="L20" s="39" t="inlineStr">
        <is>
          <t>Headache</t>
        </is>
      </c>
      <c r="M20" s="39" t="inlineStr">
        <is>
          <t>Clinic</t>
        </is>
      </c>
      <c r="N20" s="38" t="inlineStr">
        <is>
          <t>ข้อ 18 Pharma Plus เล่มม่วง (เฉลยข้อ จ)</t>
        </is>
      </c>
      <c r="O20" s="39" t="n"/>
      <c r="P20" s="39" t="n"/>
    </row>
    <row r="21" ht="13.2" customHeight="1" s="49">
      <c r="A21" s="37" t="n">
        <v>19</v>
      </c>
      <c r="B21" s="38" t="inlineStr">
        <is>
          <t>ข้อความต่อไปนี้เกี่ยวกับ ergotamine ผิด</t>
        </is>
      </c>
      <c r="C21" s="38" t="n"/>
      <c r="D21" s="38" t="inlineStr">
        <is>
          <t>เป็น drug of choice สำหรับระงับอาการ migraine attack</t>
        </is>
      </c>
      <c r="E21" s="38" t="inlineStr">
        <is>
          <t>ถ้าใช้ในขนาดที่มากเกินไปจะก่อให้เกิด gangrene ตามปลายนิ้วมือปลายเท้า</t>
        </is>
      </c>
      <c r="F21" s="38" t="inlineStr">
        <is>
          <t>ถ้าใช้ร่วมกับ selective serotonin receptor agonist เช่น sumatriptan จะให้ผลดียิ่งขึ้น</t>
        </is>
      </c>
      <c r="G21" s="38" t="inlineStr">
        <is>
          <t>ไม่ควรใช้ในสตรีมีครรภ์</t>
        </is>
      </c>
      <c r="H21" s="38" t="inlineStr">
        <is>
          <t>ใช้ไปนาน ๆ อาจติดยาได้ (physical dependence)</t>
        </is>
      </c>
      <c r="I21" s="37" t="inlineStr">
        <is>
          <t>1</t>
        </is>
      </c>
      <c r="J21" s="38"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38" t="n"/>
      <c r="L21" s="39" t="inlineStr">
        <is>
          <t>Headache</t>
        </is>
      </c>
      <c r="M21" s="39" t="inlineStr">
        <is>
          <t>Clinic</t>
        </is>
      </c>
      <c r="N21" s="38" t="inlineStr">
        <is>
          <t>ข้อ 19 Pharma Plus เล่มม่วง (เฉลยข้อ ก ค)</t>
        </is>
      </c>
      <c r="O21" s="39" t="n"/>
      <c r="P21" s="39" t="n"/>
    </row>
    <row r="22" ht="13.2" customHeight="1" s="49">
      <c r="A22" s="37" t="n">
        <v>20</v>
      </c>
      <c r="B22" s="38" t="inlineStr">
        <is>
          <t>ข้อใดต่อไปนี้ไม่ใช่อาการของไมเกรน</t>
        </is>
      </c>
      <c r="C22" s="38" t="n"/>
      <c r="D22" s="38" t="inlineStr">
        <is>
          <t>ปวดตามท้ายทอยร้าวไปกลางศีรษะหรือลักษณะคล้ายวิ่งจี๊ดไปมา</t>
        </is>
      </c>
      <c r="E22" s="38" t="inlineStr">
        <is>
          <t>ปวดศีรษะข้างเดียว ปวดตุบๆ</t>
        </is>
      </c>
      <c r="F22" s="38" t="inlineStr">
        <is>
          <t>ปวดตุบ ๆ สลับข้างหรือทั้ง 2 ข้าง และมักมีอาการคลื่นไส้อาเจียนร่วมด้วย</t>
        </is>
      </c>
      <c r="G22" s="38" t="inlineStr">
        <is>
          <t>ก่อนปวดศีรษะมีอาการเห็นภาพผิดปกติ (visual disturbance)</t>
        </is>
      </c>
      <c r="H22" s="38" t="inlineStr">
        <is>
          <t>ก่อนปวดศีรษะอาจมีอาการหงุดหงิด ทนแสงหรือเสียงดังไม่ได้</t>
        </is>
      </c>
      <c r="I22" s="37" t="inlineStr">
        <is>
          <t>1</t>
        </is>
      </c>
      <c r="J22" s="38"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8" t="n"/>
      <c r="L22" s="39" t="inlineStr">
        <is>
          <t>Headache</t>
        </is>
      </c>
      <c r="M22" s="39" t="inlineStr">
        <is>
          <t>Clinic</t>
        </is>
      </c>
      <c r="N22" s="38" t="inlineStr">
        <is>
          <t>ข้อ 20 Pharma Plus เล่มม่วง (เฉลยข้อ ก)</t>
        </is>
      </c>
      <c r="O22" s="39" t="n"/>
      <c r="P22" s="39" t="n"/>
    </row>
    <row r="23" ht="13.2" customHeight="1" s="49">
      <c r="A23" s="37" t="n">
        <v>21</v>
      </c>
      <c r="B23" s="38" t="inlineStr">
        <is>
          <t>ผู้ป่วยไมเกรนควรหลีกเลี่ยงในการรับประทานสิ่งเหล่านี้ ยกเว้น</t>
        </is>
      </c>
      <c r="C23" s="38" t="n"/>
      <c r="D23" s="38" t="inlineStr">
        <is>
          <t>เนยแข็ง</t>
        </is>
      </c>
      <c r="E23" s="38" t="inlineStr">
        <is>
          <t>ช็อกโกแลต</t>
        </is>
      </c>
      <c r="F23" s="38" t="inlineStr">
        <is>
          <t>ไวน์แดง</t>
        </is>
      </c>
      <c r="G23" s="38" t="inlineStr">
        <is>
          <t>เบียร์</t>
        </is>
      </c>
      <c r="H23" s="38" t="inlineStr">
        <is>
          <t>นม</t>
        </is>
      </c>
      <c r="I23" s="37" t="inlineStr">
        <is>
          <t>5</t>
        </is>
      </c>
      <c r="J23" s="38"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8" t="n"/>
      <c r="L23" s="39" t="inlineStr">
        <is>
          <t>Headache</t>
        </is>
      </c>
      <c r="M23" s="39" t="inlineStr">
        <is>
          <t>Clinic</t>
        </is>
      </c>
      <c r="N23" s="38" t="inlineStr">
        <is>
          <t>ข้อ 21 Pharma Plus เล่มม่วง (เฉลยข้อ จ)</t>
        </is>
      </c>
      <c r="O23" s="39" t="n"/>
      <c r="P23" s="39" t="n"/>
    </row>
    <row r="24" ht="13.2" customHeight="1" s="49">
      <c r="A24" s="37" t="n">
        <v>22</v>
      </c>
      <c r="B24" s="38" t="inlineStr">
        <is>
          <t>Ergotamine มีฤทธิ์อย่างไร</t>
        </is>
      </c>
      <c r="C24" s="38" t="n"/>
      <c r="D24" s="38" t="inlineStr">
        <is>
          <t>ลดการสร้าง prostaglandins</t>
        </is>
      </c>
      <c r="E24" s="38" t="inlineStr">
        <is>
          <t>ทำให้กล้ามเนื้อหลอดเลือดหดตัว</t>
        </is>
      </c>
      <c r="F24" s="38" t="inlineStr">
        <is>
          <t>ทำให้เลือดไปเลี้ยงสมองมากขึ้น</t>
        </is>
      </c>
      <c r="G24" s="38" t="inlineStr">
        <is>
          <t>ทำให้หลอดเลือดคลายตัว</t>
        </is>
      </c>
      <c r="H24" s="38" t="inlineStr">
        <is>
          <t>ทำให้กล้ามเนื้อคลายตัว</t>
        </is>
      </c>
      <c r="I24" s="37" t="inlineStr">
        <is>
          <t>2</t>
        </is>
      </c>
      <c r="J24" s="38"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38" t="n"/>
      <c r="L24" s="39" t="inlineStr">
        <is>
          <t>Headache</t>
        </is>
      </c>
      <c r="M24" s="39" t="inlineStr">
        <is>
          <t>Clinic</t>
        </is>
      </c>
      <c r="N24" s="38" t="inlineStr">
        <is>
          <t>ข้อ 22 Pharma Plus เล่มม่วง (เฉลยข้อ ข)</t>
        </is>
      </c>
      <c r="O24" s="39" t="n"/>
      <c r="P24" s="39" t="n"/>
    </row>
    <row r="25" ht="13.2" customHeight="1" s="49">
      <c r="A25" s="37" t="n">
        <v>23</v>
      </c>
      <c r="B25" s="38" t="inlineStr">
        <is>
          <t>ผู้ป่วยหญิงอายุ 76 ปี เป็นโรคพาร์กินสัน แพทย์จ่ายยา 1 ตัว ได้แก่ L-dopa/Benserazide 25/100 mg
Benserazide ถูกเติมลงไปใน levodopa เพื่ออะไร</t>
        </is>
      </c>
      <c r="C25" s="38" t="n"/>
      <c r="D25" s="38" t="inlineStr">
        <is>
          <t>เพิ่มอาการข้างเคียงที่จะเกิดที่ peripheral</t>
        </is>
      </c>
      <c r="E25" s="38" t="inlineStr">
        <is>
          <t>เสริมฤทธิ์กับ levodopa</t>
        </is>
      </c>
      <c r="F25" s="38" t="inlineStr">
        <is>
          <t>ช่วยทำให้มีปริมาณ levodopa ผ่านเข้าสมองมากขึ้น</t>
        </is>
      </c>
      <c r="G25" s="38" t="inlineStr">
        <is>
          <t>ช่วยพา levodopa ผ่าน blood brain barrier</t>
        </is>
      </c>
      <c r="H25" s="38" t="inlineStr">
        <is>
          <t>ยับยั้งการทำลาย levodopa ในสมอง</t>
        </is>
      </c>
      <c r="I25" s="37" t="inlineStr">
        <is>
          <t>2</t>
        </is>
      </c>
      <c r="J25" s="38"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38" t="n"/>
      <c r="L25" s="39" t="inlineStr">
        <is>
          <t>Parkinson disease</t>
        </is>
      </c>
      <c r="M25" s="39" t="inlineStr">
        <is>
          <t>Clinic</t>
        </is>
      </c>
      <c r="N25" s="38" t="inlineStr">
        <is>
          <t>ข้อ 23 Pharma Plus เล่มม่วง (เฉลยข้อ ข ค)</t>
        </is>
      </c>
      <c r="O25" s="39" t="n"/>
      <c r="P25" s="39" t="n"/>
    </row>
    <row r="26" ht="13.2" customHeight="1" s="49">
      <c r="A26" s="37" t="n">
        <v>24</v>
      </c>
      <c r="B26" s="38"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38" t="n"/>
      <c r="D26" s="38" t="inlineStr">
        <is>
          <t>Pergolide</t>
        </is>
      </c>
      <c r="E26" s="38" t="inlineStr">
        <is>
          <t>Selegiline</t>
        </is>
      </c>
      <c r="F26" s="38" t="inlineStr">
        <is>
          <t>Ondansetron</t>
        </is>
      </c>
      <c r="G26" s="38" t="inlineStr">
        <is>
          <t>Carbidopa</t>
        </is>
      </c>
      <c r="H26" s="38" t="inlineStr">
        <is>
          <t>Trihexyphenidyl</t>
        </is>
      </c>
      <c r="I26" s="37" t="inlineStr">
        <is>
          <t>4</t>
        </is>
      </c>
      <c r="J26" s="38"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38" t="n"/>
      <c r="L26" s="39" t="inlineStr">
        <is>
          <t>Parkinson disease</t>
        </is>
      </c>
      <c r="M26" s="39" t="inlineStr">
        <is>
          <t>Clinic</t>
        </is>
      </c>
      <c r="N26" s="38" t="inlineStr">
        <is>
          <t>ข้อ 24 Pharma Plus เล่มม่วง (เฉลยข้อ ง)</t>
        </is>
      </c>
      <c r="O26" s="39" t="n"/>
      <c r="P26" s="39" t="n"/>
    </row>
    <row r="27" ht="13.2" customHeight="1" s="49">
      <c r="A27" s="37" t="n">
        <v>25</v>
      </c>
      <c r="B27" s="38" t="inlineStr">
        <is>
          <t>ผู้ป่วยหญิงอายุ 76 ปี เป็นโรคพาร์กินสัน แพทย์จ่ายยา 1 ตัว ได้แก่ L-dopa/Benserazide 25/100 mg
ข้อใดคือผลข้างเคียงจากการใช้ยา levodopa</t>
        </is>
      </c>
      <c r="C27" s="38" t="n"/>
      <c r="D27" s="38" t="inlineStr">
        <is>
          <t>ความดันต่ำขณะเปลี่ยนท่า</t>
        </is>
      </c>
      <c r="E27" s="38" t="inlineStr">
        <is>
          <t>หัวใจเต้นช้า</t>
        </is>
      </c>
      <c r="F27" s="38" t="inlineStr">
        <is>
          <t>มึนงง</t>
        </is>
      </c>
      <c r="G27" s="38" t="inlineStr">
        <is>
          <t>คลื่นไส้ อาเจียน</t>
        </is>
      </c>
      <c r="H27" s="38" t="inlineStr">
        <is>
          <t>ชาตามปลายนิ้ว ปลายเท้า</t>
        </is>
      </c>
      <c r="I27" s="37" t="inlineStr">
        <is>
          <t>1</t>
        </is>
      </c>
      <c r="J27" s="38"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38" t="n"/>
      <c r="L27" s="39" t="inlineStr">
        <is>
          <t>Parkinson disease</t>
        </is>
      </c>
      <c r="M27" s="39" t="inlineStr">
        <is>
          <t>Clinic</t>
        </is>
      </c>
      <c r="N27" s="38" t="inlineStr">
        <is>
          <t>ข้อ 25 Pharma Plus เล่มม่วง (เฉลยข้อ ก ง)</t>
        </is>
      </c>
      <c r="O27" s="39" t="n"/>
      <c r="P27" s="39" t="n"/>
    </row>
    <row r="28" ht="13.2" customHeight="1" s="49">
      <c r="A28" s="37" t="n">
        <v>26</v>
      </c>
      <c r="B28" s="38" t="inlineStr">
        <is>
          <t>หากระดับยา levodopa สูงเกินไป จะเกิดอาการใด</t>
        </is>
      </c>
      <c r="C28" s="38" t="n"/>
      <c r="D28" s="38" t="inlineStr">
        <is>
          <t>Rigidity</t>
        </is>
      </c>
      <c r="E28" s="38" t="inlineStr">
        <is>
          <t>Dyskinesia</t>
        </is>
      </c>
      <c r="F28" s="38" t="inlineStr">
        <is>
          <t>Hallucination</t>
        </is>
      </c>
      <c r="G28" s="38" t="inlineStr">
        <is>
          <t>Somnolence</t>
        </is>
      </c>
      <c r="H28" s="38" t="inlineStr">
        <is>
          <t>Gynecomastia</t>
        </is>
      </c>
      <c r="I28" s="37" t="inlineStr">
        <is>
          <t>2</t>
        </is>
      </c>
      <c r="J28" s="38"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38" t="n"/>
      <c r="L28" s="39" t="inlineStr">
        <is>
          <t>Parkinson disease</t>
        </is>
      </c>
      <c r="M28" s="39" t="inlineStr">
        <is>
          <t>Clinic</t>
        </is>
      </c>
      <c r="N28" s="38" t="inlineStr">
        <is>
          <t>ข้อ 26 Pharma Plus เล่มม่วง (เฉลยข้อ ข ค)</t>
        </is>
      </c>
      <c r="O28" s="39" t="n"/>
      <c r="P28" s="39" t="n"/>
    </row>
    <row r="29" ht="13.2" customHeight="1" s="49">
      <c r="A29" s="37" t="n">
        <v>27</v>
      </c>
      <c r="B29" s="38" t="inlineStr">
        <is>
          <t>ยาในข้อใดไม่ทำให้อาการความจำเสื่อมของผู้ป่วยโรคพาร์กินสันแย่ลง</t>
        </is>
      </c>
      <c r="C29" s="38" t="n"/>
      <c r="D29" s="38" t="inlineStr">
        <is>
          <t>Benztropine</t>
        </is>
      </c>
      <c r="E29" s="38" t="inlineStr">
        <is>
          <t>Amitriptyline</t>
        </is>
      </c>
      <c r="F29" s="38" t="inlineStr">
        <is>
          <t>Domperidone</t>
        </is>
      </c>
      <c r="G29" s="38" t="inlineStr">
        <is>
          <t>Trihexyphenidyl</t>
        </is>
      </c>
      <c r="H29" s="38" t="inlineStr">
        <is>
          <t>Chlorpheniramine</t>
        </is>
      </c>
      <c r="I29" s="37" t="inlineStr">
        <is>
          <t>3</t>
        </is>
      </c>
      <c r="J29" s="38"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38" t="n"/>
      <c r="L29" s="39" t="inlineStr">
        <is>
          <t>Parkinson disease</t>
        </is>
      </c>
      <c r="M29" s="39" t="inlineStr">
        <is>
          <t>Clinic</t>
        </is>
      </c>
      <c r="N29" s="38" t="inlineStr">
        <is>
          <t>ข้อ 27 Pharma Plus เล่มม่วง (เฉลยข้อ ค)</t>
        </is>
      </c>
      <c r="O29" s="39" t="n"/>
      <c r="P29" s="39" t="n"/>
    </row>
    <row r="30" ht="13.2" customHeight="1" s="49">
      <c r="A30" s="37" t="n">
        <v>28</v>
      </c>
      <c r="B30" s="38" t="inlineStr">
        <is>
          <t>Benserazide ยับยั้ง enzyme ในข้อใด</t>
        </is>
      </c>
      <c r="C30" s="38" t="n"/>
      <c r="D30" s="38" t="inlineStr">
        <is>
          <t>MAOB</t>
        </is>
      </c>
      <c r="E30" s="38" t="inlineStr">
        <is>
          <t>COMT</t>
        </is>
      </c>
      <c r="F30" s="38" t="inlineStr">
        <is>
          <t>Acetylcholine esterase</t>
        </is>
      </c>
      <c r="G30" s="38" t="inlineStr">
        <is>
          <t>Dopa decarboxylase</t>
        </is>
      </c>
      <c r="H30" s="38" t="inlineStr">
        <is>
          <t>Dopa deaminase</t>
        </is>
      </c>
      <c r="I30" s="37" t="inlineStr">
        <is>
          <t>4</t>
        </is>
      </c>
      <c r="J30" s="38"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38" t="n"/>
      <c r="L30" s="39" t="inlineStr">
        <is>
          <t>Parkinson disease</t>
        </is>
      </c>
      <c r="M30" s="39" t="inlineStr">
        <is>
          <t>Clinic</t>
        </is>
      </c>
      <c r="N30" s="38" t="inlineStr">
        <is>
          <t>ข้อ 28 Pharma Plus เล่มม่วง (เฉลยข้อ ง)</t>
        </is>
      </c>
      <c r="O30" s="39" t="n"/>
      <c r="P30" s="39" t="n"/>
    </row>
    <row r="31" ht="13.2" customHeight="1" s="49">
      <c r="A31" s="37" t="n">
        <v>29</v>
      </c>
      <c r="B31" s="38"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38" t="n"/>
      <c r="D31" s="38" t="inlineStr">
        <is>
          <t>หลังจากเริ่มการรักษาผู้ป่วยได้ 3-5 ปี ผลการรักษาจะลดลง</t>
        </is>
      </c>
      <c r="E31" s="38" t="inlineStr">
        <is>
          <t>ผลการรักษาในแต่ละวันอาจไม่คงที่ (on-off phenomenon)</t>
        </is>
      </c>
      <c r="F31" s="38" t="inlineStr">
        <is>
          <t>ตัวรับ dopamine receptor ในสมองเกิด down regulation ลดจำนวนลง</t>
        </is>
      </c>
      <c r="G31" s="38" t="inlineStr">
        <is>
          <t>Levodopa ซึมผ่าน blood brain barrier เข้าสู่สมองได้ยากขึ้น</t>
        </is>
      </c>
      <c r="H31" s="38" t="inlineStr">
        <is>
          <t>อนุมูลอิสระที่เกิดจากการเมตาบอลิซึมของ levodopa จะทำให้เซลล์ประสาท dopaminergic ที่ nigrostriatal pathway</t>
        </is>
      </c>
      <c r="I31" s="37" t="inlineStr">
        <is>
          <t>4</t>
        </is>
      </c>
      <c r="J31" s="38"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38" t="n"/>
      <c r="L31" s="39" t="inlineStr">
        <is>
          <t>Parkinson disease</t>
        </is>
      </c>
      <c r="M31" s="39" t="inlineStr">
        <is>
          <t>Clinic</t>
        </is>
      </c>
      <c r="N31" s="38" t="inlineStr">
        <is>
          <t>ข้อ 29 Pharma Plus เล่มม่วง (เฉลยข้อ ง)</t>
        </is>
      </c>
      <c r="O31" s="39" t="n"/>
      <c r="P31" s="39" t="n"/>
    </row>
    <row r="32" ht="13.2" customHeight="1" s="49">
      <c r="A32" s="37" t="n">
        <v>30</v>
      </c>
      <c r="B32" s="38" t="inlineStr">
        <is>
          <t>การใช้ carbidopa หรือ benserazide ร่วมกับ levodopa ในการรักษา Parkinson's disease มีจุดประสงค์เพื่อ</t>
        </is>
      </c>
      <c r="C32" s="38" t="n"/>
      <c r="D32" s="38" t="inlineStr">
        <is>
          <t>กระตุ้นเอนไซม์ dopa decarboxylase ที่สมอง</t>
        </is>
      </c>
      <c r="E32" s="38" t="inlineStr">
        <is>
          <t>ยับยั้งการเปลี่ยนแปลง Levodopa เป็น dopamine ที่เนื้อเยื่อนอกสมอง</t>
        </is>
      </c>
      <c r="F32" s="38" t="inlineStr">
        <is>
          <t>เพิ่มการดูดซึมของ Levodopa จากทางเดินอาหาร</t>
        </is>
      </c>
      <c r="G32" s="38" t="inlineStr">
        <is>
          <t>ยับยั้งการขับถ่าย Levodopa ออกทางปัสสาวะ</t>
        </is>
      </c>
      <c r="H32" s="38" t="inlineStr">
        <is>
          <t>เพิ่มการซึมผ่านของ dopamine จากเลือดสู่สมอง</t>
        </is>
      </c>
      <c r="I32" s="37" t="inlineStr">
        <is>
          <t>2</t>
        </is>
      </c>
      <c r="J32" s="38"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8" t="n"/>
      <c r="L32" s="39" t="inlineStr">
        <is>
          <t>Parkinson disease</t>
        </is>
      </c>
      <c r="M32" s="39" t="inlineStr">
        <is>
          <t>Clinic</t>
        </is>
      </c>
      <c r="N32" s="38" t="inlineStr">
        <is>
          <t>ข้อ 30 Pharma Plus เล่มม่วง (เฉลยข้อ ข)</t>
        </is>
      </c>
      <c r="O32" s="39" t="n"/>
      <c r="P32" s="39" t="n"/>
    </row>
    <row r="33" ht="13.2" customHeight="1" s="49">
      <c r="A33" s="37" t="n">
        <v>31</v>
      </c>
      <c r="B33" s="38"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38" t="n"/>
      <c r="D33" s="38" t="inlineStr">
        <is>
          <t>ป้องกันการเกิดอนุมูลอิสระ ซึ่งมีพิษและเป็นผลพลอยได้จากการออกซิไดซ์ dopamine โดย MAO-B</t>
        </is>
      </c>
      <c r="E33" s="38" t="inlineStr">
        <is>
          <t>กระตุ้นการเจริญของ dopaminergic neurons ใน nigrostriatal pathway</t>
        </is>
      </c>
      <c r="F33" s="38" t="inlineStr">
        <is>
          <t>กระตุ้นการเจริญของ glial cells ในสมอง</t>
        </is>
      </c>
      <c r="G33" s="38" t="inlineStr">
        <is>
          <t>กระตุ้นการสังเคราะห์ nerve growth factor</t>
        </is>
      </c>
      <c r="H33" s="38" t="inlineStr">
        <is>
          <t>กระตุ้นการสังเคราะห์สารสื่อประสาท</t>
        </is>
      </c>
      <c r="I33" s="37" t="inlineStr">
        <is>
          <t>1</t>
        </is>
      </c>
      <c r="J33" s="38"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38" t="n"/>
      <c r="L33" s="39" t="inlineStr">
        <is>
          <t>Parkinson disease</t>
        </is>
      </c>
      <c r="M33" s="39" t="inlineStr">
        <is>
          <t>Clinic</t>
        </is>
      </c>
      <c r="N33" s="38" t="inlineStr">
        <is>
          <t>ข้อ 31 Pharma Plus เล่มม่วง (เฉลยข้อ ก)</t>
        </is>
      </c>
      <c r="O33" s="39" t="n"/>
      <c r="P33" s="39" t="n"/>
    </row>
    <row r="34" ht="13.2" customHeight="1" s="49">
      <c r="A34" s="37" t="n">
        <v>32</v>
      </c>
      <c r="B34" s="38" t="inlineStr">
        <is>
          <t>สถานการณ์ที่ 5 ผู้ป่วยชาย อายุ 25 ปี
Dx. Tonic-clonic seizer (first diagnosis)
Rx. Carbamazepine BID 30 F/U 2 wk.
ผู้ป่วยไม่ควรได้รับคำแนะนำใด</t>
        </is>
      </c>
      <c r="C34" s="38" t="n"/>
      <c r="D34" s="38" t="inlineStr">
        <is>
          <t>แนะนำคุมกำเนิด</t>
        </is>
      </c>
      <c r="E34" s="38" t="inlineStr">
        <is>
          <t>ถ้าใช้ยาแล้วเป็นไข้ เจ็บคอ ให้รีบแจ้งแพทย์</t>
        </is>
      </c>
      <c r="F34" s="38" t="inlineStr">
        <is>
          <t>ใช้ยาแล้วหลีกเลี่ยงการสัมผัสแสงแดด</t>
        </is>
      </c>
      <c r="G34" s="38" t="inlineStr">
        <is>
          <t>ใช้ยานี้แล้วสีเล็บและสีผิวจะเปลี่ยน</t>
        </is>
      </c>
      <c r="H34" s="38" t="inlineStr">
        <is>
          <t>ควรหลีกเลี่ยงการซื้อยามารับประทานเอง</t>
        </is>
      </c>
      <c r="I34" s="37" t="inlineStr">
        <is>
          <t>1</t>
        </is>
      </c>
      <c r="J34" s="38"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38" t="n"/>
      <c r="L34" s="39" t="inlineStr">
        <is>
          <t>Epilepsy</t>
        </is>
      </c>
      <c r="M34" s="39" t="inlineStr">
        <is>
          <t>Clinic</t>
        </is>
      </c>
      <c r="N34" s="38" t="inlineStr">
        <is>
          <t>ข้อ 32 Pharma Plus เล่มม่วง (เฉลยข้อ )</t>
        </is>
      </c>
      <c r="O34" s="39" t="n"/>
      <c r="P34" s="39" t="n"/>
    </row>
    <row r="35" ht="13.2" customHeight="1" s="49">
      <c r="A35" s="37" t="n">
        <v>33</v>
      </c>
      <c r="B35" s="38" t="inlineStr">
        <is>
          <t>สถานการณ์ที่ 5 ผู้ป่วยชาย อายุ 25 ปี
Dx. Tonic-clonic seizer (first diagnosis)
Rx. Carbamazepine BID 30 F/U 2 wk.
ระดับยา carbamazepine สามารถเพิ่มได้เมื่อใช้ร่วมกับยาใด</t>
        </is>
      </c>
      <c r="C35" s="38" t="n"/>
      <c r="D35" s="38" t="inlineStr">
        <is>
          <t>Folic acid</t>
        </is>
      </c>
      <c r="E35" s="38" t="inlineStr">
        <is>
          <t>Nevirapine</t>
        </is>
      </c>
      <c r="F35" s="38" t="inlineStr">
        <is>
          <t>Phenytoin</t>
        </is>
      </c>
      <c r="G35" s="38" t="inlineStr">
        <is>
          <t>Clarithromycin</t>
        </is>
      </c>
      <c r="H35" s="38" t="inlineStr">
        <is>
          <t>Mebendazole</t>
        </is>
      </c>
      <c r="I35" s="37" t="inlineStr">
        <is>
          <t>4</t>
        </is>
      </c>
      <c r="J35"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38" t="n"/>
      <c r="L35" s="39" t="inlineStr">
        <is>
          <t>Epilepsy</t>
        </is>
      </c>
      <c r="M35" s="39" t="inlineStr">
        <is>
          <t>Clinic</t>
        </is>
      </c>
      <c r="N35" s="38" t="inlineStr">
        <is>
          <t>ข้อ 33 Pharma Plus เล่มม่วง (เฉลยข้อ ง)</t>
        </is>
      </c>
      <c r="O35" s="39" t="n"/>
      <c r="P35" s="39" t="n"/>
    </row>
    <row r="36" ht="13.2" customHeight="1" s="49">
      <c r="A36" s="37" t="n">
        <v>34</v>
      </c>
      <c r="B36" s="38" t="inlineStr">
        <is>
          <t>ข้อใดคือกลไกการออกฤทธิ์ของ carbamazepine</t>
        </is>
      </c>
      <c r="C36" s="38" t="n"/>
      <c r="D36" s="38" t="inlineStr">
        <is>
          <t>จับกับ sodium channel ที่อยู่ใน inactivated state</t>
        </is>
      </c>
      <c r="E36" s="38" t="inlineStr">
        <is>
          <t>จับกับ T-type calcium channel</t>
        </is>
      </c>
      <c r="F36" s="38" t="inlineStr">
        <is>
          <t>ออกฤทธิ์ต่อ GABA receptor/ chloride-ion pore complex</t>
        </is>
      </c>
      <c r="G36" s="38" t="inlineStr">
        <is>
          <t>ออกฤทธิ์ที่ NMDA receptor</t>
        </is>
      </c>
      <c r="H36" s="38" t="inlineStr">
        <is>
          <t>ออกฤทธิ์ยับยั้ง second messengers</t>
        </is>
      </c>
      <c r="I36" s="37" t="inlineStr">
        <is>
          <t>1</t>
        </is>
      </c>
      <c r="J36" s="38"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38" t="n"/>
      <c r="L36" s="39" t="inlineStr">
        <is>
          <t>Epilepsy</t>
        </is>
      </c>
      <c r="M36" s="39" t="inlineStr">
        <is>
          <t>Clinic</t>
        </is>
      </c>
      <c r="N36" s="38" t="inlineStr">
        <is>
          <t>ข้อ 34 Pharma Plus เล่มม่วง (เฉลยข้อ ก)</t>
        </is>
      </c>
      <c r="O36" s="39" t="n"/>
      <c r="P36" s="39" t="n"/>
    </row>
    <row r="37" ht="13.2" customHeight="1" s="49">
      <c r="A37" s="37" t="n">
        <v>35</v>
      </c>
      <c r="B37" s="38" t="inlineStr">
        <is>
          <t>โรคลมชักมีสาเหตุจากทุกข้อ ยกเว้นข้อใด</t>
        </is>
      </c>
      <c r="C37" s="38" t="n"/>
      <c r="D37" s="38" t="inlineStr">
        <is>
          <t>อุบัติเหตุทางสมอง</t>
        </is>
      </c>
      <c r="E37" s="38" t="inlineStr">
        <is>
          <t>การติดเชื้อในหูชั้นกลาง</t>
        </is>
      </c>
      <c r="F37" s="38" t="inlineStr">
        <is>
          <t>Hypoglycemia</t>
        </is>
      </c>
      <c r="G37" s="38" t="inlineStr">
        <is>
          <t>เนื้องอกในสมอง</t>
        </is>
      </c>
      <c r="H37" s="38" t="inlineStr">
        <is>
          <t>ไข้สูงในเด็ก</t>
        </is>
      </c>
      <c r="I37" s="37" t="inlineStr">
        <is>
          <t>2</t>
        </is>
      </c>
      <c r="J37" s="38"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38" t="n"/>
      <c r="L37" s="39" t="inlineStr">
        <is>
          <t>Epilepsy</t>
        </is>
      </c>
      <c r="M37" s="39" t="inlineStr">
        <is>
          <t>Clinic</t>
        </is>
      </c>
      <c r="N37" s="38" t="inlineStr">
        <is>
          <t>ข้อ 35 Pharma Plus เล่มม่วง (เฉลยข้อ ข)</t>
        </is>
      </c>
      <c r="O37" s="39" t="n"/>
      <c r="P37" s="39" t="n"/>
    </row>
    <row r="38" ht="13.2" customHeight="1" s="49">
      <c r="A38" s="37" t="n">
        <v>36</v>
      </c>
      <c r="B38" s="38" t="inlineStr">
        <is>
          <t>ข้อใดคือข้อบ่งใช้ของ carbamazepine นอกเหนือจากรักษาโรคลมชัก</t>
        </is>
      </c>
      <c r="C38" s="38" t="n"/>
      <c r="D38" s="38" t="inlineStr">
        <is>
          <t>Anxiety</t>
        </is>
      </c>
      <c r="E38" s="38" t="inlineStr">
        <is>
          <t>Muscle relaxant</t>
        </is>
      </c>
      <c r="F38" s="38" t="inlineStr">
        <is>
          <t>Trigeminal neuralgia</t>
        </is>
      </c>
      <c r="G38" s="38" t="inlineStr">
        <is>
          <t>Anti-arrhythmia</t>
        </is>
      </c>
      <c r="H38" s="38" t="inlineStr">
        <is>
          <t>Febrile Seizure</t>
        </is>
      </c>
      <c r="I38" s="37" t="inlineStr">
        <is>
          <t>3</t>
        </is>
      </c>
      <c r="J38"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38" t="n"/>
      <c r="L38" s="39" t="inlineStr">
        <is>
          <t>Epilepsy</t>
        </is>
      </c>
      <c r="M38" s="39" t="inlineStr">
        <is>
          <t>Clinic</t>
        </is>
      </c>
      <c r="N38" s="38" t="inlineStr">
        <is>
          <t>ข้อ 36 Pharma Plus เล่มม่วง (เฉลยข้อ ค)</t>
        </is>
      </c>
      <c r="O38" s="39" t="n"/>
      <c r="P38" s="39" t="n"/>
    </row>
    <row r="39" ht="13.2" customHeight="1" s="49">
      <c r="A39" s="37" t="n">
        <v>37</v>
      </c>
      <c r="B39" s="38"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38" t="n"/>
      <c r="D39" s="38" t="inlineStr">
        <is>
          <t>ซักประวัติเพิ่มเติมพบว่า ผู้ป่วยมีแนวโน้มเครียดง่ายจากการทำงาน จึงให้ยาคลายกังวลและนัดพบในอีก 1 เดือน</t>
        </is>
      </c>
      <c r="E39" s="38" t="inlineStr">
        <is>
          <t>ซักประวัติเพิ่มเติมพบว่ามีสุขภาพอ่อนแอ จึงให้่าวิตามินและนัดมาพบในอีก 1 สัปดาห์</t>
        </is>
      </c>
      <c r="F39" s="38" t="inlineStr">
        <is>
          <t>ให้ยาคลายกล้ามเนื้อเพื่อป้องกันอาการชักเกร็งระหว่างหมดสติ</t>
        </is>
      </c>
      <c r="G39" s="38" t="inlineStr">
        <is>
          <t>ซักประวัติเพิ่มเติมพบว่ามีสุขภาพอ่อนแอ จึงแนะนำให้พักผ่อนให้เพียงพอ</t>
        </is>
      </c>
      <c r="H39" s="38" t="inlineStr">
        <is>
          <t>ซักประวัติเพิ่มเติมและแนะนำให้ไปพบแพทย์</t>
        </is>
      </c>
      <c r="I39" s="37" t="inlineStr">
        <is>
          <t>5</t>
        </is>
      </c>
      <c r="J39" s="38"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38" t="n"/>
      <c r="L39" s="39" t="inlineStr">
        <is>
          <t>Epilepsy</t>
        </is>
      </c>
      <c r="M39" s="39" t="inlineStr">
        <is>
          <t>Clinic</t>
        </is>
      </c>
      <c r="N39" s="38" t="inlineStr">
        <is>
          <t>ข้อ 37 Pharma Plus เล่มม่วง (เฉลยข้อ จ)</t>
        </is>
      </c>
      <c r="O39" s="39" t="n"/>
      <c r="P39" s="39" t="n"/>
    </row>
    <row r="40" ht="13.2" customHeight="1" s="49">
      <c r="A40" s="37" t="n">
        <v>38</v>
      </c>
      <c r="B40" s="38"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38" t="n"/>
      <c r="D40" s="38" t="inlineStr">
        <is>
          <t>Block PTP (post tetanic potentiation)</t>
        </is>
      </c>
      <c r="E40" s="38" t="inlineStr">
        <is>
          <t>Decrease post-synaptic excitation</t>
        </is>
      </c>
      <c r="F40" s="38" t="inlineStr">
        <is>
          <t>Increase GABA activity</t>
        </is>
      </c>
      <c r="G40" s="38" t="inlineStr">
        <is>
          <t>Decrease excitatory neurotransmitter</t>
        </is>
      </c>
      <c r="H40" s="38" t="inlineStr">
        <is>
          <t>Inhibit protein kinase-C</t>
        </is>
      </c>
      <c r="I40" s="37" t="inlineStr">
        <is>
          <t>2</t>
        </is>
      </c>
      <c r="J40" s="38"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38" t="n"/>
      <c r="L40" s="39" t="inlineStr">
        <is>
          <t>Epilepsy</t>
        </is>
      </c>
      <c r="M40" s="39" t="inlineStr">
        <is>
          <t>Clinic</t>
        </is>
      </c>
      <c r="N40" s="38" t="inlineStr">
        <is>
          <t>ข้อ 38 Pharma Plus เล่มม่วง (เฉลยข้อ ข ง)</t>
        </is>
      </c>
      <c r="O40" s="39" t="n"/>
      <c r="P40" s="39" t="n"/>
    </row>
    <row r="41" ht="13.2" customHeight="1" s="49">
      <c r="A41" s="37" t="n">
        <v>39</v>
      </c>
      <c r="B41" s="38"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38" t="n"/>
      <c r="D41" s="38" t="inlineStr">
        <is>
          <t>รับประทานยานี้หลังอาหารทันที</t>
        </is>
      </c>
      <c r="E41" s="38" t="inlineStr">
        <is>
          <t>ดื่มน้ำมาก ๆ หลังรับประทานยา</t>
        </is>
      </c>
      <c r="F41" s="38" t="inlineStr">
        <is>
          <t>เมื่ออาการดีขึ้นสามารถปรับลดขนาดยาได้</t>
        </is>
      </c>
      <c r="G41" s="38" t="inlineStr">
        <is>
          <t>ห้ามรับประทานพร้อมนม</t>
        </is>
      </c>
      <c r="H41" s="38" t="inlineStr">
        <is>
          <t>กินยาติดต่อกันเป็นประจำทุกวัน</t>
        </is>
      </c>
      <c r="I41" s="37" t="inlineStr">
        <is>
          <t>5</t>
        </is>
      </c>
      <c r="J41" s="38"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38" t="n"/>
      <c r="L41" s="39" t="inlineStr">
        <is>
          <t>Epilepsy</t>
        </is>
      </c>
      <c r="M41" s="39" t="inlineStr">
        <is>
          <t>Clinic</t>
        </is>
      </c>
      <c r="N41" s="38" t="inlineStr">
        <is>
          <t>ข้อ 39 Pharma Plus เล่มม่วง (เฉลยข้อ จ)</t>
        </is>
      </c>
      <c r="O41" s="39" t="n"/>
      <c r="P41" s="39" t="n"/>
    </row>
    <row r="42" ht="13.2" customHeight="1" s="49">
      <c r="A42" s="37" t="n">
        <v>40</v>
      </c>
      <c r="B42" s="38"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38" t="n"/>
      <c r="D42" s="38" t="inlineStr">
        <is>
          <t>ค่าครึ่งชีวิตของ phenytoin ยาว</t>
        </is>
      </c>
      <c r="E42" s="38" t="inlineStr">
        <is>
          <t>Phenytoin ถูกกำจัดทางไตน้อยกว่า 5%</t>
        </is>
      </c>
      <c r="F42" s="38" t="inlineStr">
        <is>
          <t>เภสัชจลนศาสตร์ของยาเป็นแบบไม่เป็นเส้นตรง</t>
        </is>
      </c>
      <c r="G42" s="38" t="inlineStr">
        <is>
          <t>ยามีผลต่อเอนไซม์ Cytochrome P450 system</t>
        </is>
      </c>
      <c r="H42" s="38" t="inlineStr">
        <is>
          <t>Phenytoin ไม่เกิด first pass metabolism</t>
        </is>
      </c>
      <c r="I42" s="37" t="inlineStr">
        <is>
          <t>1</t>
        </is>
      </c>
      <c r="J42" s="38"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38" t="n"/>
      <c r="L42" s="39" t="inlineStr">
        <is>
          <t>Epilepsy</t>
        </is>
      </c>
      <c r="M42" s="39" t="inlineStr">
        <is>
          <t>Clinic</t>
        </is>
      </c>
      <c r="N42" s="38" t="inlineStr">
        <is>
          <t>ข้อ 40 Pharma Plus เล่มม่วง (เฉลยข้อ ก)</t>
        </is>
      </c>
      <c r="O42" s="39" t="n"/>
      <c r="P42" s="39" t="n"/>
    </row>
    <row r="43" ht="13.2" customHeight="1" s="49">
      <c r="A43" s="37" t="n">
        <v>41</v>
      </c>
      <c r="B43" s="38" t="inlineStr">
        <is>
          <t>เภสัชจลนศาสตร์ของ phenytoin ที่เป็นแบบไม่เป็นเส้นตรง (non-linear pharmacokinetic) หมายความว่าอย่างไร</t>
        </is>
      </c>
      <c r="C43" s="38" t="n"/>
      <c r="D43" s="38" t="inlineStr">
        <is>
          <t>หาก plot graph ระหว่างขนาดยาและความเข้มข้นไม่มีส่วนที่เป็นเส้นตรง</t>
        </is>
      </c>
      <c r="E43" s="38" t="inlineStr">
        <is>
          <t>ยาถูกกำจัดจากร่างกายได้หลายกลไก</t>
        </is>
      </c>
      <c r="F43" s="38" t="inlineStr">
        <is>
          <t>ขนาดยาที่สูงขึ้น จะได้ฤทธิ์ยาเพิ่มขึ้นน้อยกว่าที่ควรจะเป็น</t>
        </is>
      </c>
      <c r="G43" s="38" t="inlineStr">
        <is>
          <t>ความเข้มข้นของยาในกระแสเลือดที่เพิ่มขึ้นไม่เป็นสัดส่วนโดยตรงกับขนาดยา</t>
        </is>
      </c>
      <c r="H43" s="38" t="inlineStr">
        <is>
          <t>เมื่อขนาดยาที่สูงขึ้น ณ จุดหนึ่ง ความสัมพันธ์ของขนาดยาและความเข้มข้นในกระแสเลือดจะเป็นสัดส่วนผกผัน</t>
        </is>
      </c>
      <c r="I43" s="37" t="inlineStr">
        <is>
          <t>4</t>
        </is>
      </c>
      <c r="J43" s="38"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38" t="n"/>
      <c r="L43" s="39" t="inlineStr">
        <is>
          <t>Epilepsy</t>
        </is>
      </c>
      <c r="M43" s="39" t="inlineStr">
        <is>
          <t>Clinic</t>
        </is>
      </c>
      <c r="N43" s="38" t="inlineStr">
        <is>
          <t>ข้อ 41 Pharma Plus เล่มม่วง (เฉลยข้อ ง)</t>
        </is>
      </c>
      <c r="O43" s="39" t="n"/>
      <c r="P43" s="39" t="n"/>
    </row>
    <row r="44" ht="13.2" customHeight="1" s="49">
      <c r="A44" s="37" t="n">
        <v>42</v>
      </c>
      <c r="B44" s="38" t="inlineStr">
        <is>
          <t>ข้อใดเป็นผลข้างเคียงจากการใช้ phenytoin ติดต่อกันเป็นระยะเวลานาน</t>
        </is>
      </c>
      <c r="C44" s="38" t="n"/>
      <c r="D44" s="38" t="inlineStr">
        <is>
          <t>Gingival hyperplasia</t>
        </is>
      </c>
      <c r="E44" s="38" t="inlineStr">
        <is>
          <t>Ataxia</t>
        </is>
      </c>
      <c r="F44" s="38" t="inlineStr">
        <is>
          <t>Mental retardation</t>
        </is>
      </c>
      <c r="G44" s="38" t="inlineStr">
        <is>
          <t>Blurred vision</t>
        </is>
      </c>
      <c r="H44" s="38" t="inlineStr">
        <is>
          <t>Hyperactivity</t>
        </is>
      </c>
      <c r="I44" s="37" t="inlineStr">
        <is>
          <t>1</t>
        </is>
      </c>
      <c r="J44" s="38"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38" t="n"/>
      <c r="L44" s="39" t="inlineStr">
        <is>
          <t>Epilepsy</t>
        </is>
      </c>
      <c r="M44" s="39" t="inlineStr">
        <is>
          <t>Clinic</t>
        </is>
      </c>
      <c r="N44" s="38" t="inlineStr">
        <is>
          <t>ข้อ 42 Pharma Plus เล่มม่วง (เฉลยข้อ ก)</t>
        </is>
      </c>
      <c r="O44" s="39" t="n"/>
      <c r="P44" s="39" t="n"/>
    </row>
    <row r="45" ht="13.2" customHeight="1" s="49">
      <c r="A45" s="37" t="n">
        <v>43</v>
      </c>
      <c r="B45" s="38"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38" t="n"/>
      <c r="D45" s="38" t="inlineStr">
        <is>
          <t>ควรตรวจสอบอาการเดินเซ (ataxia) ร่วมด้วย</t>
        </is>
      </c>
      <c r="E45" s="38" t="inlineStr">
        <is>
          <t>สอบถามประวัติการใช้ยาของผู้ป่วย</t>
        </is>
      </c>
      <c r="F45" s="38" t="inlineStr">
        <is>
          <t>ตรวจวัดระดับยาในเลือด</t>
        </is>
      </c>
      <c r="G45" s="38" t="inlineStr">
        <is>
          <t>ใช้ diazepam เพื่อควบคุมอาการ nystagmus ก่อนให้การรักษาต่อไป</t>
        </is>
      </c>
      <c r="H45" s="38" t="inlineStr">
        <is>
          <t>ผู้ป่วยควรหยุดยา phenytoin และรอดูอาการ</t>
        </is>
      </c>
      <c r="I45" s="37" t="inlineStr">
        <is>
          <t>4</t>
        </is>
      </c>
      <c r="J45" s="38"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38" t="n"/>
      <c r="L45" s="39" t="inlineStr">
        <is>
          <t>Epilepsy</t>
        </is>
      </c>
      <c r="M45" s="39" t="inlineStr">
        <is>
          <t>Clinic</t>
        </is>
      </c>
      <c r="N45" s="38" t="inlineStr">
        <is>
          <t>ข้อ 43 Pharma Plus เล่มม่วง (เฉลยข้อ ง จ)</t>
        </is>
      </c>
      <c r="O45" s="39" t="n"/>
      <c r="P45" s="39" t="n"/>
    </row>
    <row r="46" ht="13.2" customHeight="1" s="49">
      <c r="A46" s="37" t="n">
        <v>44</v>
      </c>
      <c r="B46" s="38" t="inlineStr">
        <is>
          <t>ข้อใดไม่ถูกต้องเกี่ยวกับหลักการใช้ยากันชัก</t>
        </is>
      </c>
      <c r="C46" s="38" t="n"/>
      <c r="D46" s="38" t="inlineStr">
        <is>
          <t>ควรเริ่มต้นการรักษาด้วยยาทีละตัว (monotherapy)</t>
        </is>
      </c>
      <c r="E46" s="38" t="inlineStr">
        <is>
          <t>ควรเริ่มต้นด้วยขนาดยาต่ำ ๆ แล้วจึงเพิ่มขนาดยาขึ้น</t>
        </is>
      </c>
      <c r="F46" s="38" t="inlineStr">
        <is>
          <t>การตรวจวัดระดับยาในเลือดอาจไม่จำเป็นในทางปฏิบัติ</t>
        </is>
      </c>
      <c r="G46" s="38" t="inlineStr">
        <is>
          <t>ขนาดของยาไม่จำเป็นต้องเท่ากัน (fixed dose) ในผู้ป่วยทุกราย</t>
        </is>
      </c>
      <c r="H46" s="38" t="inlineStr">
        <is>
          <t>ควรเลือกยากันชักชนิดใหม่เช่น gabapentin เป็นอันดับแรกในการรักษาเนื่องจากมีประสิทธิภาพสูง</t>
        </is>
      </c>
      <c r="I46" s="37" t="inlineStr">
        <is>
          <t>5</t>
        </is>
      </c>
      <c r="J46" s="38"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สากล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เป็นหลักการสากลที่ถูกต้อง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38" t="n"/>
      <c r="L46" s="39" t="inlineStr">
        <is>
          <t>Epilepsy</t>
        </is>
      </c>
      <c r="M46" s="39" t="inlineStr">
        <is>
          <t>Clinic</t>
        </is>
      </c>
      <c r="N46" s="38" t="inlineStr">
        <is>
          <t>ข้อ 44 Pharma Plus เล่มม่วง (เฉลยข้อ จ)</t>
        </is>
      </c>
      <c r="O46" s="39" t="n"/>
      <c r="P46" s="39" t="n"/>
    </row>
    <row r="47" ht="13.2" customHeight="1" s="49">
      <c r="A47" s="37" t="n">
        <v>45</v>
      </c>
      <c r="B47" s="38" t="inlineStr">
        <is>
          <t>ข้อใดต่อไปนี้คืออาการข้างเคียงที่จะเกิดจากการได้รับยา phenytoin</t>
        </is>
      </c>
      <c r="C47" s="38" t="n"/>
      <c r="D47" s="38" t="inlineStr">
        <is>
          <t>Gum hyperplasia</t>
        </is>
      </c>
      <c r="E47" s="38" t="inlineStr">
        <is>
          <t>Tachycardia</t>
        </is>
      </c>
      <c r="F47" s="38" t="inlineStr">
        <is>
          <t>Dry mouth</t>
        </is>
      </c>
      <c r="G47" s="38" t="inlineStr">
        <is>
          <t>Gastric irritation</t>
        </is>
      </c>
      <c r="H47" s="38" t="inlineStr">
        <is>
          <t>Hair loss</t>
        </is>
      </c>
      <c r="I47" s="37" t="inlineStr">
        <is>
          <t>1</t>
        </is>
      </c>
      <c r="J47" s="38"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38" t="n"/>
      <c r="L47" s="39" t="inlineStr">
        <is>
          <t>Epilepsy</t>
        </is>
      </c>
      <c r="M47" s="39" t="inlineStr">
        <is>
          <t>Clinic</t>
        </is>
      </c>
      <c r="N47" s="38" t="inlineStr">
        <is>
          <t>ข้อ 45 Pharma Plus เล่มม่วง (เฉลยข้อ ก)</t>
        </is>
      </c>
      <c r="O47" s="39" t="n"/>
      <c r="P47" s="39" t="n"/>
    </row>
    <row r="48" ht="13.2" customHeight="1" s="49">
      <c r="A48" s="37" t="n">
        <v>46</v>
      </c>
      <c r="B48" s="38" t="inlineStr">
        <is>
          <t>กลไกการออกฤทธิ์ของ phenobarbital คือข้อใด</t>
        </is>
      </c>
      <c r="C48" s="38" t="n"/>
      <c r="D48" s="38" t="inlineStr">
        <is>
          <t>กระตุ้น Glutamate neurotransmission</t>
        </is>
      </c>
      <c r="E48" s="38" t="inlineStr">
        <is>
          <t>กระตุ้น GABA neurotransmission</t>
        </is>
      </c>
      <c r="F48" s="38" t="inlineStr">
        <is>
          <t>กระตุ้น Serotonin neurotransmission</t>
        </is>
      </c>
      <c r="G48" s="38" t="inlineStr">
        <is>
          <t>ยับยั้ง Dopamine neurotransmission</t>
        </is>
      </c>
      <c r="H48" s="38" t="inlineStr">
        <is>
          <t>ยับยั้ง Norepinephrine neurotransmission</t>
        </is>
      </c>
      <c r="I48" s="37" t="inlineStr">
        <is>
          <t>2</t>
        </is>
      </c>
      <c r="J48" s="38"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38" t="n"/>
      <c r="L48" s="39" t="inlineStr">
        <is>
          <t>Headache</t>
        </is>
      </c>
      <c r="M48" s="39" t="inlineStr">
        <is>
          <t>Clinic</t>
        </is>
      </c>
      <c r="N48" s="38" t="inlineStr">
        <is>
          <t>ข้อ 46 Pharma Plus เล่มม่วง (เฉลยข้อ ข)</t>
        </is>
      </c>
      <c r="O48" s="39" t="n"/>
      <c r="P48" s="39" t="n"/>
    </row>
    <row r="49" ht="13.2" customHeight="1" s="49">
      <c r="A49" s="37" t="n">
        <v>47</v>
      </c>
      <c r="B49" s="38" t="inlineStr">
        <is>
          <t>Phenobarbital ให้ผลการรักษา epilepsy ชนิดใดได้ดีที่สุด</t>
        </is>
      </c>
      <c r="C49" s="38" t="n"/>
      <c r="D49" s="38" t="inlineStr">
        <is>
          <t>Generalized tonic-clonic (Grand mal) seizure</t>
        </is>
      </c>
      <c r="E49" s="38" t="inlineStr">
        <is>
          <t>Absence (Petit mal) seizure</t>
        </is>
      </c>
      <c r="F49" s="38" t="inlineStr">
        <is>
          <t>Atonic seizure</t>
        </is>
      </c>
      <c r="G49" s="38" t="inlineStr">
        <is>
          <t>Clonic and myoclonic seizure</t>
        </is>
      </c>
      <c r="H49" s="38" t="inlineStr">
        <is>
          <t>Tonic seizure</t>
        </is>
      </c>
      <c r="I49" s="37" t="inlineStr">
        <is>
          <t>1</t>
        </is>
      </c>
      <c r="J49" s="38"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38" t="n"/>
      <c r="L49" s="39" t="inlineStr">
        <is>
          <t>Epilepsy</t>
        </is>
      </c>
      <c r="M49" s="39" t="inlineStr">
        <is>
          <t>Clinic</t>
        </is>
      </c>
      <c r="N49" s="38" t="inlineStr">
        <is>
          <t>ข้อ 47 Pharma Plus เล่มม่วง (เฉลยข้อ ก)</t>
        </is>
      </c>
      <c r="O49" s="39" t="n"/>
      <c r="P49" s="39" t="n"/>
    </row>
    <row r="50" ht="13.2" customHeight="1" s="49">
      <c r="A50" s="37" t="n">
        <v>48</v>
      </c>
      <c r="B50" s="38" t="inlineStr">
        <is>
          <t>Lorazepam มีฤทธิ์ต่าง ๆ ต่อไปนี้ ยกเว้น</t>
        </is>
      </c>
      <c r="C50" s="38" t="n"/>
      <c r="D50" s="38" t="inlineStr">
        <is>
          <t>Hypnotic effect</t>
        </is>
      </c>
      <c r="E50" s="38" t="inlineStr">
        <is>
          <t>Muscle-relaxing effect</t>
        </is>
      </c>
      <c r="F50" s="38" t="inlineStr">
        <is>
          <t>Anticonvulsant effect</t>
        </is>
      </c>
      <c r="G50" s="38" t="inlineStr">
        <is>
          <t>Antianxiety effect</t>
        </is>
      </c>
      <c r="H50" s="38" t="inlineStr">
        <is>
          <t>Antidepressant effect</t>
        </is>
      </c>
      <c r="I50" s="37" t="inlineStr">
        <is>
          <t>5</t>
        </is>
      </c>
      <c r="J50" s="38" t="inlineStr">
        <is>
          <t>✅ คำตอบที่ถูกต้อง: ข้อ จ. Antidepressant effect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Antidepressant effect ยากลุ่ม Benzodiazepines (รวมถึง lorazepam) มีฤทธิ์หลัก 5 ประการ ได้แก่ ลดวิตกกังวล (antianxiety), ทำให้นอนหลับ (hypnotic), คลายกล้ามเนื้อ (muscle-relaxant), กันชัก (anticonvulsant) และทำให้สงบระงับก่อนผ่าตัด แต่ไม่มีฤทธิ์ต้านเศร้า (antidepressant)
🔍 ข้ออื่นผิดเพราะอะไร:
- ข้อ ก. Lorazepam มีฤทธิ์กระตุ้น GABA-A receptor ในระบบประสาทส่วนกลาง ทำให้เกิดการง่วงซึมและนำมาใช้เป็นยานอนหลับ (Hypnotic effect) ได้อย่างมีประสิทธิภาพ
- ข้อ ข. Lorazepam ช่วยลด muscle tone ผ่านการยับยั้งสัญญาณประสาทที่ระดับไขสันหลังและ supraspinal neurons จึงมีฤทธิ์คลายกล้ามเนื้อ (Muscle-relaxing effect)
- ข้อ ค. Lorazepam เป็นยา first-line ในการระงับภาวะ status epilepticus โดยมีฤทธิ์ต้านอาการชัก (Anticonvulsant effect) ที่ออกฤทธิ์เร็วและคงอยู่ในสมองได้นาน
- ข้อ ง. Lorazepam จับกับ Benzodiazepine binding site บน GABA-A receptor บริเวณ limbic system ส่งผลให้มีฤทธิ์ต้านความวิตกกังวล (Antianxiety effect) ได้ดี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38" t="n"/>
      <c r="L50" s="39" t="inlineStr">
        <is>
          <t>Headache</t>
        </is>
      </c>
      <c r="M50" s="39" t="inlineStr">
        <is>
          <t>Clinic</t>
        </is>
      </c>
      <c r="N50" s="38" t="inlineStr">
        <is>
          <t>ข้อ 48 Pharma Plus เล่มม่วง (เฉลยข้อ จ)</t>
        </is>
      </c>
      <c r="O50" s="39" t="n"/>
      <c r="P50" s="39" t="n"/>
    </row>
    <row r="51" ht="13.2" customHeight="1" s="49">
      <c r="A51" s="37" t="n">
        <v>49</v>
      </c>
      <c r="B51" s="38" t="inlineStr">
        <is>
          <t>ข้อความต่อไปนี้ เกี่ยวกับ lorazepam ผิด</t>
        </is>
      </c>
      <c r="C51" s="38" t="n"/>
      <c r="D51" s="38" t="inlineStr">
        <is>
          <t>ออกฤทธิ์โดยการกระตุ้น GABA neurotransmission</t>
        </is>
      </c>
      <c r="E51" s="38" t="inlineStr">
        <is>
          <t>Overdose ของ lorazepam สามารถใช้ flumazenil ซึ่งเป็น antidote รักษาได้</t>
        </is>
      </c>
      <c r="F51" s="38" t="inlineStr">
        <is>
          <t>ถ้าใช้เป็นระยะเวลานานแล้วหยุดยา จะก่อให้เกิด withdrawal symptoms ได้</t>
        </is>
      </c>
      <c r="G51" s="38" t="inlineStr">
        <is>
          <t>เป็น hepatic drug-metabolizing enzyme inducer</t>
        </is>
      </c>
      <c r="H51" s="38" t="inlineStr">
        <is>
          <t>ไม่ก่อให้เกิด hang over effect เหมือน diazepam</t>
        </is>
      </c>
      <c r="I51" s="37" t="inlineStr">
        <is>
          <t>4</t>
        </is>
      </c>
      <c r="J51" s="38"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38" t="n"/>
      <c r="L51" s="39" t="inlineStr">
        <is>
          <t>Headache</t>
        </is>
      </c>
      <c r="M51" s="39" t="inlineStr">
        <is>
          <t>Clinic</t>
        </is>
      </c>
      <c r="N51" s="38" t="inlineStr">
        <is>
          <t>ข้อ 49 Pharma Plus เล่มม่วง (เฉลยข้อ ง)</t>
        </is>
      </c>
      <c r="O51" s="39" t="n"/>
      <c r="P51" s="39" t="n"/>
    </row>
    <row r="52" ht="13.2" customHeight="1" s="49">
      <c r="A52" s="37" t="n">
        <v>50</v>
      </c>
      <c r="B52" s="38"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38" t="n"/>
      <c r="D52" s="38" t="inlineStr">
        <is>
          <t>Noradrenergic neurons จาก locus ceruleus ไปยัง cerebral cortex</t>
        </is>
      </c>
      <c r="E52" s="38" t="inlineStr">
        <is>
          <t>Serotoninergic neurons จาก raphe nucleus ไปยัง cerebral cortex</t>
        </is>
      </c>
      <c r="F52" s="38" t="inlineStr">
        <is>
          <t>Cholinergic neurons จาก septum ไปยัง hippocampus</t>
        </is>
      </c>
      <c r="G52" s="38" t="inlineStr">
        <is>
          <t>Dopaminergic neurons จาก midbrain ไปยัง limbic system</t>
        </is>
      </c>
      <c r="H52" s="38" t="inlineStr">
        <is>
          <t>GABAergic neurons จาก striatum ไปยัง substantial nigra</t>
        </is>
      </c>
      <c r="I52" s="37" t="inlineStr">
        <is>
          <t>3</t>
        </is>
      </c>
      <c r="J52" s="38" t="inlineStr">
        <is>
          <t>✅ คำตอบที่ถูกต้อง: ข้อ ก. การสูญเสียเซลล์ประสาท Cholinergic neurons ในสมองส่วน Basal forebrain และ Cortex
💡 Background: พยาธิสรีรวิทยาของโรคอัลไซเมอร์ (Alzheimer's disease) ซึ่งเป็นสาเหตุของภาวะสมองเสื่อมที่พบบ่อยที่สุด
🎯 ทำไมข้อนี้ถึงถูก: สมมติฐานด้านสารสื่อประสาท (Cholinergic hypothesis) ระบุว่าผู้ป่วยอัลไซเมอร์มีการสูญเสียเซลล์ประสาทที่สร้างและหลั่งสารสื่อประสาท Acetylcholine ในบริเวณ Nucleus basalis of Meynert ทำให้ระดับ Acetylcholine ลดลง ส่งผลต่อความจำและการเรียนรู้โดยตรง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
📖 Guideline อ้างอิง: แนวทางเวชปฏิบัติการวินิจฉัยและรักษาภาวะสมองเสื่อม พ.ศ. 2563 (สมาคมประสาทวิทยาแห่งประเทศไทย)
📌 จุดจำก่อนสอบ: Alzheimer's disease พยาธิสรีรวิทยาสำคัญคือ Cholinergic deficit (ขาด Acetylcholine) จึงใช้ยา Acetylcholinesterase inhibitors ในการรักษา</t>
        </is>
      </c>
      <c r="K52" s="38" t="n"/>
      <c r="L52" s="39" t="inlineStr">
        <is>
          <t>Dementia, Alzheimer's</t>
        </is>
      </c>
      <c r="M52" s="39" t="inlineStr">
        <is>
          <t>Clinic</t>
        </is>
      </c>
      <c r="N52" s="38" t="inlineStr">
        <is>
          <t>ข้อ 50 Pharma Plus เล่มม่วง (เฉลยข้อ ค)</t>
        </is>
      </c>
      <c r="O52" s="39" t="n"/>
      <c r="P52" s="39" t="n"/>
    </row>
    <row r="53" ht="13.2" customHeight="1" s="49">
      <c r="A53" s="37" t="n">
        <v>51</v>
      </c>
      <c r="B53" s="38" t="inlineStr">
        <is>
          <t>พยาธิสภาพที่พบในสมองของผู้ป่วย Alzheimer's disease นั้น ได้แก่ลักษณะดังต่อไปนี้</t>
        </is>
      </c>
      <c r="C53" s="38" t="n"/>
      <c r="D53" s="38" t="inlineStr">
        <is>
          <t>ปริมาณ choline ในสมองมากกว่าปกติ</t>
        </is>
      </c>
      <c r="E53" s="38" t="inlineStr">
        <is>
          <t>เนื้อสมองมี neurofibrillary tangles และ senile plaque มากกว่าปกติ</t>
        </is>
      </c>
      <c r="F53" s="38" t="inlineStr">
        <is>
          <t>มี enzyme choline acetyltransferase มากกว่าปกติ</t>
        </is>
      </c>
      <c r="G53" s="38" t="inlineStr">
        <is>
          <t>สมองมีขนาดใหญ่กว่าปกติ</t>
        </is>
      </c>
      <c r="H53" s="38" t="inlineStr">
        <is>
          <t>มีปริมาณ enzyme Monoamine oxidase ในสมองมากกว่าปกติ</t>
        </is>
      </c>
      <c r="I53" s="37" t="inlineStr">
        <is>
          <t>2</t>
        </is>
      </c>
      <c r="J53" s="38" t="inlineStr">
        <is>
          <t>✅ คำตอบที่ถูกต้อง: ข้อ ค. การสะสมของ Amyloid beta plaques (Senile plaques) ภายนอกเซลล์ และ Neurofibrillary tangles (Hyperphosphorylated tau) ภายในเซลล์
💡 Background: พยาธิสภาพทางจุลกายวิภาค (Neuropathological hallmarks) ของโรคอัลไซเมอร์
🎯 ทำไมข้อนี้ถึงถูก: พยาธิสภาพจำเพาะ 2 ประการที่เป็นมาตรฐานการวินิจฉัยอัลไซเมอร์ทางพยาธิวิทยา คือ ก้อนพลัคของโปรตีน Amyloid-beta (A-beta 42) นอกเซลล์ และสายเกลียวโปรตีน Tau ที่มีฟอสเฟตเกิน (Neurofibrillary tangles) ภายในไซโทพลาสซึมของเซลล์ประสาท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
📖 Guideline อ้างอิง: National Institute on Aging-Alzheimer's Association (NIA-AA) Research Framework
📌 จุดจำก่อนสอบ: พยาธิสภาพของ Alzheimer: นอกเซลล์ = Amyloid-beta plaque, ในเซลล์ = Neurofibrillary tangles (Hyperphosphorylated Tau)</t>
        </is>
      </c>
      <c r="K53" s="38" t="n"/>
      <c r="L53" s="39" t="inlineStr">
        <is>
          <t>Dementia, Alzheimer's</t>
        </is>
      </c>
      <c r="M53" s="39" t="inlineStr">
        <is>
          <t>Clinic</t>
        </is>
      </c>
      <c r="N53" s="38" t="inlineStr">
        <is>
          <t>ข้อ 51 Pharma Plus เล่มม่วง (เฉลยข้อ ข)</t>
        </is>
      </c>
      <c r="O53" s="39" t="n"/>
      <c r="P53" s="39" t="n"/>
    </row>
    <row r="54" ht="13.2" customHeight="1" s="49">
      <c r="A54" s="37" t="n">
        <v>52</v>
      </c>
      <c r="B54" s="38"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38" t="n"/>
      <c r="D54" s="38" t="inlineStr">
        <is>
          <t>Cholinergic antagonists</t>
        </is>
      </c>
      <c r="E54" s="38" t="inlineStr">
        <is>
          <t>Acetylcholine esterase inhibitors</t>
        </is>
      </c>
      <c r="F54" s="38" t="inlineStr">
        <is>
          <t>Estrogen hormone</t>
        </is>
      </c>
      <c r="G54" s="38" t="inlineStr">
        <is>
          <t>Acetylcholine precursors</t>
        </is>
      </c>
      <c r="H54" s="38" t="inlineStr">
        <is>
          <t>NSAID (Non-Steroidal Anti-inflammatory Drugs)</t>
        </is>
      </c>
      <c r="I54" s="37" t="inlineStr">
        <is>
          <t>1</t>
        </is>
      </c>
      <c r="J54" s="38" t="inlineStr">
        <is>
          <t>✅ คำตอบที่ถูกต้อง: ข้อ ข. ชะลอการเสื่อมของความสามารถทางสมองและคงคุณภาพชีวิต (Symptomatic delay of cognitive decline)
💡 Background: เป้าหมายหลักของการรักษาโรคอัลไซเมอร์ด้วยยาในปัจจุบัน
🎯 ทำไมข้อนี้ถึงถูก: ยารักษาอัลไซเมอร์ที่มีในปัจจุบัน (AChEIs และ Memantine) เป็นเพียงการรักษาตามอาการเพื่อช่วยเพิ่มสารสื่อประสาท ช่วยชะลอการถดถอยของความจำและการรู้คิด ไม่สามารถรักษาให้หายขาดหรือย้อนกลับพยาธิสภาพที่เซลล์ประสาทตายไปแล้วได้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
📖 Guideline อ้างอิง: แนวทางเวชปฏิบัติการวินิจฉัยและรักษาภาวะสมองเสื่อม พ.ศ. 2563
📌 จุดจำก่อนสอบ: ยา AChEIs ใน Alzheimer ช่วยชะลออาการ (Delay cognitive decline) ไม่ได้ทำให้หายขาด (Not disease-modifying cure)</t>
        </is>
      </c>
      <c r="K54" s="38" t="n"/>
      <c r="L54" s="39" t="inlineStr">
        <is>
          <t>Dementia, Alzheimer's</t>
        </is>
      </c>
      <c r="M54" s="39" t="inlineStr">
        <is>
          <t>Clinic</t>
        </is>
      </c>
      <c r="N54" s="38" t="inlineStr">
        <is>
          <t>ข้อ 52 Pharma Plus เล่มม่วง (เฉลยข้อ ก)</t>
        </is>
      </c>
      <c r="O54" s="39" t="n"/>
      <c r="P54" s="39" t="n"/>
    </row>
    <row r="55" ht="13.2" customHeight="1" s="49">
      <c r="A55" s="37" t="n">
        <v>53</v>
      </c>
      <c r="B55" s="38"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38" t="n"/>
      <c r="D55" s="38" t="inlineStr">
        <is>
          <t>Galantamine</t>
        </is>
      </c>
      <c r="E55" s="38" t="inlineStr">
        <is>
          <t>Tacrine</t>
        </is>
      </c>
      <c r="F55" s="38" t="inlineStr">
        <is>
          <t>Donepezil</t>
        </is>
      </c>
      <c r="G55" s="38" t="inlineStr">
        <is>
          <t>Rivastigmine</t>
        </is>
      </c>
      <c r="H55" s="38" t="inlineStr">
        <is>
          <t>ทุกตัวในข้อ ก ถึง ง</t>
        </is>
      </c>
      <c r="I55" s="37" t="inlineStr">
        <is>
          <t>2</t>
        </is>
      </c>
      <c r="J55" s="38" t="inlineStr">
        <is>
          <t>✅ คำตอบที่ถูกต้อง: ข้อ ก. Donepezil (Cholinesterase inhibitor)
💡 Background: การเลือกยาเริ่มต้นสำหรับผู้ป่วยโรคอัลไซเมอร์ระยะเริ่มต้นถึงปานกลาง (Mild to moderate Alzheimer's disease)
🎯 ทำไมข้อนี้ถึงถูก: Donepezil เป็นยาในกลุ่ม Acetylcholinesterase inhibitor (AChEI) ที่มีประสิทธิภาพ ยอมรับได้ดี และสะดวกในการบริหารยา (วันละ 1 ครั้งก่อนนอน) จัดเป็นยาทางเลือกแรกในการรักษาผู้ป่วยอัลไซเมอร์ระยะแรก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
📖 Guideline อ้างอิง: แนวทางเวชปฏิบัติการวินิจฉัยและรักษาภาวะสมองเสื่อม พ.ศ. 2563
📌 จุดจำก่อนสอบ: First-line mild-moderate Alzheimer = Donepezil, Rivastigmine, Galantamine; Moderate-severe = เพิ่ม Memantine</t>
        </is>
      </c>
      <c r="K55" s="38" t="n"/>
      <c r="L55" s="39" t="inlineStr">
        <is>
          <t>Dementia, Alzheimer's</t>
        </is>
      </c>
      <c r="M55" s="39" t="inlineStr">
        <is>
          <t>Clinic</t>
        </is>
      </c>
      <c r="N55" s="38" t="inlineStr">
        <is>
          <t>ข้อ 53 Pharma Plus เล่มม่วง (เฉลยข้อ ข)</t>
        </is>
      </c>
      <c r="O55" s="39" t="n"/>
      <c r="P55" s="39" t="n"/>
    </row>
    <row r="56" ht="13.2" customHeight="1" s="49">
      <c r="A56" s="37" t="n">
        <v>54</v>
      </c>
      <c r="B56" s="38" t="inlineStr">
        <is>
          <t>ยาใดต่อไปนี้เป็นยารักษาโรคอัลไซเมอร์ ระดับ severe ได้</t>
        </is>
      </c>
      <c r="C56" s="38" t="n"/>
      <c r="D56" s="38" t="inlineStr">
        <is>
          <t>Donepezil</t>
        </is>
      </c>
      <c r="E56" s="38" t="inlineStr">
        <is>
          <t>Rivastigmine</t>
        </is>
      </c>
      <c r="F56" s="38" t="inlineStr">
        <is>
          <t>Galantamine</t>
        </is>
      </c>
      <c r="G56" s="38" t="inlineStr">
        <is>
          <t>Tacrine</t>
        </is>
      </c>
      <c r="H56" s="38" t="inlineStr">
        <is>
          <t>Memantine</t>
        </is>
      </c>
      <c r="I56" s="37" t="inlineStr">
        <is>
          <t>1</t>
        </is>
      </c>
      <c r="J56" s="38" t="inlineStr">
        <is>
          <t>✅ คำตอบที่ถูกต้อง: ข้อ ค. Memantine (NMDA receptor antagonist)
💡 Background: การรักษาโรคอัลไซเมอร์ในระยะปานกลางถึงรุนแรง (Moderate to severe Alzheimer's disease)
🎯 ทำไมข้อนี้ถึงถูก: Memantine ออกฤทธิ์ปิดกั้นตัวรับ NMDA แบบ uncompetitive low-affinity ป้องกันภาวะ Excitotoxicity จาก Glutamate เกิน ได้รับการรับรองให้ใช้รักษาโรคอัลไซเมอร์ระยะปานกลางถึงรุนแรง (MMSE &lt; 15-20) ทั้งแบบเดี่ยวหรือร่วมกับ Donepezil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
📖 Guideline อ้างอิง: APA Guideline on the Treatment of Patients with Alzheimer's Disease and Other Dementias
📌 จุดจำก่อนสอบ: Memantine เป็น NMDA antagonist ได้ข้อบ่งใช้ใน Moderate-Severe Alzheimer's disease</t>
        </is>
      </c>
      <c r="K56" s="38" t="n"/>
      <c r="L56" s="39" t="inlineStr">
        <is>
          <t>Dementia, Alzheimer's</t>
        </is>
      </c>
      <c r="M56" s="39" t="inlineStr">
        <is>
          <t>Clinic</t>
        </is>
      </c>
      <c r="N56" s="38" t="inlineStr">
        <is>
          <t>ข้อ 54 Pharma Plus เล่มม่วง (เฉลยข้อ ก จ)</t>
        </is>
      </c>
      <c r="O56" s="39" t="n"/>
      <c r="P56" s="39" t="n"/>
    </row>
    <row r="57" ht="13.2" customHeight="1" s="49">
      <c r="A57" s="37" t="n">
        <v>55</v>
      </c>
      <c r="B57" s="38" t="inlineStr">
        <is>
          <t>“Plaques protein” ต้นเหตุของโรคอัลไซเมอร์เกิดจากทำลายโปรตีนใดผิดปกติไป</t>
        </is>
      </c>
      <c r="C57" s="38" t="n"/>
      <c r="D57" s="38" t="inlineStr">
        <is>
          <t>β - Amyloid protein</t>
        </is>
      </c>
      <c r="E57" s="38" t="inlineStr">
        <is>
          <t>Intracellular Neurofibrillary Tangles (NFTs)</t>
        </is>
      </c>
      <c r="F57" s="38" t="inlineStr">
        <is>
          <t>Tau protein</t>
        </is>
      </c>
      <c r="G57" s="38" t="inlineStr">
        <is>
          <t>Myelin</t>
        </is>
      </c>
      <c r="H57" s="38" t="inlineStr">
        <is>
          <t>N-acetylgalactosamine-4-sulfatase</t>
        </is>
      </c>
      <c r="I57" s="37" t="inlineStr">
        <is>
          <t>1</t>
        </is>
      </c>
      <c r="J57" s="38"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38" t="n"/>
      <c r="L57" s="39" t="inlineStr">
        <is>
          <t>Headache</t>
        </is>
      </c>
      <c r="M57" s="39" t="inlineStr">
        <is>
          <t>Clinic</t>
        </is>
      </c>
      <c r="N57" s="38" t="inlineStr">
        <is>
          <t>ข้อ 55 Pharma Plus เล่มม่วง (เฉลยข้อ ก)</t>
        </is>
      </c>
      <c r="O57" s="39" t="n"/>
      <c r="P57" s="39" t="n"/>
    </row>
    <row r="58" ht="13.2" customHeight="1" s="49">
      <c r="A58" s="37" t="n">
        <v>56</v>
      </c>
      <c r="B58" s="38" t="inlineStr">
        <is>
          <t>ข้อใดไม่ใช่กลไกการเกิดโรคอัลไซเมอร์</t>
        </is>
      </c>
      <c r="C58" s="38" t="n"/>
      <c r="D58" s="38" t="inlineStr">
        <is>
          <t>ขาด serotonin และ dopamine ทำให้ behavioral disturbances</t>
        </is>
      </c>
      <c r="E58" s="38" t="inlineStr">
        <is>
          <t>ขาด Acetylcholine ทำให้ memory loss</t>
        </is>
      </c>
      <c r="F58" s="38" t="inlineStr">
        <is>
          <t>Glutamate มีน้อยเกินไปโดยหลั่งจากการกระตุ้น receptor ด้วย แคลเซียม</t>
        </is>
      </c>
      <c r="G58" s="38" t="inlineStr">
        <is>
          <t>การทำงานของ monoamine oxidase type B เพิ่มขึ้น</t>
        </is>
      </c>
      <c r="H58" s="38" t="inlineStr">
        <is>
          <t>เกิดการสะสมของ plaques และ tangles protein</t>
        </is>
      </c>
      <c r="I58" s="37" t="inlineStr">
        <is>
          <t>1</t>
        </is>
      </c>
      <c r="J58" s="38" t="inlineStr">
        <is>
          <t>✅ คำตอบที่ถูกต้อง: ข้อ จ. การสลายตัวของสารสื่อประสาท Dopamine ใน Substantia nigra
💡 Background: การแยกแยะกลไกการเกิดโรคระหว่างกลุ่มโรคความเสื่อมทางระบบประสาท (Neurodegenerative disorders)
🎯 ทำไมข้อนี้ถึงถูก: การเสื่อมสลายของเซลล์ประสาท Dopaminergic ใน Substantia nigra pars compacta เป็นพยาธิสรีรวิทยาหลักของโรคพาร์กินสัน (Parkinson's disease) ไม่ใช่โรคอัลไซเมอร์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
📖 Guideline อ้างอิง: แนวทางเวชปฏิบัติการวินิจฉัยและรักษาภาวะสมองเสื่อม พ.ศ. 2563
📌 จุดจำก่อนสอบ: Substantia nigra เสื่อม ขาด Dopamine = Parkinson's disease; Amyloid plaque + Tau tangles ขาด ACh = Alzheimer's disease</t>
        </is>
      </c>
      <c r="K58" s="38" t="n"/>
      <c r="L58" s="39" t="inlineStr">
        <is>
          <t>Dementia, Alzheimer's</t>
        </is>
      </c>
      <c r="M58" s="39" t="inlineStr">
        <is>
          <t>Clinic</t>
        </is>
      </c>
      <c r="N58" s="38" t="inlineStr">
        <is>
          <t>ข้อ 56 Pharma Plus เล่มม่วง (เฉลยข้อ ก ค)</t>
        </is>
      </c>
      <c r="O58" s="39" t="n"/>
      <c r="P58" s="39" t="n"/>
    </row>
    <row r="59" ht="13.2" customHeight="1" s="49">
      <c r="A59" s="37" t="n">
        <v>57</v>
      </c>
      <c r="B59" s="38"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38" t="n"/>
      <c r="D59" s="38" t="inlineStr">
        <is>
          <t>Reserpine</t>
        </is>
      </c>
      <c r="E59" s="38" t="inlineStr">
        <is>
          <t>Hydralazine</t>
        </is>
      </c>
      <c r="F59" s="38" t="inlineStr">
        <is>
          <t>Hydrochlorothiazide</t>
        </is>
      </c>
      <c r="G59" s="38" t="inlineStr">
        <is>
          <t>Naproxen</t>
        </is>
      </c>
      <c r="H59" s="38" t="inlineStr">
        <is>
          <t>Selegiline</t>
        </is>
      </c>
      <c r="I59" s="37" t="inlineStr">
        <is>
          <t>1</t>
        </is>
      </c>
      <c r="J59" s="38"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38" t="n"/>
      <c r="L59" s="39" t="inlineStr">
        <is>
          <t>Parkinson disease</t>
        </is>
      </c>
      <c r="M59" s="39" t="inlineStr">
        <is>
          <t>Clinic</t>
        </is>
      </c>
      <c r="N59" s="38" t="inlineStr">
        <is>
          <t>ข้อ 57 Pharma Plus เล่มม่วง (เฉลยข้อ ก)</t>
        </is>
      </c>
      <c r="O59" s="39" t="n"/>
      <c r="P59" s="39" t="n"/>
    </row>
    <row r="60" ht="13.2" customHeight="1" s="49">
      <c r="A60" s="37" t="n">
        <v>58</v>
      </c>
      <c r="B60" s="38" t="inlineStr">
        <is>
          <t>ยา benserazide ที่ผู้ป่วยได้รับ ออกฤทธิ์ยับยั้งที่ enzyme ใด</t>
        </is>
      </c>
      <c r="C60" s="38" t="n"/>
      <c r="D60" s="38" t="inlineStr">
        <is>
          <t>Monoamine oxidase-A</t>
        </is>
      </c>
      <c r="E60" s="38" t="inlineStr">
        <is>
          <t>Monoamine oxidase-B</t>
        </is>
      </c>
      <c r="F60" s="38" t="inlineStr">
        <is>
          <t>Dopa decarboxylase</t>
        </is>
      </c>
      <c r="G60" s="38" t="inlineStr">
        <is>
          <t>Catechol-O-methyltransferase</t>
        </is>
      </c>
      <c r="H60" s="38" t="inlineStr">
        <is>
          <t>Acetyltransferase</t>
        </is>
      </c>
      <c r="I60" s="37" t="inlineStr">
        <is>
          <t>3</t>
        </is>
      </c>
      <c r="J60" s="38"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38" t="n"/>
      <c r="L60" s="39" t="inlineStr">
        <is>
          <t>Parkinson disease</t>
        </is>
      </c>
      <c r="M60" s="39" t="inlineStr">
        <is>
          <t>Clinic</t>
        </is>
      </c>
      <c r="N60" s="38" t="inlineStr">
        <is>
          <t>ข้อ 58 Pharma Plus เล่มม่วง (เฉลยข้อ ค)</t>
        </is>
      </c>
      <c r="O60" s="39" t="n"/>
      <c r="P60" s="39" t="n"/>
    </row>
    <row r="61" ht="13.2" customHeight="1" s="49">
      <c r="A61" s="37" t="n">
        <v>59</v>
      </c>
      <c r="B61" s="38" t="inlineStr">
        <is>
          <t>ยา selegiline ที่ผู้ป่วยได้รับ มีกลไกการออกฤทธิ์อย่างไร</t>
        </is>
      </c>
      <c r="C61" s="38" t="n"/>
      <c r="D61" s="38" t="inlineStr">
        <is>
          <t>Dopamine reuptake inhibitor</t>
        </is>
      </c>
      <c r="E61" s="38" t="inlineStr">
        <is>
          <t>NMDA receptor antagonist</t>
        </is>
      </c>
      <c r="F61" s="38" t="inlineStr">
        <is>
          <t>Catechol-O-methyltransferase inhibitor</t>
        </is>
      </c>
      <c r="G61" s="38" t="inlineStr">
        <is>
          <t>Dopa decarboxylase inhibitor</t>
        </is>
      </c>
      <c r="H61" s="38" t="inlineStr">
        <is>
          <t>Monoamine oxidase-B inhibitor</t>
        </is>
      </c>
      <c r="I61" s="37" t="inlineStr">
        <is>
          <t>5</t>
        </is>
      </c>
      <c r="J61" s="38"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38" t="n"/>
      <c r="L61" s="39" t="inlineStr">
        <is>
          <t>Parkinson disease</t>
        </is>
      </c>
      <c r="M61" s="39" t="inlineStr">
        <is>
          <t>Clinic</t>
        </is>
      </c>
      <c r="N61" s="38" t="inlineStr">
        <is>
          <t>ข้อ 59 Pharma Plus เล่มม่วง (เฉลยข้อ จ)</t>
        </is>
      </c>
      <c r="O61" s="39" t="n"/>
      <c r="P61" s="39" t="n"/>
    </row>
    <row r="62" ht="13.2" customHeight="1" s="49">
      <c r="A62" s="37" t="n">
        <v>60</v>
      </c>
      <c r="B62" s="38" t="inlineStr">
        <is>
          <t>ยาชนิดใดห้ามใช้ร่วมกับ selegiline</t>
        </is>
      </c>
      <c r="C62" s="38" t="n"/>
      <c r="D62" s="38" t="inlineStr">
        <is>
          <t>Pindolol</t>
        </is>
      </c>
      <c r="E62" s="38" t="inlineStr">
        <is>
          <t>Pethidine</t>
        </is>
      </c>
      <c r="F62" s="38" t="inlineStr">
        <is>
          <t>Propranolol</t>
        </is>
      </c>
      <c r="G62" s="38" t="inlineStr">
        <is>
          <t>Pentamidine</t>
        </is>
      </c>
      <c r="H62" s="38" t="inlineStr">
        <is>
          <t>Pentoxifylline</t>
        </is>
      </c>
      <c r="I62" s="37" t="inlineStr">
        <is>
          <t>2</t>
        </is>
      </c>
      <c r="J62" s="38"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38" t="n"/>
      <c r="L62" s="39" t="inlineStr">
        <is>
          <t>Headache</t>
        </is>
      </c>
      <c r="M62" s="39" t="inlineStr">
        <is>
          <t>Clinic</t>
        </is>
      </c>
      <c r="N62" s="38" t="inlineStr">
        <is>
          <t>ข้อ 60 Pharma Plus เล่มม่วง (เฉลยข้อ ข)</t>
        </is>
      </c>
      <c r="O62" s="39" t="n"/>
      <c r="P62" s="39" t="n"/>
    </row>
    <row r="63" ht="13.2" customHeight="1" s="49">
      <c r="A63" s="37" t="n">
        <v>61</v>
      </c>
      <c r="B63" s="38" t="inlineStr">
        <is>
          <t>ถ้าช่วงนี้ผู้ป่วยเริ่มมีปัญหาการเกิดอาการของ dyskinesia ควรจะแก้ไขอย่างไร</t>
        </is>
      </c>
      <c r="C63" s="38" t="n"/>
      <c r="D63" s="38" t="inlineStr">
        <is>
          <t>หยุดยา selegiline</t>
        </is>
      </c>
      <c r="E63" s="38" t="inlineStr">
        <is>
          <t>ให้ bromocriptine</t>
        </is>
      </c>
      <c r="F63" s="38" t="inlineStr">
        <is>
          <t>ลดขนาดยา benserazide</t>
        </is>
      </c>
      <c r="G63" s="38" t="inlineStr">
        <is>
          <t>หยุดยา selegiline และให้ bromocriptine</t>
        </is>
      </c>
      <c r="H63" s="38" t="inlineStr">
        <is>
          <t>หยุดยา selegiline ร่วมกับการลดขนาดยา benserazide และให้ bromocriptine</t>
        </is>
      </c>
      <c r="I63" s="37" t="inlineStr">
        <is>
          <t>1</t>
        </is>
      </c>
      <c r="J63" s="38"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38" t="n"/>
      <c r="L63" s="39" t="inlineStr">
        <is>
          <t>Parkinson disease</t>
        </is>
      </c>
      <c r="M63" s="39" t="inlineStr">
        <is>
          <t>Clinic</t>
        </is>
      </c>
      <c r="N63" s="38" t="inlineStr">
        <is>
          <t>ข้อ 61 Pharma Plus เล่มม่วง (เฉลยข้อ )</t>
        </is>
      </c>
      <c r="O63" s="39" t="n"/>
      <c r="P63" s="39" t="n"/>
    </row>
    <row r="64" ht="13.2" customHeight="1" s="49">
      <c r="A64" s="37" t="n">
        <v>62</v>
      </c>
      <c r="B64" s="38"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38" t="n"/>
      <c r="D64" s="38" t="inlineStr">
        <is>
          <t>เขียนฉลากตัวบรรจงให้ผู้ป่วยอ่าน</t>
        </is>
      </c>
      <c r="E64" s="38" t="inlineStr">
        <is>
          <t>จัด pillbox ตามวันให้ผู้ป่วย และสอนให้ผู้ป่วยทำให้ตัวเองในวันถัดไป</t>
        </is>
      </c>
      <c r="F64" s="38" t="inlineStr">
        <is>
          <t>อ่านฉลากให้ผู้ป่วยฟังอย่างละเอียด ให้ผู้ป่วยซักถามเพิ่มเติม</t>
        </is>
      </c>
      <c r="G64" s="38" t="inlineStr">
        <is>
          <t>บอกให้ผู้ป่วยหาคนมาดูแลเรื่องยา</t>
        </is>
      </c>
      <c r="H64" s="38" t="inlineStr">
        <is>
          <t>ท าแผ่นพับภาษาไทย แนบให้ผู้ป่วยไปใช้</t>
        </is>
      </c>
      <c r="I64" s="37" t="inlineStr">
        <is>
          <t>1</t>
        </is>
      </c>
      <c r="J64" s="38"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38" t="n"/>
      <c r="L64" s="39" t="inlineStr">
        <is>
          <t>Headache</t>
        </is>
      </c>
      <c r="M64" s="39" t="inlineStr">
        <is>
          <t>Headache &amp; Migraine</t>
        </is>
      </c>
      <c r="N64" s="38" t="inlineStr">
        <is>
          <t>Mock PLE-CC 1 ข้อ 107</t>
        </is>
      </c>
      <c r="O64" s="39" t="n"/>
      <c r="P64" s="39" t="n"/>
      <c r="Q64" s="2" t="n"/>
    </row>
    <row r="65" ht="13.2" customHeight="1" s="49">
      <c r="A65" s="37" t="n">
        <v>63</v>
      </c>
      <c r="B65" s="38" t="inlineStr">
        <is>
          <t>อาการของผู้ป่วยรายนี้ถือว่าเป็นการปวดหัวแบบใด</t>
        </is>
      </c>
      <c r="C65" s="38" t="n"/>
      <c r="D65" s="38" t="inlineStr">
        <is>
          <t>Tension-type headache</t>
        </is>
      </c>
      <c r="E65" s="38" t="inlineStr">
        <is>
          <t>Migraine headache</t>
        </is>
      </c>
      <c r="F65" s="38" t="inlineStr">
        <is>
          <t>Cluster headache</t>
        </is>
      </c>
      <c r="G65" s="38" t="inlineStr">
        <is>
          <t>Sinusitis headache</t>
        </is>
      </c>
      <c r="H65" s="38" t="inlineStr">
        <is>
          <t>Thunderclap headache</t>
        </is>
      </c>
      <c r="I65" s="37" t="inlineStr">
        <is>
          <t>1</t>
        </is>
      </c>
      <c r="J65" s="38" t="inlineStr">
        <is>
          <t>✅ คำตอบที่ถูกต้อง: ข้อ ก. Medication-Overuse Headache (MOH / Rebound headache)
💡 Background: ภาวะปวดศีรษะจากการใช้ยาแก้ปวดเกินขนาด (Medication-Overuse Headache)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
📖 Guideline อ้างอิง: International Classification of Headache Disorders (ICHD-3)
📌 จุดจำก่อนสอบ: ยาแก้ปวดใช้เกินขนาดทำให้เกิด MOH: Triptans/Ergot/Opioids เกิน 10 วัน/เดือน, Paracetamol/NSAIDs เกิน 15 วัน/เดือน เกิน 3 เดือน</t>
        </is>
      </c>
      <c r="K65" s="38" t="n"/>
      <c r="L65" s="39" t="inlineStr">
        <is>
          <t>Pain management</t>
        </is>
      </c>
      <c r="M65" s="39" t="inlineStr">
        <is>
          <t>Headache &amp; Migraine</t>
        </is>
      </c>
      <c r="N65" s="38" t="inlineStr">
        <is>
          <t>Mock PLE-CC 1 ข้อ 108</t>
        </is>
      </c>
      <c r="O65" s="39" t="n"/>
      <c r="P65" s="39" t="n"/>
      <c r="Q65" s="2" t="n"/>
    </row>
    <row r="66" ht="13.2" customHeight="1" s="49">
      <c r="A66" s="37" t="n">
        <v>64</v>
      </c>
      <c r="B66" s="38" t="inlineStr">
        <is>
          <t>ให้บอกแผนการรักษาที่เหมาะสมกับผู้ป่วยรายนี้</t>
        </is>
      </c>
      <c r="C66" s="38" t="n"/>
      <c r="D66" s="38" t="inlineStr">
        <is>
          <t>Diclofenac</t>
        </is>
      </c>
      <c r="E66" s="38" t="inlineStr">
        <is>
          <t>Paracetamol</t>
        </is>
      </c>
      <c r="F66" s="38" t="inlineStr">
        <is>
          <t>Dexamethasone</t>
        </is>
      </c>
      <c r="G66" s="38" t="inlineStr">
        <is>
          <t>Eleptriptan</t>
        </is>
      </c>
      <c r="H66" s="38" t="inlineStr">
        <is>
          <t>Nortriptyline</t>
        </is>
      </c>
      <c r="I66" s="37" t="inlineStr">
        <is>
          <t>1</t>
        </is>
      </c>
      <c r="J66" s="38"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38" t="n"/>
      <c r="L66" s="39" t="inlineStr">
        <is>
          <t>Headache</t>
        </is>
      </c>
      <c r="M66" s="39" t="inlineStr">
        <is>
          <t>Headache &amp; Migraine</t>
        </is>
      </c>
      <c r="N66" s="38" t="inlineStr">
        <is>
          <t>Mock PLE-CC 1 ข้อ 109</t>
        </is>
      </c>
      <c r="O66" s="39" t="n"/>
      <c r="P66" s="39" t="n"/>
      <c r="Q66" s="2" t="n"/>
    </row>
    <row r="67" ht="13.2" customHeight="1" s="49">
      <c r="A67" s="37" t="n">
        <v>65</v>
      </c>
      <c r="B67" s="38" t="inlineStr">
        <is>
          <t>ผู้ป่วยรายนี้ไม่ควรได้รับยาป้องกันไมเกรนในข้อใด เพราะจะทำให้อาการของโรคซึมเศร้าแย่ลง</t>
        </is>
      </c>
      <c r="C67" s="38" t="n"/>
      <c r="D67" s="38" t="inlineStr">
        <is>
          <t>Topiramate</t>
        </is>
      </c>
      <c r="E67" s="38" t="inlineStr">
        <is>
          <t>Atenolol</t>
        </is>
      </c>
      <c r="F67" s="38" t="inlineStr">
        <is>
          <t>Vitamin B6</t>
        </is>
      </c>
      <c r="G67" s="38" t="inlineStr">
        <is>
          <t>amitriptyline</t>
        </is>
      </c>
      <c r="H67" s="38" t="inlineStr">
        <is>
          <t>flunarizine</t>
        </is>
      </c>
      <c r="I67" s="37" t="inlineStr">
        <is>
          <t>1</t>
        </is>
      </c>
      <c r="J67" s="38"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38" t="n"/>
      <c r="L67" s="39" t="inlineStr">
        <is>
          <t>Headache</t>
        </is>
      </c>
      <c r="M67" s="39" t="inlineStr">
        <is>
          <t>Headache &amp; Migraine</t>
        </is>
      </c>
      <c r="N67" s="38" t="inlineStr">
        <is>
          <t>Mock PLE-CC 1 ข้อ 110</t>
        </is>
      </c>
      <c r="O67" s="39" t="n"/>
      <c r="P67" s="39" t="n"/>
      <c r="Q67" s="2" t="n"/>
    </row>
    <row r="68" ht="13.2" customHeight="1" s="49">
      <c r="A68" s="37" t="n">
        <v>66</v>
      </c>
      <c r="B68" s="38" t="inlineStr">
        <is>
          <t>ผู้ป่วยที่ใช้ NSAIDS (เช่น naproxen) ในการรักษาไมเกรนบ่อยเกินไป อาจทำให้เกิดภาวะใด</t>
        </is>
      </c>
      <c r="C68" s="38" t="n"/>
      <c r="D68" s="38" t="inlineStr">
        <is>
          <t>rebound hypertension</t>
        </is>
      </c>
      <c r="E68" s="38" t="inlineStr">
        <is>
          <t>Medication overuse headache</t>
        </is>
      </c>
      <c r="F68" s="38" t="inlineStr">
        <is>
          <t>Serotonin syndrome</t>
        </is>
      </c>
      <c r="G68" s="38" t="inlineStr">
        <is>
          <t>orthostatic hypotension</t>
        </is>
      </c>
      <c r="H68" s="38" t="inlineStr">
        <is>
          <t>parkinsonism</t>
        </is>
      </c>
      <c r="I68" s="37" t="inlineStr">
        <is>
          <t>1</t>
        </is>
      </c>
      <c r="J68" s="38"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38" t="n"/>
      <c r="L68" s="39" t="inlineStr">
        <is>
          <t>Headache</t>
        </is>
      </c>
      <c r="M68" s="39" t="inlineStr">
        <is>
          <t>Headache &amp; Migraine</t>
        </is>
      </c>
      <c r="N68" s="38" t="inlineStr">
        <is>
          <t>Mock PLE-CC 1 ข้อ 112</t>
        </is>
      </c>
      <c r="O68" s="39" t="n"/>
      <c r="P68" s="39" t="n"/>
      <c r="Q68" s="2" t="n"/>
    </row>
    <row r="69" ht="13.2" customHeight="1" s="49">
      <c r="A69" s="37" t="n">
        <v>67</v>
      </c>
      <c r="B69" s="38" t="inlineStr">
        <is>
          <t>ยากันชักที่ใช้ในคนตั้งครรภ์. ตัวเลือก</t>
        </is>
      </c>
      <c r="C69" s="38" t="n"/>
      <c r="D69" s="38" t="inlineStr">
        <is>
          <t>Neurologic Disorder</t>
        </is>
      </c>
      <c r="E69" s="38" t="inlineStr">
        <is>
          <t>Levodopa/Benserazide 100/25 mg TID</t>
        </is>
      </c>
      <c r="F69" s="38" t="inlineStr">
        <is>
          <t>Sumatriptan 50 mg stat</t>
        </is>
      </c>
      <c r="G69" s="38" t="inlineStr">
        <is>
          <t>Propranolol 40 mg BID</t>
        </is>
      </c>
      <c r="H69" s="38" t="inlineStr">
        <is>
          <t>Topiramate 25 mg BID</t>
        </is>
      </c>
      <c r="I69" s="37" t="inlineStr">
        <is>
          <t>1</t>
        </is>
      </c>
      <c r="J69"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9" s="38" t="n"/>
      <c r="L69" s="39" t="inlineStr">
        <is>
          <t>Epilepsy</t>
        </is>
      </c>
      <c r="M69" s="39" t="inlineStr">
        <is>
          <t>Neurologic Disorder</t>
        </is>
      </c>
      <c r="N69" s="38" t="inlineStr">
        <is>
          <t>PLE-CC1 ปี 2566 Day 1 ข้อ 6</t>
        </is>
      </c>
      <c r="O69" s="39" t="n"/>
      <c r="P69" s="39" t="n"/>
    </row>
    <row r="70" ht="13.2" customHeight="1" s="49">
      <c r="A70" s="37" t="n">
        <v>68</v>
      </c>
      <c r="B70" s="38" t="inlineStr">
        <is>
          <t>sodium valproate</t>
        </is>
      </c>
      <c r="C70" s="38" t="n"/>
      <c r="D70" s="38" t="inlineStr">
        <is>
          <t>Neurologic Disorder</t>
        </is>
      </c>
      <c r="E70" s="38" t="inlineStr">
        <is>
          <t>Topiramate 25 mg BID</t>
        </is>
      </c>
      <c r="F70" s="38" t="inlineStr">
        <is>
          <t>Donepezil 5 mg HS</t>
        </is>
      </c>
      <c r="G70" s="38" t="inlineStr">
        <is>
          <t>Alteplase (rtPA) 0.9 mg/kg IV</t>
        </is>
      </c>
      <c r="H70" s="38" t="inlineStr">
        <is>
          <t>Phenytoin 100 mg TID</t>
        </is>
      </c>
      <c r="I70" s="37" t="inlineStr">
        <is>
          <t>1</t>
        </is>
      </c>
      <c r="J70"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38" t="n"/>
      <c r="L70" s="39" t="inlineStr">
        <is>
          <t>Headache</t>
        </is>
      </c>
      <c r="M70" s="39" t="inlineStr">
        <is>
          <t>Neurologic Disorder</t>
        </is>
      </c>
      <c r="N70" s="38" t="inlineStr">
        <is>
          <t>PLE-CC1 ปี 2566 Day 1 ข้อ 3</t>
        </is>
      </c>
      <c r="O70" s="39" t="n"/>
      <c r="P70" s="39" t="n"/>
    </row>
    <row r="71" ht="13.2" customHeight="1" s="49">
      <c r="A71" s="37" t="n">
        <v>69</v>
      </c>
      <c r="B71" s="38" t="inlineStr">
        <is>
          <t>Mechanism ของphenytoin . ตัวเลือก</t>
        </is>
      </c>
      <c r="C71" s="38" t="n"/>
      <c r="D71" s="38" t="inlineStr">
        <is>
          <t>Neurologic Disorder</t>
        </is>
      </c>
      <c r="E71" s="38" t="inlineStr">
        <is>
          <t>Phenytoin 100 mg TID</t>
        </is>
      </c>
      <c r="F71" s="38" t="inlineStr">
        <is>
          <t>Sodium valproate 200 mg TID</t>
        </is>
      </c>
      <c r="G71" s="38" t="inlineStr">
        <is>
          <t>Carbamazepine 200 mg BID</t>
        </is>
      </c>
      <c r="H71" s="38" t="inlineStr">
        <is>
          <t>Lamotrigine 50 mg OD</t>
        </is>
      </c>
      <c r="I71" s="37" t="inlineStr">
        <is>
          <t>1</t>
        </is>
      </c>
      <c r="J71"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1" s="38" t="n"/>
      <c r="L71" s="39" t="inlineStr">
        <is>
          <t>Epilepsy</t>
        </is>
      </c>
      <c r="M71" s="39" t="inlineStr">
        <is>
          <t>Neurologic Disorder</t>
        </is>
      </c>
      <c r="N71" s="38" t="inlineStr">
        <is>
          <t>PLE-CC1 ปี 2566 Day 1 ข้อ 7</t>
        </is>
      </c>
      <c r="O71" s="39" t="n"/>
      <c r="P71" s="39" t="n"/>
    </row>
    <row r="72" ht="13.2" customHeight="1" s="49">
      <c r="A72" s="37" t="n">
        <v>70</v>
      </c>
      <c r="B72" s="38" t="inlineStr">
        <is>
          <t>Non linear pharmacokinetics ของphenytoin . ตัวเลือก</t>
        </is>
      </c>
      <c r="C72" s="38" t="n"/>
      <c r="D72" s="38" t="inlineStr">
        <is>
          <t>Neurologic Disorder</t>
        </is>
      </c>
      <c r="E72" s="38" t="inlineStr">
        <is>
          <t>Lamotrigine 50 mg OD</t>
        </is>
      </c>
      <c r="F72" s="38" t="inlineStr">
        <is>
          <t>Levetiracetam 500 mg BID</t>
        </is>
      </c>
      <c r="G72" s="38" t="inlineStr">
        <is>
          <t>Gabapentin 300 mg TID</t>
        </is>
      </c>
      <c r="H72" s="38" t="inlineStr">
        <is>
          <t>Pregabalin 75 mg BID</t>
        </is>
      </c>
      <c r="I72" s="37" t="inlineStr">
        <is>
          <t>1</t>
        </is>
      </c>
      <c r="J72"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Lamotrigine 50 mg OD เป็น broad-spectrum antiepileptic drug ที่มี linear pharmacokinetics ขับออกผ่านการ glucuronidation โดยต้องค่อยๆ ปรับขนาดยาอย่างช้าๆ (slow titration) เพื่อป้องกันการเกิดผื่นแพ้ยารุนแรง (SJS/TEN)
- ข้อ ค. Levetiracetam 500 mg BID มี linear pharmacokinetics อัตราการดูดซึมคงที่ ไม่จับกับโปรตีนในพลาสมาและไม่มี hepatic enzyme induction/inhibition ขับออกทางไตเป็นหลัก จึงมี drug interactions ต่ำมาก
- ข้อ ง. Gabapentin 300 mg TID ดูดซึมผ่าน L-amino acid transport system ในลำไส้เล็กซึ่งมีภาวะอิ่มตัวของการดูดซึม (saturable absorption) ทำให้ bioavailability ลดลงเมื่อขนาดยาสูงขึ้น แต่ขับออกทางไตแบบ linear renal clearance ไม่ได้มี non-linear hepatic elimination เหมือน phenytoin
- ข้อ จ. Pregabalin 75 mg BID มี linear and dose-proportional pharmacokinetics ที่คาดเดาได้ง่าย มี bioavailability สูงกว่า 90% และขับออกทางไตในรูปที่ไม่เปลี่ยนแปลงโดยไม่ผ่านการเมแทบอลิซึมที่ตับ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2" s="38" t="n"/>
      <c r="L72" s="39" t="inlineStr">
        <is>
          <t>Epilepsy</t>
        </is>
      </c>
      <c r="M72" s="39" t="inlineStr">
        <is>
          <t>Neurologic Disorder</t>
        </is>
      </c>
      <c r="N72" s="38" t="inlineStr">
        <is>
          <t>PLE-CC1 ปี 2566 Day 1 ข้อ 8</t>
        </is>
      </c>
      <c r="O72" s="39" t="n"/>
      <c r="P72" s="39" t="n"/>
    </row>
    <row r="73" ht="13.2" customHeight="1" s="49">
      <c r="A73" s="37" t="n">
        <v>71</v>
      </c>
      <c r="B73" s="38" t="inlineStr">
        <is>
          <t>พิษของphenytoin ตัวเลือก</t>
        </is>
      </c>
      <c r="C73" s="38" t="n"/>
      <c r="D73" s="38" t="inlineStr">
        <is>
          <t>Neurologic Disorder</t>
        </is>
      </c>
      <c r="E73" s="38" t="inlineStr">
        <is>
          <t>Pregabalin 75 mg BID</t>
        </is>
      </c>
      <c r="F73" s="38" t="inlineStr">
        <is>
          <t>Levodopa/Benserazide 100/25 mg TID</t>
        </is>
      </c>
      <c r="G73" s="38" t="inlineStr">
        <is>
          <t>Sumatriptan 50 mg stat</t>
        </is>
      </c>
      <c r="H73" s="38" t="inlineStr">
        <is>
          <t>Propranolol 40 mg BID</t>
        </is>
      </c>
      <c r="I73" s="37" t="inlineStr">
        <is>
          <t>1</t>
        </is>
      </c>
      <c r="J73" s="38"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 gabapentinoid ออกฤทธิ์จับกับ alpha-2-delta subunit ของ voltage-gated calcium channels มี therapeutic window กว้าง ผลข้างเคียงที่พบบ่อยได้แก่ เวียนศีรษะ ง่วงซึม บวมน้ำส่วนปลาย และน้ำหนักขึ้น ไม่พบพิษรุนแรงทาง cerebellar degeneration เหมือน phenytoin
- ข้อ ค. Levodopa/Benserazide 100/25 mg TID เป็น dopamine precursor เสริมสารสื่อประสาทโดปามีนในโรคพาร์กินสัน ผลข้างเคียงเฉียบพลันได้แก่ คลื่นไส้ ความดันตกในท่ายืน และการใช้ระยะยาวนำไปสู่ motor fluctuations และ dyskinesia
- ข้อ ง. Sumatriptan 50 mg stat เป็น 5-HT1B/1D receptor agonist ใช้ระงับอาการปวดไมเกรนเฉียบพลัน มีผลข้างเคียงทำให้เกิด triptan sensations แน่นหน้าอก และมีข้อห้ามใช้เด็ดขาดในผู้ป่วย coronary artery disease, peripheral vascular disease หรือ uncontrolled hypertension
- ข้อ จ. Propranolol 40 mg BID เป็น non-selective beta-blocker ลดอัตราการเต้นของหัวใจและความดันโลหิต ผลข้างเคียงสำคัญคือ bradycardia, bronchospasm ในผู้ป่วยหอบหืด, fatigue และบดบังอาการ hypoglycemia ในผู้ป่วยเบาหวาน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3" s="38" t="n"/>
      <c r="L73" s="39" t="inlineStr">
        <is>
          <t>Epilepsy</t>
        </is>
      </c>
      <c r="M73" s="39" t="inlineStr">
        <is>
          <t>Neurologic Disorder</t>
        </is>
      </c>
      <c r="N73" s="38" t="inlineStr">
        <is>
          <t>PLE-CC1 ปี 2566 Day 1 ข้อ 31</t>
        </is>
      </c>
      <c r="O73" s="39" t="n"/>
      <c r="P73" s="39" t="n"/>
    </row>
    <row r="74" ht="13.2" customHeight="1" s="49">
      <c r="A74" s="37" t="n">
        <v>72</v>
      </c>
      <c r="B74" s="38" t="inlineStr">
        <is>
          <t>Prophylaxis migraine มีประวัติเศร้าหม่นควรใช้ยาอะไร. ตัวเลือก</t>
        </is>
      </c>
      <c r="C74" s="38" t="n"/>
      <c r="D74" s="38" t="inlineStr">
        <is>
          <t>Neurologic Disorder</t>
        </is>
      </c>
      <c r="E74" s="38" t="inlineStr">
        <is>
          <t>Propranolol 40 mg BID</t>
        </is>
      </c>
      <c r="F74" s="38" t="inlineStr">
        <is>
          <t>Topiramate 25 mg BID</t>
        </is>
      </c>
      <c r="G74" s="38" t="inlineStr">
        <is>
          <t>Donepezil 5 mg HS</t>
        </is>
      </c>
      <c r="H74" s="38" t="inlineStr">
        <is>
          <t>Alteplase (rtPA) 0.9 mg/kg IV</t>
        </is>
      </c>
      <c r="I74" s="37" t="inlineStr">
        <is>
          <t>1</t>
        </is>
      </c>
      <c r="J7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Propranolol 40 mg BID เป็น first-line migraine prophylaxis ในกลุ่ม non-selective beta-blocker แต่มีข้อควรระวังสำคัญคืออาจทำให้เกิดหรือทำให้อาการของโรคซึมเศร้า (depression) แย่ลง รวมถึงอ่อนเพลียและฝันร้าย จึงไม่เหมาะกับผู้ป่วยที่มีประวัติเศร้าหม่น
- ข้อ ค. Topiramate 25 mg BID แม้มีประสิทธิภาพสูงในการป้องกันไมเกรนและช่วยลดน้ำหนัก แต่มีผลข้างเคียงเด่นต่อระบบประสาทและอารมณ์ ได้แก่ psychomotor slowing, cognitive impairment, memory difficulty และอาจกระตุ้น depressive mood หรือ suicidal ideation ได้
- ข้อ ง. Donepezil 5 mg HS เป็น centrally acting reversible acetylcholinesterase inhibitor สำหรับรักษาอาการสมองเสื่อมในโรคอัลไซเมอร์ ไม่มีข้อบ่งใช้หรือประสิทธิภาพในการป้องกันการปวดศีรษะไมเกรน
- ข้อ จ. Alteplase (rtPA) 0.9 mg/kg IV เป็นยาฉีดสลายลิ่มเลือด (thrombolytic agent) ในภาวะ acute ischemic stroke เฉียบพลัน มีความเสี่ยงต่อ fatal intracranial hemorrhage สูงมาก ไม่มีบทบาทในการป้องกันไมเกรน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4" s="38" t="n"/>
      <c r="L74" s="39" t="inlineStr">
        <is>
          <t>Headache</t>
        </is>
      </c>
      <c r="M74" s="39" t="inlineStr">
        <is>
          <t>Neurologic Disorder</t>
        </is>
      </c>
      <c r="N74" s="38" t="inlineStr">
        <is>
          <t>PLE-CC1 ปี 2566 Day 2 ข้อ 19</t>
        </is>
      </c>
      <c r="O74" s="39" t="n"/>
      <c r="P74" s="39" t="n"/>
    </row>
    <row r="75" ht="13.2" customHeight="1" s="49">
      <c r="A75" s="37" t="n">
        <v>73</v>
      </c>
      <c r="B75" s="38" t="inlineStr">
        <is>
          <t>Migraine headaches</t>
        </is>
      </c>
      <c r="C75" s="38" t="n"/>
      <c r="D75" s="38" t="inlineStr">
        <is>
          <t>Neurologic Disorder</t>
        </is>
      </c>
      <c r="E75" s="38" t="inlineStr">
        <is>
          <t>Alteplase (rtPA) 0.9 mg/kg IV</t>
        </is>
      </c>
      <c r="F75" s="38" t="inlineStr">
        <is>
          <t>Phenytoin 100 mg TID</t>
        </is>
      </c>
      <c r="G75" s="38" t="inlineStr">
        <is>
          <t>Sodium valproate 200 mg TID</t>
        </is>
      </c>
      <c r="H75" s="38" t="inlineStr">
        <is>
          <t>Carbamazepine 200 mg BID</t>
        </is>
      </c>
      <c r="I75" s="37" t="inlineStr">
        <is>
          <t>1</t>
        </is>
      </c>
      <c r="J75"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38" t="n"/>
      <c r="L75" s="39" t="inlineStr">
        <is>
          <t>Headache</t>
        </is>
      </c>
      <c r="M75" s="39" t="inlineStr">
        <is>
          <t>Neurologic Disorder</t>
        </is>
      </c>
      <c r="N75" s="38" t="inlineStr">
        <is>
          <t>PLE-CC1 ปี 2566 Day 2 ข้อ 1</t>
        </is>
      </c>
      <c r="O75" s="39" t="n"/>
      <c r="P75" s="39" t="n"/>
    </row>
    <row r="76" ht="13.2" customHeight="1" s="49">
      <c r="A76" s="37" t="n">
        <v>74</v>
      </c>
      <c r="B76" s="38" t="inlineStr">
        <is>
          <t>Tension headaches</t>
        </is>
      </c>
      <c r="C76" s="38" t="n"/>
      <c r="D76" s="38" t="inlineStr">
        <is>
          <t>Neurologic Disorder</t>
        </is>
      </c>
      <c r="E76" s="38" t="inlineStr">
        <is>
          <t>Carbamazepine 200 mg BID</t>
        </is>
      </c>
      <c r="F76" s="38" t="inlineStr">
        <is>
          <t>Lamotrigine 50 mg OD</t>
        </is>
      </c>
      <c r="G76" s="38" t="inlineStr">
        <is>
          <t>Levetiracetam 500 mg BID</t>
        </is>
      </c>
      <c r="H76" s="38" t="inlineStr">
        <is>
          <t>Gabapentin 300 mg TID</t>
        </is>
      </c>
      <c r="I76" s="37" t="inlineStr">
        <is>
          <t>1</t>
        </is>
      </c>
      <c r="J76"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38" t="n"/>
      <c r="L76" s="39" t="inlineStr">
        <is>
          <t>Headache</t>
        </is>
      </c>
      <c r="M76" s="39" t="inlineStr">
        <is>
          <t>Neurologic Disorder</t>
        </is>
      </c>
      <c r="N76" s="38" t="inlineStr">
        <is>
          <t>PLE-CC1 ปี 2566 Day 2 ข้อ 2</t>
        </is>
      </c>
      <c r="O76" s="39" t="n"/>
      <c r="P76" s="39" t="n"/>
    </row>
    <row r="77" ht="13.2" customHeight="1" s="49">
      <c r="A77" s="37" t="n">
        <v>75</v>
      </c>
      <c r="B77" s="38" t="inlineStr">
        <is>
          <t>Cluster headaches</t>
        </is>
      </c>
      <c r="C77" s="38" t="n"/>
      <c r="D77" s="38" t="inlineStr">
        <is>
          <t>Neurologic Disorder</t>
        </is>
      </c>
      <c r="E77" s="38" t="inlineStr">
        <is>
          <t>Gabapentin 300 mg TID</t>
        </is>
      </c>
      <c r="F77" s="38" t="inlineStr">
        <is>
          <t>Pregabalin 75 mg BID</t>
        </is>
      </c>
      <c r="G77" s="38" t="inlineStr">
        <is>
          <t>Levodopa/Benserazide 100/25 mg TID</t>
        </is>
      </c>
      <c r="H77" s="38" t="inlineStr">
        <is>
          <t>Sumatriptan 50 mg stat</t>
        </is>
      </c>
      <c r="I77" s="37" t="inlineStr">
        <is>
          <t>1</t>
        </is>
      </c>
      <c r="J77"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38" t="n"/>
      <c r="L77" s="39" t="inlineStr">
        <is>
          <t>Headache</t>
        </is>
      </c>
      <c r="M77" s="39" t="inlineStr">
        <is>
          <t>Neurologic Disorder</t>
        </is>
      </c>
      <c r="N77" s="38" t="inlineStr">
        <is>
          <t>PLE-CC1 ปี 2566 Day 2 ข้อ 3</t>
        </is>
      </c>
      <c r="O77" s="39" t="n"/>
      <c r="P77" s="39" t="n"/>
    </row>
    <row r="78" ht="13.2" customHeight="1" s="49">
      <c r="A78" s="37" t="n">
        <v>76</v>
      </c>
      <c r="B78" s="38" t="inlineStr">
        <is>
          <t>Secondary headaches</t>
        </is>
      </c>
      <c r="C78" s="38" t="n"/>
      <c r="D78" s="38" t="inlineStr">
        <is>
          <t>Neurologic Disorder</t>
        </is>
      </c>
      <c r="E78" s="38" t="inlineStr">
        <is>
          <t>Sumatriptan 50 mg stat</t>
        </is>
      </c>
      <c r="F78" s="38" t="inlineStr">
        <is>
          <t>Propranolol 40 mg BID</t>
        </is>
      </c>
      <c r="G78" s="38" t="inlineStr">
        <is>
          <t>Topiramate 25 mg BID</t>
        </is>
      </c>
      <c r="H78" s="38" t="inlineStr">
        <is>
          <t>Donepezil 5 mg HS</t>
        </is>
      </c>
      <c r="I78" s="37" t="inlineStr">
        <is>
          <t>1</t>
        </is>
      </c>
      <c r="J78"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38" t="n"/>
      <c r="L78" s="39" t="inlineStr">
        <is>
          <t>Headache</t>
        </is>
      </c>
      <c r="M78" s="39" t="inlineStr">
        <is>
          <t>Neurologic Disorder</t>
        </is>
      </c>
      <c r="N78" s="38" t="inlineStr">
        <is>
          <t>PLE-CC1 ปี 2566 Day 2 ข้อ 4</t>
        </is>
      </c>
      <c r="O78" s="39" t="n"/>
      <c r="P78" s="39" t="n"/>
    </row>
    <row r="79" ht="13.2" customHeight="1" s="49">
      <c r="A79" s="37" t="n">
        <v>77</v>
      </c>
      <c r="B79" s="38" t="inlineStr">
        <is>
          <t>สาเหตุที่ควรprophylaxis migraine. ตัวเลือก</t>
        </is>
      </c>
      <c r="C79" s="38" t="n"/>
      <c r="D79" s="38" t="inlineStr">
        <is>
          <t>Neurologic Disorder</t>
        </is>
      </c>
      <c r="E79" s="38" t="inlineStr">
        <is>
          <t>Donepezil 5 mg HS</t>
        </is>
      </c>
      <c r="F79" s="38" t="inlineStr">
        <is>
          <t>Alteplase (rtPA) 0.9 mg/kg IV</t>
        </is>
      </c>
      <c r="G79" s="38" t="inlineStr">
        <is>
          <t>Phenytoin 100 mg TID</t>
        </is>
      </c>
      <c r="H79" s="38" t="inlineStr">
        <is>
          <t>Sodium valproate 200 mg TID</t>
        </is>
      </c>
      <c r="I79" s="37" t="inlineStr">
        <is>
          <t>1</t>
        </is>
      </c>
      <c r="J79"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38" t="n"/>
      <c r="L79" s="39" t="inlineStr">
        <is>
          <t>Headache</t>
        </is>
      </c>
      <c r="M79" s="39" t="inlineStr">
        <is>
          <t>Neurologic Disorder</t>
        </is>
      </c>
      <c r="N79" s="38" t="inlineStr">
        <is>
          <t>PLE-CC1 ปี 2566 Day 2 ข้อ 21</t>
        </is>
      </c>
      <c r="O79" s="39" t="n"/>
      <c r="P79" s="39" t="n"/>
    </row>
    <row r="80" ht="13.2" customHeight="1" s="49">
      <c r="A80" s="37" t="n">
        <v>78</v>
      </c>
      <c r="B80" s="38" t="inlineStr">
        <is>
          <t>.การศึกษาMeta-analysis ว่าการใช้propranololสามารถป้องกันการเกิดไมเกรนได้หรือไม่ข้อใดถูกต้อง ตัวเลือก</t>
        </is>
      </c>
      <c r="C80" s="38" t="n"/>
      <c r="D80" s="38" t="inlineStr">
        <is>
          <t>Neurologic Disorder</t>
        </is>
      </c>
      <c r="E80" s="38" t="inlineStr">
        <is>
          <t>Sodium valproate 200 mg TID</t>
        </is>
      </c>
      <c r="F80" s="38" t="inlineStr">
        <is>
          <t>Carbamazepine 200 mg BID</t>
        </is>
      </c>
      <c r="G80" s="38" t="inlineStr">
        <is>
          <t>Lamotrigine 50 mg OD</t>
        </is>
      </c>
      <c r="H80" s="38" t="inlineStr">
        <is>
          <t>Levetiracetam 500 mg BID</t>
        </is>
      </c>
      <c r="I80" s="37" t="inlineStr">
        <is>
          <t>1</t>
        </is>
      </c>
      <c r="J80"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38" t="n"/>
      <c r="L80" s="39" t="inlineStr">
        <is>
          <t>Headache</t>
        </is>
      </c>
      <c r="M80" s="39" t="inlineStr">
        <is>
          <t>Neurologic Disorder</t>
        </is>
      </c>
      <c r="N80" s="38" t="inlineStr">
        <is>
          <t>PLE-CC1 ปี 2566 Day 2 ข้อ 85</t>
        </is>
      </c>
      <c r="O80" s="39" t="n"/>
      <c r="P80" s="39" t="n"/>
    </row>
    <row r="81" ht="13.2" customHeight="1" s="49">
      <c r="A81" s="37" t="n">
        <v>79</v>
      </c>
      <c r="B81" s="38" t="inlineStr">
        <is>
          <t>ISDN Sublingual ไม;ตองทดสอบเรื่องอะไร 120-130 / 70-79 mmHg (Thai guideline on the treatment of hypertension 2015)</t>
        </is>
      </c>
      <c r="C81" s="38" t="n"/>
      <c r="D81" s="38" t="inlineStr">
        <is>
          <t>friability</t>
        </is>
      </c>
      <c r="E81" s="38" t="inlineStr">
        <is>
          <t>Disintegration</t>
        </is>
      </c>
      <c r="F81" s="38" t="inlineStr">
        <is>
          <t>Dissolution time</t>
        </is>
      </c>
      <c r="G81" s="38" t="inlineStr">
        <is>
          <t>Thickness</t>
        </is>
      </c>
      <c r="H81" s="38" t="inlineStr">
        <is>
          <t>Content uniformity ยาเ,น@ปแบบอมใCDน จะเ.ด disintegration แGวเIาJKางกายไLโดยไ"เ.ดการละลาย 0งไ"Oเ,นCองทดสอบการละลาย</t>
        </is>
      </c>
      <c r="I81" s="37" t="inlineStr">
        <is>
          <t>1</t>
        </is>
      </c>
      <c r="J81" s="38"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38" t="n"/>
      <c r="L81" s="39" t="inlineStr">
        <is>
          <t>Headache</t>
        </is>
      </c>
      <c r="M81" s="39" t="inlineStr">
        <is>
          <t>Neurologic Disorder</t>
        </is>
      </c>
      <c r="N81" s="38" t="inlineStr">
        <is>
          <t>PLE_CC1_2565_Day1_Key ข้อ 4</t>
        </is>
      </c>
      <c r="O81" s="39" t="n"/>
      <c r="P81" s="39" t="n"/>
      <c r="Q81" s="2" t="n"/>
    </row>
    <row r="82" ht="13.2" customHeight="1" s="49">
      <c r="A82" s="37" t="n">
        <v>80</v>
      </c>
      <c r="B82" s="38" t="inlineStr">
        <is>
          <t>หากแพทย6เลือกใช$ topiramate เพื่อป¢องกันการปวดศีรษะจากไมเกรน ข$อใดถูกต$องเกี่ยวกับยานี้ ไWแcใจ</t>
        </is>
      </c>
      <c r="C82" s="38" t="n"/>
      <c r="D82" s="38" t="inlineStr">
        <is>
          <t>มีโอกาสเกิด cross allergy กับ cotrimoxazole ได$สูงมาก</t>
        </is>
      </c>
      <c r="E82" s="38" t="inlineStr">
        <is>
          <t>ค-อยๆ ปรับเพิ่มขนาดยาจนถึง target dose หรือจนกว-าจะทนผลข$างเคียงยาไม-ได$</t>
        </is>
      </c>
      <c r="F82" s="38" t="inlineStr">
        <is>
          <t>ใช$เวลา 2-4 สัปดาห6จึงจะเห็นผลการรักษา</t>
        </is>
      </c>
      <c r="G82" s="38" t="inlineStr">
        <is>
          <t>ต$องใช$ยาอย-างน$อย 6 เดือน</t>
        </is>
      </c>
      <c r="H82" s="38" t="inlineStr">
        <is>
          <t>ใช$ Maintain dose น$อยกว-าการให$เพื่อรักษาอาการชัก กรณีศึกษา 7</t>
        </is>
      </c>
      <c r="I82" s="37" t="inlineStr">
        <is>
          <t>1</t>
        </is>
      </c>
      <c r="J82" s="38" t="inlineStr">
        <is>
          <t>✅ คำตอบที่ถูกต้อง: ข้อ ก. มีโอกาสเกิด cross allergy กับ cotrimoxazole ได$สูงมาก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38" t="n"/>
      <c r="L82" s="39" t="inlineStr">
        <is>
          <t>Headache</t>
        </is>
      </c>
      <c r="M82" s="39" t="inlineStr">
        <is>
          <t>Neurologic Disorder</t>
        </is>
      </c>
      <c r="N82" s="38" t="inlineStr">
        <is>
          <t>PLE_CC1_2565_Day2_Key ข้อ 19</t>
        </is>
      </c>
      <c r="O82" s="39" t="n"/>
      <c r="P82" s="39" t="n"/>
      <c r="Q82" s="2" t="n"/>
    </row>
    <row r="83" ht="13.2" customHeight="1" s="49">
      <c r="A83" s="37" t="n">
        <v>81</v>
      </c>
      <c r="B83" s="38"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38" t="n"/>
      <c r="D83" s="38" t="inlineStr">
        <is>
          <t>Neurologic Disorder</t>
        </is>
      </c>
      <c r="E83" s="38" t="inlineStr">
        <is>
          <t>Topiramate 25 mg BID</t>
        </is>
      </c>
      <c r="F83" s="38" t="inlineStr">
        <is>
          <t>Donepezil 5 mg HS</t>
        </is>
      </c>
      <c r="G83" s="38" t="inlineStr">
        <is>
          <t>Alteplase (rtPA) 0.9 mg/kg IV</t>
        </is>
      </c>
      <c r="H83" s="38" t="inlineStr">
        <is>
          <t>Phenytoin 100 mg TID</t>
        </is>
      </c>
      <c r="I83" s="37" t="inlineStr">
        <is>
          <t>1</t>
        </is>
      </c>
      <c r="J83" s="38"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38" t="n"/>
      <c r="L83" s="39" t="inlineStr">
        <is>
          <t>Stroke</t>
        </is>
      </c>
      <c r="M83" s="39" t="inlineStr">
        <is>
          <t>Neurologic Disorder</t>
        </is>
      </c>
      <c r="N83" s="38" t="inlineStr">
        <is>
          <t>PLE_CC1_2564_All_Key ข้อ 25</t>
        </is>
      </c>
      <c r="O83" s="39" t="n"/>
      <c r="P83" s="39" t="n"/>
    </row>
    <row r="84" ht="13.2" customHeight="1" s="49">
      <c r="A84" s="37" t="n">
        <v>82</v>
      </c>
      <c r="B84" s="38" t="inlineStr">
        <is>
          <t>บอกอาการมา (หัวข้อ migraine) ถามจ่ายยาอะไรบรรเทาอาการดี</t>
        </is>
      </c>
      <c r="C84" s="38" t="n"/>
      <c r="D84" s="38" t="inlineStr">
        <is>
          <t>Neurologic Disorder</t>
        </is>
      </c>
      <c r="E84" s="38" t="inlineStr">
        <is>
          <t>gabapentin</t>
        </is>
      </c>
      <c r="F84" s="38" t="inlineStr">
        <is>
          <t>sumatriptan" "โจทย์ไม่สมบูรณ์ O O</t>
        </is>
      </c>
      <c r="G84" s="38" t="inlineStr">
        <is>
          <t>Carbamazepine 200 mg BID</t>
        </is>
      </c>
      <c r="H84" s="38" t="inlineStr">
        <is>
          <t>Lamotrigine 50 mg OD</t>
        </is>
      </c>
      <c r="I84" s="37" t="inlineStr">
        <is>
          <t>1</t>
        </is>
      </c>
      <c r="J84" s="38"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38" t="n"/>
      <c r="L84" s="39" t="inlineStr">
        <is>
          <t>Headache</t>
        </is>
      </c>
      <c r="M84" s="39" t="inlineStr">
        <is>
          <t>Neurologic Disorder</t>
        </is>
      </c>
      <c r="N84" s="38" t="inlineStr">
        <is>
          <t>PLE_CC1_2564_All_Key ข้อ 50</t>
        </is>
      </c>
      <c r="O84" s="39" t="n"/>
      <c r="P84" s="39" t="n"/>
    </row>
    <row r="85" ht="13.2" customHeight="1" s="49">
      <c r="A85" s="37" t="n">
        <v>83</v>
      </c>
      <c r="B85" s="38" t="inlineStr">
        <is>
          <t>อาการข้างเคียงใด ไม่ขึ้นกับระดับยา carbamazepine</t>
        </is>
      </c>
      <c r="C85" s="38" t="n"/>
      <c r="D85" s="38" t="inlineStr">
        <is>
          <t>Diplopia</t>
        </is>
      </c>
      <c r="E85" s="38" t="inlineStr">
        <is>
          <t>Ataxia</t>
        </is>
      </c>
      <c r="F85" s="38" t="inlineStr">
        <is>
          <t>Maculopapular eruption</t>
        </is>
      </c>
      <c r="G85" s="38" t="inlineStr">
        <is>
          <t>Dizziness</t>
        </is>
      </c>
      <c r="H85" s="38" t="inlineStr">
        <is>
          <t>Seizure</t>
        </is>
      </c>
      <c r="I85" s="37" t="inlineStr">
        <is>
          <t>1</t>
        </is>
      </c>
      <c r="J85" s="38"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38" t="n"/>
      <c r="L85" s="39" t="inlineStr">
        <is>
          <t>Epilepsy</t>
        </is>
      </c>
      <c r="M85" s="39" t="inlineStr">
        <is>
          <t>Clinic</t>
        </is>
      </c>
      <c r="N85" s="38" t="inlineStr">
        <is>
          <t>ข้อ 98 (PLE_CC1_2562_Key.md)</t>
        </is>
      </c>
      <c r="O85" s="39" t="n"/>
      <c r="P85" s="39" t="n"/>
    </row>
    <row r="86" ht="13.2" customHeight="1" s="49">
      <c r="A86" s="37" t="n">
        <v>84</v>
      </c>
      <c r="B86" s="38" t="inlineStr">
        <is>
          <t>หัวข้อใดของ carbamazepine CR ที่ไม่จำเป็นต้องตรวจตามเภสัชตำรับ controlled release</t>
        </is>
      </c>
      <c r="C86" s="38" t="n"/>
      <c r="D86" s="38" t="inlineStr">
        <is>
          <t>Dissolution</t>
        </is>
      </c>
      <c r="E86" s="38" t="inlineStr">
        <is>
          <t>Disintegration</t>
        </is>
      </c>
      <c r="F86" s="38" t="inlineStr">
        <is>
          <t>Content uniformity/weight variation</t>
        </is>
      </c>
      <c r="G86" s="38" t="inlineStr">
        <is>
          <t>Assay</t>
        </is>
      </c>
      <c r="H86" s="38" t="inlineStr">
        <is>
          <t>Impurity</t>
        </is>
      </c>
      <c r="I86" s="37" t="inlineStr">
        <is>
          <t>1</t>
        </is>
      </c>
      <c r="J86" s="38"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38" t="n"/>
      <c r="L86" s="39" t="inlineStr">
        <is>
          <t>Epilepsy</t>
        </is>
      </c>
      <c r="M86" s="39" t="inlineStr">
        <is>
          <t>Clinic</t>
        </is>
      </c>
      <c r="N86" s="38" t="inlineStr">
        <is>
          <t>ข้อ 104 (PLE_CC1_2562_Key.md)</t>
        </is>
      </c>
      <c r="O86" s="39" t="n"/>
      <c r="P86" s="39" t="n"/>
    </row>
    <row r="87" ht="13.2" customHeight="1" s="49">
      <c r="A87" s="37" t="n">
        <v>85</v>
      </c>
      <c r="B87" s="38" t="inlineStr">
        <is>
          <t>ยาใดที่ใช้ร่วมกับ fluoxetine แล้วมีผลต่อการเกิด serotonin syndrome น้อยที่สุด ~ cosiziene seats - Trendlies . -X T ↓jon ending orthostatic hypotension ~ ~ serotonin</t>
        </is>
      </c>
      <c r="C87" s="38" t="n"/>
      <c r="D87" s="38" t="inlineStr">
        <is>
          <t>Agomelatine</t>
        </is>
      </c>
      <c r="E87" s="38" t="inlineStr">
        <is>
          <t>Haloperidol</t>
        </is>
      </c>
      <c r="F87" s="38" t="inlineStr">
        <is>
          <t>Olanzapine</t>
        </is>
      </c>
      <c r="G87" s="38" t="inlineStr">
        <is>
          <t>Venlafaxine</t>
        </is>
      </c>
      <c r="H87" s="38" t="inlineStr">
        <is>
          <t>Hydroxyzine Liverse ↓ lastanerce serotonin der soos ston Parilara serotonin syndrome snasin DI rileserotonin Jessost หË´มนาÆปทาซËาทืกกรณิ ÂวËนาต้จ²ÆดËรงบ¯นืญ´ต</t>
        </is>
      </c>
      <c r="I87" s="37" t="inlineStr">
        <is>
          <t>1</t>
        </is>
      </c>
      <c r="J87" s="38"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38" t="n"/>
      <c r="L87" s="39" t="inlineStr">
        <is>
          <t>Headache</t>
        </is>
      </c>
      <c r="M87" s="39" t="inlineStr">
        <is>
          <t>Clinic</t>
        </is>
      </c>
      <c r="N87" s="38" t="inlineStr">
        <is>
          <t>ข้อ 6 (PLE_CC1_2562_Key.md)</t>
        </is>
      </c>
      <c r="O87" s="39" t="n"/>
      <c r="P87" s="39" t="n"/>
    </row>
    <row r="88" ht="13.2" customHeight="1" s="49">
      <c r="A88" s="37" t="n">
        <v>86</v>
      </c>
      <c r="B88" s="38"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38" t="n"/>
      <c r="D88" s="38" t="inlineStr">
        <is>
          <t>Donepezil 5 mg HS</t>
        </is>
      </c>
      <c r="E88" s="38" t="inlineStr">
        <is>
          <t>Alteplase (rtPA) 0.9 mg/kg IV</t>
        </is>
      </c>
      <c r="F88" s="38" t="inlineStr">
        <is>
          <t>Phenytoin 100 mg TID</t>
        </is>
      </c>
      <c r="G88" s="38" t="inlineStr">
        <is>
          <t>Sodium valproate 200 mg TID</t>
        </is>
      </c>
      <c r="H88" s="38" t="inlineStr">
        <is>
          <t>Carbamazepine 200 mg BID</t>
        </is>
      </c>
      <c r="I88" s="37" t="inlineStr">
        <is>
          <t>1</t>
        </is>
      </c>
      <c r="J88"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38" t="n"/>
      <c r="L88" s="39" t="inlineStr">
        <is>
          <t>Epilepsy</t>
        </is>
      </c>
      <c r="M88" s="39" t="inlineStr">
        <is>
          <t>Clinic</t>
        </is>
      </c>
      <c r="N88" s="38" t="inlineStr">
        <is>
          <t>ข้อ 29 (PLE_CC1_2559.md)</t>
        </is>
      </c>
      <c r="O88" s="39" t="n"/>
      <c r="P88" s="39" t="n"/>
    </row>
    <row r="89" ht="13.2" customHeight="1" s="49">
      <c r="A89" s="37" t="n">
        <v>87</v>
      </c>
      <c r="B89" s="38"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38" t="n"/>
      <c r="D89" s="38" t="inlineStr">
        <is>
          <t>Silicon dioxide</t>
        </is>
      </c>
      <c r="E89" s="38" t="inlineStr">
        <is>
          <t>Microcrystalline cellulose</t>
        </is>
      </c>
      <c r="F89" s="38" t="inlineStr">
        <is>
          <t>Starch</t>
        </is>
      </c>
      <c r="G89" s="38" t="inlineStr">
        <is>
          <t>Gelatin</t>
        </is>
      </c>
      <c r="H89" s="38" t="inlineStr">
        <is>
          <t>Polyvinyl pyrrolidone ห้ามนำไปทำซ้ำทุกกรณี เว้นแต่จะได้รับอนุญาต พบ hepatitis b virus negative และ anti-HBs positive</t>
        </is>
      </c>
      <c r="I89" s="37" t="inlineStr">
        <is>
          <t>1</t>
        </is>
      </c>
      <c r="J89" s="38"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38" t="n"/>
      <c r="L89" s="39" t="inlineStr">
        <is>
          <t>Epilepsy</t>
        </is>
      </c>
      <c r="M89" s="39" t="inlineStr">
        <is>
          <t>Clinic</t>
        </is>
      </c>
      <c r="N89" s="38" t="inlineStr">
        <is>
          <t>ข้อ 32 (PLE_CC1_2559.md)</t>
        </is>
      </c>
      <c r="O89" s="39" t="n"/>
      <c r="P89" s="39" t="n"/>
    </row>
    <row r="90" ht="13.2" customHeight="1" s="49">
      <c r="A90" s="37" t="n">
        <v>88</v>
      </c>
      <c r="B90" s="38"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38" t="n"/>
      <c r="D90" s="38" t="inlineStr">
        <is>
          <t>Celecoxib</t>
        </is>
      </c>
      <c r="E90" s="38" t="inlineStr">
        <is>
          <t>Ergotamine</t>
        </is>
      </c>
      <c r="F90" s="38" t="inlineStr">
        <is>
          <t>Ibuprofen</t>
        </is>
      </c>
      <c r="G90" s="38" t="inlineStr">
        <is>
          <t>Paracetamol</t>
        </is>
      </c>
      <c r="H90" s="38" t="inlineStr">
        <is>
          <t>Sumatriptan</t>
        </is>
      </c>
      <c r="I90" s="37" t="inlineStr">
        <is>
          <t>1</t>
        </is>
      </c>
      <c r="J90" s="38"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38" t="n"/>
      <c r="L90" s="39" t="inlineStr">
        <is>
          <t>Headache</t>
        </is>
      </c>
      <c r="M90" s="39" t="inlineStr">
        <is>
          <t>Clinic</t>
        </is>
      </c>
      <c r="N90" s="38" t="inlineStr">
        <is>
          <t>ข้อ 46 (PLE_CC1_2559.md)</t>
        </is>
      </c>
      <c r="O90" s="39" t="n"/>
      <c r="P90" s="39" t="n"/>
    </row>
    <row r="91" ht="13.2" customHeight="1" s="49">
      <c r="A91" s="37" t="n">
        <v>89</v>
      </c>
      <c r="B91" s="38" t="inlineStr">
        <is>
          <t>ผลการวิเคราะห์ใดเหมาะสำหรับการระบุเอกลักษณ์ของยา phenytoin</t>
        </is>
      </c>
      <c r="C91" s="38" t="n"/>
      <c r="D91" s="38" t="inlineStr">
        <is>
          <t>Levodopa/Benserazide 100/25 mg TID</t>
        </is>
      </c>
      <c r="E91" s="38" t="inlineStr">
        <is>
          <t>Sumatriptan 50 mg stat</t>
        </is>
      </c>
      <c r="F91" s="38" t="inlineStr">
        <is>
          <t>Propranolol 40 mg BID</t>
        </is>
      </c>
      <c r="G91" s="38" t="inlineStr">
        <is>
          <t>Topiramate 25 mg BID</t>
        </is>
      </c>
      <c r="H91" s="38" t="inlineStr">
        <is>
          <t>ไม่มีข้อใดถูก</t>
        </is>
      </c>
      <c r="I91" s="37" t="inlineStr">
        <is>
          <t>1</t>
        </is>
      </c>
      <c r="J91"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38" t="n"/>
      <c r="L91" s="39" t="inlineStr">
        <is>
          <t>Epilepsy</t>
        </is>
      </c>
      <c r="M91" s="39" t="inlineStr">
        <is>
          <t>Clinic</t>
        </is>
      </c>
      <c r="N91" s="38" t="inlineStr">
        <is>
          <t>ข้อ 95 (Pharmtutor_2024_Set1.md)</t>
        </is>
      </c>
      <c r="O91" s="39" t="n"/>
      <c r="P91" s="39" t="n"/>
    </row>
    <row r="92" ht="13.2" customHeight="1" s="49">
      <c r="A92" s="37" t="n">
        <v>90</v>
      </c>
      <c r="B92" s="38" t="inlineStr">
        <is>
          <t>ยากันชักชนิดใด สามารถใช้ได้อย่างปลอดภัยในหญิงตั้งครรภ์</t>
        </is>
      </c>
      <c r="C92" s="38" t="n"/>
      <c r="D92" s="38" t="inlineStr">
        <is>
          <t>Phenytoin Sodium</t>
        </is>
      </c>
      <c r="E92" s="38" t="inlineStr">
        <is>
          <t>Levetiracetam</t>
        </is>
      </c>
      <c r="F92" s="38" t="inlineStr">
        <is>
          <t>Valproic acid</t>
        </is>
      </c>
      <c r="G92" s="38" t="inlineStr">
        <is>
          <t>Diazepam</t>
        </is>
      </c>
      <c r="H92" s="38" t="inlineStr">
        <is>
          <t>Lacosamide</t>
        </is>
      </c>
      <c r="I92" s="37" t="inlineStr">
        <is>
          <t>1</t>
        </is>
      </c>
      <c r="J92" s="38"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38" t="n"/>
      <c r="L92" s="39" t="inlineStr">
        <is>
          <t>Epilepsy</t>
        </is>
      </c>
      <c r="M92" s="39" t="inlineStr">
        <is>
          <t>Clinic</t>
        </is>
      </c>
      <c r="N92" s="38" t="inlineStr">
        <is>
          <t>ข้อ 46 (Pharmtutor_2024_Set2.md)</t>
        </is>
      </c>
      <c r="O92" s="39" t="n"/>
      <c r="P92" s="39" t="n"/>
    </row>
    <row r="93" ht="13.2" customHeight="1" s="49">
      <c r="A93" s="37" t="n">
        <v>91</v>
      </c>
      <c r="B93" s="38" t="inlineStr">
        <is>
          <t>ข้อใดคือกลไกของ Phenytoin Sodium ที่นำมาใช้ในการรักษาและป้องกันผู้ป่วยที่มีภาวะชักเกิดขึ้น</t>
        </is>
      </c>
      <c r="C93" s="38" t="n"/>
      <c r="D93" s="38" t="inlineStr">
        <is>
          <t>ยับยั้งการเปิดปิดของช่องเปิดแคลเซียม</t>
        </is>
      </c>
      <c r="E93" s="38" t="inlineStr">
        <is>
          <t>ยับยั้งการเข้าออกออกแคลเซียม</t>
        </is>
      </c>
      <c r="F93" s="38" t="inlineStr">
        <is>
          <t>ยับยั้งการเข้าออกของโซเดียมและแคลเซียมที่จุดว่างของสารสื่อประสาท</t>
        </is>
      </c>
      <c r="G93" s="38" t="inlineStr">
        <is>
          <t>ยับยั้งการเข้าสู่เซลล์ของโซเดียมผ่านช่องทางแคลเซียม-โซเดียม</t>
        </is>
      </c>
      <c r="H93" s="38" t="inlineStr">
        <is>
          <t>ยับยั้งการเปิดปิดของช่องเปิดโซเดียม</t>
        </is>
      </c>
      <c r="I93" s="37" t="inlineStr">
        <is>
          <t>1</t>
        </is>
      </c>
      <c r="J93" s="38"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38" t="n"/>
      <c r="L93" s="39" t="inlineStr">
        <is>
          <t>Epilepsy</t>
        </is>
      </c>
      <c r="M93" s="39" t="inlineStr">
        <is>
          <t>Clinic</t>
        </is>
      </c>
      <c r="N93" s="38" t="inlineStr">
        <is>
          <t>ข้อ 47 (Pharmtutor_2024_Set2.md)</t>
        </is>
      </c>
      <c r="O93" s="39" t="n"/>
      <c r="P93" s="39" t="n"/>
    </row>
    <row r="94" ht="13.2" customHeight="1" s="49">
      <c r="A94" s="37" t="n">
        <v>92</v>
      </c>
      <c r="B94" s="38"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38" t="n"/>
      <c r="D94" s="38" t="inlineStr">
        <is>
          <t>Lamotrigine</t>
        </is>
      </c>
      <c r="E94" s="38" t="inlineStr">
        <is>
          <t>Valproic acid</t>
        </is>
      </c>
      <c r="F94" s="38" t="inlineStr">
        <is>
          <t>Oxcarbazepine</t>
        </is>
      </c>
      <c r="G94" s="38" t="inlineStr">
        <is>
          <t>Levetiracetam</t>
        </is>
      </c>
      <c r="H94" s="38" t="inlineStr">
        <is>
          <t>Topiramate</t>
        </is>
      </c>
      <c r="I94" s="37" t="inlineStr">
        <is>
          <t>1</t>
        </is>
      </c>
      <c r="J94" s="38"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38" t="n"/>
      <c r="L94" s="39" t="inlineStr">
        <is>
          <t>Epilepsy</t>
        </is>
      </c>
      <c r="M94" s="39" t="inlineStr">
        <is>
          <t>Clinic</t>
        </is>
      </c>
      <c r="N94" s="38" t="inlineStr">
        <is>
          <t>ข้อ 51 (Pharmtutor_2024_Set2.md)</t>
        </is>
      </c>
      <c r="O94" s="39" t="n"/>
      <c r="P94" s="39" t="n"/>
    </row>
    <row r="95" ht="13.2" customHeight="1" s="49">
      <c r="A95" s="37" t="n">
        <v>93</v>
      </c>
      <c r="B95" s="38" t="inlineStr">
        <is>
          <t>จากคุณสมบัติของยา phenytoin ที่มีการกำจัดออกแบบ non-linear kinetics ข้อใดถูกต้อง</t>
        </is>
      </c>
      <c r="C95" s="38" t="n"/>
      <c r="D95" s="38" t="inlineStr">
        <is>
          <t>ที่ความเข้มข้นสูง จะมีการกำจัดออกแบบ linear kinetics</t>
        </is>
      </c>
      <c r="E95" s="38" t="inlineStr">
        <is>
          <t>ที่ความเข้มข้นต่ำ จะมีการกำจัดออกแบบ non-linear kinetics</t>
        </is>
      </c>
      <c r="F95" s="38" t="inlineStr">
        <is>
          <t>ยามีค่าครึ่งชีวิตเท่าเดิมเสมอ แม้มีความเข้มข้นของยาเพิ่มมากขึ้น</t>
        </is>
      </c>
      <c r="G95" s="38" t="inlineStr">
        <is>
          <t>ยามี therapeutic index แคบ</t>
        </is>
      </c>
      <c r="H95" s="38" t="inlineStr">
        <is>
          <t>ไม่มีข้อใดถูก</t>
        </is>
      </c>
      <c r="I95" s="37" t="inlineStr">
        <is>
          <t>1</t>
        </is>
      </c>
      <c r="J95" s="38"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38" t="n"/>
      <c r="L95" s="39" t="inlineStr">
        <is>
          <t>Epilepsy</t>
        </is>
      </c>
      <c r="M95" s="39" t="inlineStr">
        <is>
          <t>Clinic</t>
        </is>
      </c>
      <c r="N95" s="38" t="inlineStr">
        <is>
          <t>ข้อ 87 (Pharmtutor_2024_Set2.md)</t>
        </is>
      </c>
      <c r="O95" s="39" t="n"/>
      <c r="P95" s="39" t="n"/>
    </row>
    <row r="96" ht="13.2" customHeight="1" s="49">
      <c r="A96" s="37" t="n">
        <v>94</v>
      </c>
      <c r="B96" s="38" t="inlineStr">
        <is>
          <t>ข้อใดไม่ใช่อาการแสดงของผู้ป่วย Parkinson’s disease (1) Hypertension (2) Resting tremor (3) Impaired balance (4) Slowness of movement (5) Stiffness to limb movement MCQ 11 | 1/2557 | Page 11</t>
        </is>
      </c>
      <c r="C96" s="38" t="n"/>
      <c r="D96" s="38" t="inlineStr">
        <is>
          <t>Propranolol 40 mg BID</t>
        </is>
      </c>
      <c r="E96" s="38" t="inlineStr">
        <is>
          <t>Topiramate 25 mg BID</t>
        </is>
      </c>
      <c r="F96" s="38" t="inlineStr">
        <is>
          <t>Donepezil 5 mg HS</t>
        </is>
      </c>
      <c r="G96" s="38" t="inlineStr">
        <is>
          <t>Alteplase (rtPA) 0.9 mg/kg IV</t>
        </is>
      </c>
      <c r="H96" s="38" t="inlineStr">
        <is>
          <t>Phenytoin 100 mg TID</t>
        </is>
      </c>
      <c r="I96" s="37" t="inlineStr">
        <is>
          <t>1</t>
        </is>
      </c>
      <c r="J96" s="38"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38" t="n"/>
      <c r="L96" s="39" t="inlineStr">
        <is>
          <t>Parkinson disease</t>
        </is>
      </c>
      <c r="M96" s="39" t="inlineStr">
        <is>
          <t>Clinic</t>
        </is>
      </c>
      <c r="N96" s="38" t="inlineStr">
        <is>
          <t>ข้อ 73 (PLE_CC1_2557.md)</t>
        </is>
      </c>
      <c r="O96" s="39" t="n"/>
      <c r="P96" s="39" t="n"/>
    </row>
    <row r="97" ht="13.2" customHeight="1" s="49">
      <c r="A97" s="37" t="n">
        <v>95</v>
      </c>
      <c r="B97" s="38" t="inlineStr">
        <is>
          <t>ข้อใดเป็นข้อบ่งใช้อื่นของยา Carbamazepine นอกจากเป็นยากันชัก</t>
        </is>
      </c>
      <c r="C97" s="38" t="n"/>
      <c r="D97" s="38" t="inlineStr">
        <is>
          <t>........</t>
        </is>
      </c>
      <c r="E97" s="38" t="inlineStr">
        <is>
          <t>.......</t>
        </is>
      </c>
      <c r="F97" s="38" t="inlineStr">
        <is>
          <t>Trigerminal neuralgia</t>
        </is>
      </c>
      <c r="G97" s="38" t="inlineStr">
        <is>
          <t>............</t>
        </is>
      </c>
      <c r="H97" s="38" t="inlineStr">
        <is>
          <t>...............</t>
        </is>
      </c>
      <c r="I97" s="37" t="inlineStr">
        <is>
          <t>1</t>
        </is>
      </c>
      <c r="J97" s="38"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38" t="n"/>
      <c r="L97" s="39" t="inlineStr">
        <is>
          <t>Epilepsy</t>
        </is>
      </c>
      <c r="M97" s="39" t="inlineStr">
        <is>
          <t>Clinic</t>
        </is>
      </c>
      <c r="N97" s="38" t="inlineStr">
        <is>
          <t>ข้อ 83 (PLE_CC1_2555 Day 1.md)</t>
        </is>
      </c>
      <c r="O97" s="39" t="n"/>
      <c r="P97" s="39" t="n"/>
    </row>
    <row r="98" ht="13.2" customHeight="1" s="49">
      <c r="A98" s="37" t="n">
        <v>96</v>
      </c>
      <c r="B98" s="38" t="inlineStr">
        <is>
          <t>ยาในข้อใดสามารถเพิ่มระดับยา Carbamazepine ได้</t>
        </is>
      </c>
      <c r="C98" s="38" t="n"/>
      <c r="D98" s="38" t="inlineStr">
        <is>
          <t>Clarithromycin</t>
        </is>
      </c>
      <c r="E98" s="38" t="inlineStr">
        <is>
          <t>Nevirapine</t>
        </is>
      </c>
      <c r="F98" s="38" t="inlineStr">
        <is>
          <t>Phenytoin</t>
        </is>
      </c>
      <c r="G98" s="38" t="inlineStr">
        <is>
          <t>.....</t>
        </is>
      </c>
      <c r="H98" s="38" t="inlineStr">
        <is>
          <t>..........</t>
        </is>
      </c>
      <c r="I98" s="37" t="inlineStr">
        <is>
          <t>1</t>
        </is>
      </c>
      <c r="J98" s="38"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38" t="n"/>
      <c r="L98" s="39" t="inlineStr">
        <is>
          <t>Epilepsy</t>
        </is>
      </c>
      <c r="M98" s="39" t="inlineStr">
        <is>
          <t>Clinic</t>
        </is>
      </c>
      <c r="N98" s="38" t="inlineStr">
        <is>
          <t>ข้อ 85 (PLE_CC1_2555 Day 1.md)</t>
        </is>
      </c>
      <c r="O98" s="39" t="n"/>
      <c r="P98" s="39" t="n"/>
    </row>
    <row r="99" ht="13.2" customHeight="1" s="49">
      <c r="A99" s="37" t="n">
        <v>97</v>
      </c>
      <c r="B99" s="38" t="inlineStr">
        <is>
          <t>แช่ตู้เย็น โดยเก็บไว้ในช่องแช่แข็ง Case 5: Epilepsy นางสตรี อายุ 25 ปี Dx Tonic-clonic seizure Carbamazepine 200 mg bid F/U 2 week</t>
        </is>
      </c>
      <c r="C99" s="38" t="n"/>
      <c r="D99" s="38" t="inlineStr">
        <is>
          <t>Gabapentin 300 mg TID</t>
        </is>
      </c>
      <c r="E99" s="38" t="inlineStr">
        <is>
          <t>Pregabalin 75 mg BID</t>
        </is>
      </c>
      <c r="F99" s="38" t="inlineStr">
        <is>
          <t>Levodopa/Benserazide 100/25 mg TID</t>
        </is>
      </c>
      <c r="G99" s="38" t="inlineStr">
        <is>
          <t>Sumatriptan 50 mg stat</t>
        </is>
      </c>
      <c r="H99" s="38" t="inlineStr">
        <is>
          <t>Propranolol 40 mg BID</t>
        </is>
      </c>
      <c r="I99" s="37" t="inlineStr">
        <is>
          <t>1</t>
        </is>
      </c>
      <c r="J99"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38" t="n"/>
      <c r="L99" s="39" t="inlineStr">
        <is>
          <t>Epilepsy</t>
        </is>
      </c>
      <c r="M99" s="39" t="inlineStr">
        <is>
          <t>Clinic</t>
        </is>
      </c>
      <c r="N99" s="38" t="inlineStr">
        <is>
          <t>ข้อ 4 (PLE_CC1_2555 Day 2.md)</t>
        </is>
      </c>
      <c r="O99" s="39" t="n"/>
      <c r="P99" s="39" t="n"/>
    </row>
    <row r="100" ht="13.2" customHeight="1" s="49">
      <c r="A100" s="37" t="n">
        <v>98</v>
      </c>
      <c r="B100" s="38" t="inlineStr">
        <is>
          <t>กลไกการออกฤทธิ์ของ Carbamazepine</t>
        </is>
      </c>
      <c r="C100" s="38" t="n"/>
      <c r="D100" s="38" t="inlineStr">
        <is>
          <t>Sumatriptan 50 mg stat</t>
        </is>
      </c>
      <c r="E100" s="38" t="inlineStr">
        <is>
          <t>Propranolol 40 mg BID</t>
        </is>
      </c>
      <c r="F100" s="38" t="inlineStr">
        <is>
          <t>Topiramate 25 mg BID</t>
        </is>
      </c>
      <c r="G100" s="38" t="inlineStr">
        <is>
          <t>Donepezil 5 mg HS</t>
        </is>
      </c>
      <c r="H100" s="38" t="inlineStr">
        <is>
          <t>Alteplase (rtPA) 0.9 mg/kg IV</t>
        </is>
      </c>
      <c r="I100" s="37" t="inlineStr">
        <is>
          <t>1</t>
        </is>
      </c>
      <c r="J100" s="38"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38" t="n"/>
      <c r="L100" s="39" t="inlineStr">
        <is>
          <t>Epilepsy</t>
        </is>
      </c>
      <c r="M100" s="39" t="inlineStr">
        <is>
          <t>Clinic</t>
        </is>
      </c>
      <c r="N100" s="38" t="inlineStr">
        <is>
          <t>ข้อ 3 (PLE_CC1_2555 Day 2.md)</t>
        </is>
      </c>
      <c r="O100" s="39" t="n"/>
      <c r="P100" s="39" t="n"/>
    </row>
    <row r="101" ht="13.2" customHeight="1" s="49">
      <c r="A101" s="37" t="n">
        <v>99</v>
      </c>
      <c r="B101" s="38" t="inlineStr">
        <is>
          <t>Carbamazepine นอกจากจะมีข้อบ่งใช้ในโรคลมชัก ยังสามารถรักษาโรคอะไรได้</t>
        </is>
      </c>
      <c r="C101" s="38" t="n"/>
      <c r="D101" s="38" t="inlineStr">
        <is>
          <t>Donepezil 5 mg HS</t>
        </is>
      </c>
      <c r="E101" s="38" t="inlineStr">
        <is>
          <t>Alteplase (rtPA) 0.9 mg/kg IV</t>
        </is>
      </c>
      <c r="F101" s="38" t="inlineStr">
        <is>
          <t>Phenytoin 100 mg TID</t>
        </is>
      </c>
      <c r="G101" s="38" t="inlineStr">
        <is>
          <t>Sodium valproate 200 mg TID</t>
        </is>
      </c>
      <c r="H101" s="38" t="inlineStr">
        <is>
          <t>Carbamazepine 200 mg BID</t>
        </is>
      </c>
      <c r="I101" s="37" t="inlineStr">
        <is>
          <t>1</t>
        </is>
      </c>
      <c r="J101" s="38"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38" t="n"/>
      <c r="L101" s="39" t="inlineStr">
        <is>
          <t>Epilepsy</t>
        </is>
      </c>
      <c r="M101" s="39" t="inlineStr">
        <is>
          <t>Clinic</t>
        </is>
      </c>
      <c r="N101" s="38" t="inlineStr">
        <is>
          <t>ข้อ 4 (PLE_CC1_2555 Day 2.md)</t>
        </is>
      </c>
      <c r="O101" s="39" t="n"/>
      <c r="P101" s="39" t="n"/>
    </row>
    <row r="102" ht="13.2" customHeight="1" s="49">
      <c r="A102" s="37" t="n">
        <v>100</v>
      </c>
      <c r="B102" s="38" t="inlineStr">
        <is>
          <t>ยา Carbamazepine จะเพิ่มขึ้นเมื่อใช้ร่วมกับ</t>
        </is>
      </c>
      <c r="C102" s="38" t="n"/>
      <c r="D102" s="38" t="inlineStr">
        <is>
          <t>Sodium valproate 200 mg TID</t>
        </is>
      </c>
      <c r="E102" s="38" t="inlineStr">
        <is>
          <t>Carbamazepine 200 mg BID</t>
        </is>
      </c>
      <c r="F102" s="38" t="inlineStr">
        <is>
          <t>Lamotrigine 50 mg OD</t>
        </is>
      </c>
      <c r="G102" s="38" t="inlineStr">
        <is>
          <t>Levetiracetam 500 mg BID</t>
        </is>
      </c>
      <c r="H102" s="38" t="inlineStr">
        <is>
          <t>Gabapentin 300 mg TID</t>
        </is>
      </c>
      <c r="I102" s="37" t="inlineStr">
        <is>
          <t>1</t>
        </is>
      </c>
      <c r="J102" s="38"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38" t="n"/>
      <c r="L102" s="39" t="inlineStr">
        <is>
          <t>Epilepsy</t>
        </is>
      </c>
      <c r="M102" s="39" t="inlineStr">
        <is>
          <t>Clinic</t>
        </is>
      </c>
      <c r="N102" s="38" t="inlineStr">
        <is>
          <t>ข้อ 5 (PLE_CC1_2555 Day 2.md)</t>
        </is>
      </c>
      <c r="O102" s="39" t="n"/>
      <c r="P102" s="39" t="n"/>
    </row>
    <row r="103" ht="13.2" customHeight="1" s="49">
      <c r="A103" s="37" t="n">
        <v>101</v>
      </c>
      <c r="B103" s="38" t="inlineStr">
        <is>
          <t>Carbamazepine มี polymorph ซึ่งแต่ละ polymorph จะแตกต่างกัน ยกเว้น</t>
        </is>
      </c>
      <c r="C103" s="38" t="n"/>
      <c r="D103" s="38" t="inlineStr">
        <is>
          <t>Levetiracetam 500 mg BID</t>
        </is>
      </c>
      <c r="E103" s="38" t="inlineStr">
        <is>
          <t>Gabapentin 300 mg TID</t>
        </is>
      </c>
      <c r="F103" s="38" t="inlineStr">
        <is>
          <t>Pregabalin 75 mg BID</t>
        </is>
      </c>
      <c r="G103" s="38" t="inlineStr">
        <is>
          <t>Levodopa/Benserazide 100/25 mg TID</t>
        </is>
      </c>
      <c r="H103" s="38" t="inlineStr">
        <is>
          <t>Sumatriptan 50 mg stat</t>
        </is>
      </c>
      <c r="I103" s="37" t="inlineStr">
        <is>
          <t>1</t>
        </is>
      </c>
      <c r="J103" s="38"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38" t="n"/>
      <c r="L103" s="39" t="inlineStr">
        <is>
          <t>Epilepsy</t>
        </is>
      </c>
      <c r="M103" s="39" t="inlineStr">
        <is>
          <t>Clinic</t>
        </is>
      </c>
      <c r="N103" s="38" t="inlineStr">
        <is>
          <t>ข้อ 6 (PLE_CC1_2555 Day 2.md)</t>
        </is>
      </c>
      <c r="O103" s="39" t="n"/>
      <c r="P103" s="39" t="n"/>
    </row>
    <row r="104" ht="13.2" customHeight="1" s="49">
      <c r="A104" s="37" t="n">
        <v>102</v>
      </c>
      <c r="B104" s="38" t="inlineStr">
        <is>
          <t>hydroxyzine ในขนาดสูงสามารถใช้เป็นยากันชักได้</t>
        </is>
      </c>
      <c r="C104" s="38" t="n"/>
      <c r="D104" s="38" t="inlineStr">
        <is>
          <t>Levodopa/Benserazide 100/25 mg TID</t>
        </is>
      </c>
      <c r="E104" s="38" t="inlineStr">
        <is>
          <t>Sumatriptan 50 mg stat</t>
        </is>
      </c>
      <c r="F104" s="38" t="inlineStr">
        <is>
          <t>Propranolol 40 mg BID</t>
        </is>
      </c>
      <c r="G104" s="38" t="inlineStr">
        <is>
          <t>Topiramate 25 mg BID</t>
        </is>
      </c>
      <c r="H104" s="38" t="inlineStr">
        <is>
          <t>Donepezil 5 mg HS</t>
        </is>
      </c>
      <c r="I104" s="37" t="inlineStr">
        <is>
          <t>1</t>
        </is>
      </c>
      <c r="J104"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38" t="n"/>
      <c r="L104" s="39" t="inlineStr">
        <is>
          <t>Epilepsy</t>
        </is>
      </c>
      <c r="M104" s="39" t="inlineStr">
        <is>
          <t>Clinic</t>
        </is>
      </c>
      <c r="N104" s="38" t="inlineStr">
        <is>
          <t>ข้อ 1 (PLE_CC1_2555 Day 2.md)</t>
        </is>
      </c>
      <c r="O104" s="39" t="n"/>
      <c r="P104" s="39" t="n"/>
    </row>
    <row r="105" ht="13.2" customHeight="1" s="49">
      <c r="A105" s="37" t="n">
        <v>103</v>
      </c>
      <c r="B105" s="38"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38" t="n"/>
      <c r="D105" s="38" t="inlineStr">
        <is>
          <t>Topiramate 25 mg BID</t>
        </is>
      </c>
      <c r="E105" s="38" t="inlineStr">
        <is>
          <t>Donepezil 5 mg HS</t>
        </is>
      </c>
      <c r="F105" s="38" t="inlineStr">
        <is>
          <t>Alteplase (rtPA) 0.9 mg/kg IV</t>
        </is>
      </c>
      <c r="G105" s="38" t="inlineStr">
        <is>
          <t>Phenytoin 100 mg TID</t>
        </is>
      </c>
      <c r="H105" s="38" t="inlineStr">
        <is>
          <t>Sodium valproate 200 mg TID</t>
        </is>
      </c>
      <c r="I105" s="37" t="inlineStr">
        <is>
          <t>3</t>
        </is>
      </c>
      <c r="J105" s="38"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38" t="n"/>
      <c r="L105" s="39" t="inlineStr">
        <is>
          <t>Parkinson disease</t>
        </is>
      </c>
      <c r="M105" s="39" t="inlineStr">
        <is>
          <t>Clinic</t>
        </is>
      </c>
      <c r="N105" s="38" t="inlineStr">
        <is>
          <t>ข้อ 5 (PLE_CC1_2554 SET2.md)</t>
        </is>
      </c>
      <c r="O105" s="39" t="n"/>
      <c r="P105" s="39" t="n"/>
    </row>
    <row r="106" ht="13.2" customHeight="1" s="49">
      <c r="A106" s="37" t="n">
        <v>104</v>
      </c>
      <c r="B106" s="38" t="inlineStr">
        <is>
          <t>ข้อใดผิดเกี่ยวกับยา Carbidopa + Levodopa</t>
        </is>
      </c>
      <c r="C106" s="38" t="n"/>
      <c r="D106" s="38" t="inlineStr">
        <is>
          <t>Phenytoin 100 mg TID</t>
        </is>
      </c>
      <c r="E106" s="38" t="inlineStr">
        <is>
          <t>Sodium valproate 200 mg TID</t>
        </is>
      </c>
      <c r="F106" s="38" t="inlineStr">
        <is>
          <t>Carbamazepine 200 mg BID</t>
        </is>
      </c>
      <c r="G106" s="38" t="inlineStr">
        <is>
          <t>Lamotrigine 50 mg OD</t>
        </is>
      </c>
      <c r="H106" s="38" t="inlineStr">
        <is>
          <t>Levetiracetam 500 mg BID</t>
        </is>
      </c>
      <c r="I106" s="37" t="inlineStr">
        <is>
          <t>1</t>
        </is>
      </c>
      <c r="J106" s="38"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38" t="n"/>
      <c r="L106" s="39" t="inlineStr">
        <is>
          <t>Parkinson disease</t>
        </is>
      </c>
      <c r="M106" s="39" t="inlineStr">
        <is>
          <t>Clinic</t>
        </is>
      </c>
      <c r="N106" s="38" t="inlineStr">
        <is>
          <t>ข้อ 3 (PLE_CC1_2533.md)</t>
        </is>
      </c>
      <c r="O106" s="39" t="n"/>
      <c r="P106" s="39" t="n"/>
    </row>
    <row r="107" ht="13.2" customHeight="1" s="49">
      <c r="A107" s="37" t="n">
        <v>105</v>
      </c>
      <c r="B107" s="38" t="inlineStr">
        <is>
          <t>Levodopa ช่วยเพิ่มการดูดซึมยา Carbidopa ที่ CNS</t>
        </is>
      </c>
      <c r="C107" s="38" t="n"/>
      <c r="D107" s="38" t="inlineStr">
        <is>
          <t>Lamotrigine 50 mg OD</t>
        </is>
      </c>
      <c r="E107" s="38" t="inlineStr">
        <is>
          <t>Levetiracetam 500 mg BID</t>
        </is>
      </c>
      <c r="F107" s="38" t="inlineStr">
        <is>
          <t>Gabapentin 300 mg TID</t>
        </is>
      </c>
      <c r="G107" s="38" t="inlineStr">
        <is>
          <t>Pregabalin 75 mg BID</t>
        </is>
      </c>
      <c r="H107" s="38" t="inlineStr">
        <is>
          <t>Levodopa/Benserazide 100/25 mg TID</t>
        </is>
      </c>
      <c r="I107" s="37" t="inlineStr">
        <is>
          <t>1</t>
        </is>
      </c>
      <c r="J107" s="38"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38" t="n"/>
      <c r="L107" s="39" t="inlineStr">
        <is>
          <t>Parkinson disease</t>
        </is>
      </c>
      <c r="M107" s="39" t="inlineStr">
        <is>
          <t>Clinic</t>
        </is>
      </c>
      <c r="N107" s="38" t="inlineStr">
        <is>
          <t>ข้อ 2 (PLE_CC1_2533.md)</t>
        </is>
      </c>
      <c r="O107" s="39" t="n"/>
      <c r="P107" s="39" t="n"/>
    </row>
    <row r="108" ht="13.2" customHeight="1" s="49">
      <c r="A108" s="37" t="n">
        <v>106</v>
      </c>
      <c r="B108" s="38" t="inlineStr">
        <is>
          <t>Carbidopa ช่วยลดปริมาณของ Levodopa ที่จำเป็นต้องใช้</t>
        </is>
      </c>
      <c r="C108" s="38" t="n"/>
      <c r="D108" s="38" t="inlineStr">
        <is>
          <t>Pregabalin 75 mg BID</t>
        </is>
      </c>
      <c r="E108" s="38" t="inlineStr">
        <is>
          <t>Levodopa/Benserazide 100/25 mg TID</t>
        </is>
      </c>
      <c r="F108" s="38" t="inlineStr">
        <is>
          <t>Sumatriptan 50 mg stat</t>
        </is>
      </c>
      <c r="G108" s="38" t="inlineStr">
        <is>
          <t>Propranolol 40 mg BID</t>
        </is>
      </c>
      <c r="H108" s="38" t="inlineStr">
        <is>
          <t>Topiramate 25 mg BID</t>
        </is>
      </c>
      <c r="I108" s="37" t="inlineStr">
        <is>
          <t>1</t>
        </is>
      </c>
      <c r="J108"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38" t="n"/>
      <c r="L108" s="39" t="inlineStr">
        <is>
          <t>Parkinson disease</t>
        </is>
      </c>
      <c r="M108" s="39" t="inlineStr">
        <is>
          <t>Clinic</t>
        </is>
      </c>
      <c r="N108" s="38" t="inlineStr">
        <is>
          <t>ข้อ 4 (PLE_CC1_2533.md)</t>
        </is>
      </c>
      <c r="O108" s="39" t="n"/>
      <c r="P108" s="39" t="n"/>
    </row>
    <row r="109" ht="13.2" customHeight="1" s="49">
      <c r="A109" s="37" t="n">
        <v>107</v>
      </c>
      <c r="B109" s="38"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38" t="n"/>
      <c r="D109" s="38" t="inlineStr">
        <is>
          <t>Propranolol 40 mg BID</t>
        </is>
      </c>
      <c r="E109" s="38" t="inlineStr">
        <is>
          <t>Topiramate 25 mg BID</t>
        </is>
      </c>
      <c r="F109" s="38" t="inlineStr">
        <is>
          <t>Donepezil 5 mg HS</t>
        </is>
      </c>
      <c r="G109" s="38" t="inlineStr">
        <is>
          <t>Alteplase (rtPA) 0.9 mg/kg IV</t>
        </is>
      </c>
      <c r="H109" s="38" t="inlineStr">
        <is>
          <t>Phenytoin 100 mg TID</t>
        </is>
      </c>
      <c r="I109" s="37" t="inlineStr">
        <is>
          <t>1</t>
        </is>
      </c>
      <c r="J109"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38" t="n"/>
      <c r="L109" s="39" t="inlineStr">
        <is>
          <t>Parkinson disease</t>
        </is>
      </c>
      <c r="M109" s="39" t="inlineStr">
        <is>
          <t>Clinic</t>
        </is>
      </c>
      <c r="N109" s="38" t="inlineStr">
        <is>
          <t>ข้อ 5 (PLE_CC1_2533.md)</t>
        </is>
      </c>
      <c r="O109" s="39" t="n"/>
      <c r="P109" s="39" t="n"/>
    </row>
    <row r="110" ht="13.2" customHeight="1" s="49">
      <c r="A110" s="37" t="n">
        <v>108</v>
      </c>
      <c r="B110" s="38" t="inlineStr">
        <is>
          <t>ตอบ ค. Phenytoin เนื่องจากยามีผลในการเพิ่มการทำงานของเอนไซม์ P450 ในตับ ทำให้มีผลในการเร่งการทำลาย T4</t>
        </is>
      </c>
      <c r="C110" s="38" t="n"/>
      <c r="D110" s="38" t="inlineStr">
        <is>
          <t>Alteplase (rtPA) 0.9 mg/kg IV</t>
        </is>
      </c>
      <c r="E110" s="38" t="inlineStr">
        <is>
          <t>Phenytoin 100 mg TID</t>
        </is>
      </c>
      <c r="F110" s="38" t="inlineStr">
        <is>
          <t>Sodium valproate 200 mg TID</t>
        </is>
      </c>
      <c r="G110" s="38" t="inlineStr">
        <is>
          <t>Carbamazepine 200 mg BID</t>
        </is>
      </c>
      <c r="H110" s="38" t="inlineStr">
        <is>
          <t>Lamotrigine 50 mg OD</t>
        </is>
      </c>
      <c r="I110" s="37" t="inlineStr">
        <is>
          <t>1</t>
        </is>
      </c>
      <c r="J110"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38" t="n"/>
      <c r="L110" s="39" t="inlineStr">
        <is>
          <t>Epilepsy</t>
        </is>
      </c>
      <c r="M110" s="39" t="inlineStr">
        <is>
          <t>Clinic</t>
        </is>
      </c>
      <c r="N110" s="38" t="inlineStr">
        <is>
          <t>ข้อ 27 (PLE_CC1_Practice_Exam.md)</t>
        </is>
      </c>
      <c r="O110" s="39" t="n"/>
      <c r="P110" s="39" t="n"/>
    </row>
    <row r="111" ht="13.2" customHeight="1" s="49">
      <c r="A111" s="37" t="n">
        <v>109</v>
      </c>
      <c r="B111" s="38"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11" s="38" t="n"/>
      <c r="D111" s="38" t="inlineStr">
        <is>
          <t>Carbamazepine 200 mg BID</t>
        </is>
      </c>
      <c r="E111" s="38" t="inlineStr">
        <is>
          <t>Lamotrigine 50 mg OD</t>
        </is>
      </c>
      <c r="F111" s="38" t="inlineStr">
        <is>
          <t>Levetiracetam 500 mg BID</t>
        </is>
      </c>
      <c r="G111" s="38" t="inlineStr">
        <is>
          <t>Gabapentin 300 mg TID</t>
        </is>
      </c>
      <c r="H111" s="38" t="inlineStr">
        <is>
          <t>Pregabalin 75 mg BID</t>
        </is>
      </c>
      <c r="I111" s="37" t="inlineStr">
        <is>
          <t>1</t>
        </is>
      </c>
      <c r="J111" s="38"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38" t="n"/>
      <c r="L111" s="39" t="inlineStr">
        <is>
          <t>Headache</t>
        </is>
      </c>
      <c r="M111" s="39" t="inlineStr">
        <is>
          <t>Clinic</t>
        </is>
      </c>
      <c r="N111" s="38" t="inlineStr">
        <is>
          <t>ข้อ 37 (PLE_CC1_Practice_Exam.md)</t>
        </is>
      </c>
      <c r="O111" s="39" t="n"/>
      <c r="P111" s="39" t="n"/>
    </row>
    <row r="112" ht="13.2" customHeight="1" s="49">
      <c r="A112" s="37" t="n">
        <v>110</v>
      </c>
      <c r="B112" s="38" t="inlineStr">
        <is>
          <t>Phenytoin 2. Valproic acid 3. Benzodiazepine 4. Carbamazepine</t>
        </is>
      </c>
      <c r="C112" s="38" t="n"/>
      <c r="D112" s="38" t="inlineStr">
        <is>
          <t>1,2,3,4</t>
        </is>
      </c>
      <c r="E112" s="38" t="inlineStr">
        <is>
          <t>1,3 และ 4</t>
        </is>
      </c>
      <c r="F112" s="38" t="inlineStr">
        <is>
          <t>1 และ 4</t>
        </is>
      </c>
      <c r="G112" s="38" t="inlineStr">
        <is>
          <t>1 เท่านั้น</t>
        </is>
      </c>
      <c r="H112" s="38" t="inlineStr">
        <is>
          <t>2 เท่านั้น</t>
        </is>
      </c>
      <c r="I112" s="37" t="inlineStr">
        <is>
          <t>1</t>
        </is>
      </c>
      <c r="J112"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38" t="n"/>
      <c r="L112" s="39" t="inlineStr">
        <is>
          <t>Epilepsy</t>
        </is>
      </c>
      <c r="M112" s="39" t="inlineStr">
        <is>
          <t>Clinic</t>
        </is>
      </c>
      <c r="N112" s="38" t="inlineStr">
        <is>
          <t>ข้อ 1 (PLE_CC1_Practice_Exam.md)</t>
        </is>
      </c>
      <c r="O112" s="39" t="n"/>
      <c r="P112" s="39" t="n"/>
    </row>
    <row r="113" ht="13.2" customHeight="1" s="49">
      <c r="A113" s="37" t="n">
        <v>111</v>
      </c>
      <c r="B113" s="38" t="inlineStr">
        <is>
          <t>Phenytoin 2.Valproic acid 3. Benzodiazepine 4. Carbamazepine</t>
        </is>
      </c>
      <c r="C113" s="38" t="n"/>
      <c r="D113" s="38" t="inlineStr">
        <is>
          <t>1,2,3,4</t>
        </is>
      </c>
      <c r="E113" s="38" t="inlineStr">
        <is>
          <t>1,2 และ 4</t>
        </is>
      </c>
      <c r="F113" s="38" t="inlineStr">
        <is>
          <t>2 และ 3</t>
        </is>
      </c>
      <c r="G113" s="38" t="inlineStr">
        <is>
          <t>2 และ 4</t>
        </is>
      </c>
      <c r="H113" s="38" t="inlineStr">
        <is>
          <t>2 เท่านั้น</t>
        </is>
      </c>
      <c r="I113" s="37" t="inlineStr">
        <is>
          <t>1</t>
        </is>
      </c>
      <c r="J113" s="38"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38" t="n"/>
      <c r="L113" s="39" t="inlineStr">
        <is>
          <t>Epilepsy</t>
        </is>
      </c>
      <c r="M113" s="39" t="inlineStr">
        <is>
          <t>Clinic</t>
        </is>
      </c>
      <c r="N113" s="38" t="inlineStr">
        <is>
          <t>ข้อ 1 (PLE_CC1_Practice_Exam.md)</t>
        </is>
      </c>
      <c r="O113" s="39" t="n"/>
      <c r="P113" s="39" t="n"/>
    </row>
    <row r="114" ht="13.2" customHeight="1" s="49">
      <c r="A114" s="37" t="n">
        <v>112</v>
      </c>
      <c r="B114" s="38"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38" t="n"/>
      <c r="D114" s="38" t="inlineStr">
        <is>
          <t>Donepezil 5 mg HS</t>
        </is>
      </c>
      <c r="E114" s="38" t="inlineStr">
        <is>
          <t>Alteplase (rtPA) 0.9 mg/kg IV</t>
        </is>
      </c>
      <c r="F114" s="38" t="inlineStr">
        <is>
          <t>Phenytoin 100 mg TID</t>
        </is>
      </c>
      <c r="G114" s="38" t="inlineStr">
        <is>
          <t>Sodium valproate 200 mg TID</t>
        </is>
      </c>
      <c r="H114" s="38" t="inlineStr">
        <is>
          <t>Carbamazepine 200 mg BID</t>
        </is>
      </c>
      <c r="I114" s="37" t="inlineStr">
        <is>
          <t>1</t>
        </is>
      </c>
      <c r="J114"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38" t="n"/>
      <c r="L114" s="39" t="inlineStr">
        <is>
          <t>Headache</t>
        </is>
      </c>
      <c r="M114" s="39" t="inlineStr">
        <is>
          <t>Clinic</t>
        </is>
      </c>
      <c r="N114" s="38" t="inlineStr">
        <is>
          <t>ข้อ 1 (PLE_CC1_Practice_Exam.md)</t>
        </is>
      </c>
      <c r="O114" s="39" t="n"/>
      <c r="P114" s="39" t="n"/>
    </row>
    <row r="115" ht="13.2" customHeight="1" s="49">
      <c r="A115" s="37" t="n">
        <v>113</v>
      </c>
      <c r="B115" s="38"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38" t="n"/>
      <c r="D115" s="38" t="inlineStr">
        <is>
          <t>Sodium valproate 200 mg TID</t>
        </is>
      </c>
      <c r="E115" s="38" t="inlineStr">
        <is>
          <t>Carbamazepine 200 mg BID</t>
        </is>
      </c>
      <c r="F115" s="38" t="inlineStr">
        <is>
          <t>Lamotrigine 50 mg OD</t>
        </is>
      </c>
      <c r="G115" s="38" t="inlineStr">
        <is>
          <t>Levetiracetam 500 mg BID</t>
        </is>
      </c>
      <c r="H115" s="38" t="inlineStr">
        <is>
          <t>Gabapentin 300 mg TID</t>
        </is>
      </c>
      <c r="I115" s="37" t="inlineStr">
        <is>
          <t>1</t>
        </is>
      </c>
      <c r="J115"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38" t="n"/>
      <c r="L115" s="39" t="inlineStr">
        <is>
          <t>Headache</t>
        </is>
      </c>
      <c r="M115" s="39" t="inlineStr">
        <is>
          <t>Clinic</t>
        </is>
      </c>
      <c r="N115" s="38" t="inlineStr">
        <is>
          <t>ข้อ 4 (PLE_CC1_Practice_Exam.md)</t>
        </is>
      </c>
      <c r="O115" s="39" t="n"/>
      <c r="P115" s="39" t="n"/>
    </row>
    <row r="116" ht="13.2" customHeight="1" s="49">
      <c r="A116" s="37" t="n">
        <v>114</v>
      </c>
      <c r="B116" s="38" t="inlineStr">
        <is>
          <t>orthostatic hypotension</t>
        </is>
      </c>
      <c r="C116" s="38" t="n"/>
      <c r="D116" s="38" t="inlineStr">
        <is>
          <t>Levetiracetam 500 mg BID</t>
        </is>
      </c>
      <c r="E116" s="38" t="inlineStr">
        <is>
          <t>Gabapentin 300 mg TID</t>
        </is>
      </c>
      <c r="F116" s="38" t="inlineStr">
        <is>
          <t>Pregabalin 75 mg BID</t>
        </is>
      </c>
      <c r="G116" s="38" t="inlineStr">
        <is>
          <t>Levodopa/Benserazide 100/25 mg TID</t>
        </is>
      </c>
      <c r="H116" s="38" t="inlineStr">
        <is>
          <t>Sumatriptan 50 mg stat</t>
        </is>
      </c>
      <c r="I116" s="37" t="inlineStr">
        <is>
          <t>1</t>
        </is>
      </c>
      <c r="J116"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38" t="n"/>
      <c r="L116" s="39" t="inlineStr">
        <is>
          <t>Headache</t>
        </is>
      </c>
      <c r="M116" s="39" t="inlineStr">
        <is>
          <t>Clinic</t>
        </is>
      </c>
      <c r="N116" s="38" t="inlineStr">
        <is>
          <t>ข้อ 2 (PLE_CC1_Practice_Exam.md)</t>
        </is>
      </c>
      <c r="O116" s="39" t="n"/>
      <c r="P116" s="39" t="n"/>
    </row>
    <row r="117" ht="13.2" customHeight="1" s="49">
      <c r="A117" s="37" t="n">
        <v>115</v>
      </c>
      <c r="B117" s="38" t="inlineStr">
        <is>
          <t>กินร่วมกับ Phenytoin ได้ ะ</t>
        </is>
      </c>
      <c r="C117" s="38" t="n"/>
      <c r="D117" s="38" t="inlineStr">
        <is>
          <t>Levodopa/Benserazide 100/25 mg TID</t>
        </is>
      </c>
      <c r="E117" s="38" t="inlineStr">
        <is>
          <t>Sumatriptan 50 mg stat</t>
        </is>
      </c>
      <c r="F117" s="38" t="inlineStr">
        <is>
          <t>Propranolol 40 mg BID</t>
        </is>
      </c>
      <c r="G117" s="38" t="inlineStr">
        <is>
          <t>Topiramate 25 mg BID</t>
        </is>
      </c>
      <c r="H117" s="38" t="inlineStr">
        <is>
          <t>Donepezil 5 mg HS</t>
        </is>
      </c>
      <c r="I117" s="37" t="inlineStr">
        <is>
          <t>1</t>
        </is>
      </c>
      <c r="J117" s="38"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38" t="n"/>
      <c r="L117" s="39" t="inlineStr">
        <is>
          <t>Epilepsy</t>
        </is>
      </c>
      <c r="M117" s="39" t="inlineStr">
        <is>
          <t>Clinic</t>
        </is>
      </c>
      <c r="N117" s="38" t="inlineStr">
        <is>
          <t>ข้อ 4 (PLE_CC1_Key_Rx20_UBU.md)</t>
        </is>
      </c>
      <c r="O117" s="39" t="n"/>
      <c r="P117" s="39" t="n"/>
    </row>
    <row r="118" ht="13.2" customHeight="1" s="49">
      <c r="A118" s="37" t="n">
        <v>116</v>
      </c>
      <c r="B118" s="38" t="inlineStr">
        <is>
          <t>กลไกการออกฤทธิ์ของ Carbamazepine</t>
        </is>
      </c>
      <c r="C118" s="38" t="n"/>
      <c r="D118" s="38" t="inlineStr">
        <is>
          <t>จับกับ Na Channel ใน inactivated state</t>
        </is>
      </c>
      <c r="E118" s="38" t="inlineStr">
        <is>
          <t>จับกับ T-type Calcium Channel</t>
        </is>
      </c>
      <c r="F118" s="38" t="inlineStr">
        <is>
          <t>GABA-Chloride</t>
        </is>
      </c>
      <c r="G118" s="38" t="inlineStr">
        <is>
          <t>NMDA</t>
        </is>
      </c>
      <c r="H118" s="38" t="inlineStr">
        <is>
          <t>ยับยั้ง 2nd messenger</t>
        </is>
      </c>
      <c r="I118" s="37" t="inlineStr">
        <is>
          <t>1</t>
        </is>
      </c>
      <c r="J118" s="38"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38" t="n"/>
      <c r="L118" s="39" t="inlineStr">
        <is>
          <t>Epilepsy</t>
        </is>
      </c>
      <c r="M118" s="39" t="inlineStr">
        <is>
          <t>Clinic</t>
        </is>
      </c>
      <c r="N118" s="38" t="inlineStr">
        <is>
          <t>ข้อ 3 (PLE_CC1_Key_Rx20_UBU.md)</t>
        </is>
      </c>
      <c r="O118" s="39" t="n"/>
      <c r="P118" s="39" t="n"/>
    </row>
    <row r="119" ht="13.2" customHeight="1" s="49">
      <c r="A119" s="37" t="n">
        <v>117</v>
      </c>
      <c r="B119" s="38" t="inlineStr">
        <is>
          <t>Carbamazepine นอกจากจะมีข้อบ่งใช้ในโรคลมชัก ยังสามารถรักษาโรคอะไรได้</t>
        </is>
      </c>
      <c r="C119" s="38" t="n"/>
      <c r="D119" s="38" t="inlineStr">
        <is>
          <t>Antianxiety</t>
        </is>
      </c>
      <c r="E119" s="38" t="inlineStr">
        <is>
          <t>Smoking withdrawal</t>
        </is>
      </c>
      <c r="F119" s="38" t="inlineStr">
        <is>
          <t>Trigeminal neuralgia</t>
        </is>
      </c>
      <c r="G119" s="38" t="inlineStr">
        <is>
          <t>Pakinsonism dysarthria</t>
        </is>
      </c>
      <c r="H119" s="38" t="inlineStr">
        <is>
          <t>Febrile convulsion คำอธิบาย</t>
        </is>
      </c>
      <c r="I119" s="37" t="inlineStr">
        <is>
          <t>3</t>
        </is>
      </c>
      <c r="J119" s="38"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38" t="n"/>
      <c r="L119" s="39" t="inlineStr">
        <is>
          <t>Epilepsy</t>
        </is>
      </c>
      <c r="M119" s="39" t="inlineStr">
        <is>
          <t>Clinic</t>
        </is>
      </c>
      <c r="N119" s="38" t="inlineStr">
        <is>
          <t>ข้อ 4 (PLE_CC1_Key_Rx20_UBU.md)</t>
        </is>
      </c>
      <c r="O119" s="39" t="n"/>
      <c r="P119" s="39" t="n"/>
    </row>
    <row r="120" ht="13.2" customHeight="1" s="49">
      <c r="A120" s="37" t="n">
        <v>118</v>
      </c>
      <c r="B120" s="38" t="inlineStr">
        <is>
          <t>ยา Carbamazepine จะเพิ่มขึ้นเมื่อใช้ร่วมกับ</t>
        </is>
      </c>
      <c r="C120" s="38" t="n"/>
      <c r="D120" s="38" t="inlineStr">
        <is>
          <t>Folic acid</t>
        </is>
      </c>
      <c r="E120" s="38" t="inlineStr">
        <is>
          <t>Phenytoin</t>
        </is>
      </c>
      <c r="F120" s="38" t="inlineStr">
        <is>
          <t>Nevirapine</t>
        </is>
      </c>
      <c r="G120" s="38" t="inlineStr">
        <is>
          <t>Clarithromycin</t>
        </is>
      </c>
      <c r="H120" s="38" t="inlineStr">
        <is>
          <t>Mebendazole</t>
        </is>
      </c>
      <c r="I120" s="37" t="inlineStr">
        <is>
          <t>4</t>
        </is>
      </c>
      <c r="J120" s="38"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38" t="n"/>
      <c r="L120" s="39" t="inlineStr">
        <is>
          <t>Epilepsy</t>
        </is>
      </c>
      <c r="M120" s="39" t="inlineStr">
        <is>
          <t>Clinic</t>
        </is>
      </c>
      <c r="N120" s="38" t="inlineStr">
        <is>
          <t>ข้อ 5 (PLE_CC1_Key_Rx20_UBU.md)</t>
        </is>
      </c>
      <c r="O120" s="39" t="n"/>
      <c r="P120" s="39" t="n"/>
    </row>
    <row r="121" ht="13.2" customHeight="1" s="49">
      <c r="A121" s="37" t="n">
        <v>119</v>
      </c>
      <c r="B121" s="38" t="inlineStr">
        <is>
          <t>Carbamazepine</t>
        </is>
      </c>
      <c r="C121" s="38" t="n"/>
      <c r="D121" s="38" t="inlineStr">
        <is>
          <t>Pregabalin 75 mg BID</t>
        </is>
      </c>
      <c r="E121" s="38" t="inlineStr">
        <is>
          <t>Levodopa/Benserazide 100/25 mg TID</t>
        </is>
      </c>
      <c r="F121" s="38" t="inlineStr">
        <is>
          <t>Sumatriptan 50 mg stat</t>
        </is>
      </c>
      <c r="G121" s="38" t="inlineStr">
        <is>
          <t>Propranolol 40 mg BID</t>
        </is>
      </c>
      <c r="H121" s="38" t="inlineStr">
        <is>
          <t>Topiramate 25 mg BID</t>
        </is>
      </c>
      <c r="I121" s="37" t="inlineStr">
        <is>
          <t>1</t>
        </is>
      </c>
      <c r="J121" s="38"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38" t="n"/>
      <c r="L121" s="39" t="inlineStr">
        <is>
          <t>Epilepsy</t>
        </is>
      </c>
      <c r="M121" s="39" t="inlineStr">
        <is>
          <t>Clinic</t>
        </is>
      </c>
      <c r="N121" s="38" t="inlineStr">
        <is>
          <t>ข้อ 5 (PLE_CC1_Key_Rx20_UBU.md)</t>
        </is>
      </c>
      <c r="O121" s="39" t="n"/>
      <c r="P121" s="39" t="n"/>
    </row>
    <row r="122" ht="13.2" customHeight="1" s="49">
      <c r="A122" s="37" t="n">
        <v>120</v>
      </c>
      <c r="B122" s="38"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38" t="n"/>
      <c r="D122" s="38" t="inlineStr">
        <is>
          <t>Propranolol 40 mg BID</t>
        </is>
      </c>
      <c r="E122" s="38" t="inlineStr">
        <is>
          <t>Topiramate 25 mg BID</t>
        </is>
      </c>
      <c r="F122" s="38" t="inlineStr">
        <is>
          <t>Donepezil 5 mg HS</t>
        </is>
      </c>
      <c r="G122" s="38" t="inlineStr">
        <is>
          <t>Alteplase (rtPA) 0.9 mg/kg IV</t>
        </is>
      </c>
      <c r="H122" s="38" t="inlineStr">
        <is>
          <t>Phenytoin 100 mg TID</t>
        </is>
      </c>
      <c r="I122" s="37" t="inlineStr">
        <is>
          <t>1</t>
        </is>
      </c>
      <c r="J122" s="38"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38" t="n"/>
      <c r="L122" s="39" t="inlineStr">
        <is>
          <t>Headache</t>
        </is>
      </c>
      <c r="M122" s="39" t="inlineStr">
        <is>
          <t>Clinic</t>
        </is>
      </c>
      <c r="N122" s="38" t="inlineStr">
        <is>
          <t>ข้อ 47 (PLE_CC1_Key_Rx20_UBU.md)</t>
        </is>
      </c>
      <c r="O122" s="39" t="n"/>
      <c r="P122" s="39" t="n"/>
    </row>
    <row r="123" ht="13.2" customHeight="1" s="49">
      <c r="A123" s="37" t="n">
        <v>121</v>
      </c>
      <c r="B123" s="38" t="inlineStr">
        <is>
          <t>Phenytoin keto เพิ่มระดับ phenytoin, phenytoin ลดระดับ keto (Major)</t>
        </is>
      </c>
      <c r="C123" s="38" t="n"/>
      <c r="D123" s="38" t="inlineStr">
        <is>
          <t>Alteplase (rtPA) 0.9 mg/kg IV</t>
        </is>
      </c>
      <c r="E123" s="38" t="inlineStr">
        <is>
          <t>Phenytoin 100 mg TID</t>
        </is>
      </c>
      <c r="F123" s="38" t="inlineStr">
        <is>
          <t>Sodium valproate 200 mg TID</t>
        </is>
      </c>
      <c r="G123" s="38" t="inlineStr">
        <is>
          <t>Carbamazepine 200 mg BID</t>
        </is>
      </c>
      <c r="H123" s="38" t="inlineStr">
        <is>
          <t>Lamotrigine 50 mg OD</t>
        </is>
      </c>
      <c r="I123" s="37" t="inlineStr">
        <is>
          <t>1</t>
        </is>
      </c>
      <c r="J123" s="38"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38" t="n"/>
      <c r="L123" s="39" t="inlineStr">
        <is>
          <t>Epilepsy</t>
        </is>
      </c>
      <c r="M123" s="39" t="inlineStr">
        <is>
          <t>Clinic</t>
        </is>
      </c>
      <c r="N123" s="38" t="inlineStr">
        <is>
          <t>ข้อ 1 (PLE_CC1_Key_Rx20_UBU.md)</t>
        </is>
      </c>
      <c r="O123" s="39" t="n"/>
      <c r="P123" s="39" t="n"/>
    </row>
    <row r="124" ht="13.2" customHeight="1" s="49">
      <c r="A124" s="37" t="n">
        <v>122</v>
      </c>
      <c r="B124" s="38" t="inlineStr">
        <is>
          <t>ข$อใดไมGใชGอาการแสดงของผู$ป&amp;วย Parkinson’s disease (1) Hypertension (2) Resting tremor (3) Impaired balance (4) Slowness of movement (5) Stiffness to limb movement</t>
        </is>
      </c>
      <c r="C124" s="38" t="n"/>
      <c r="D124" s="38" t="inlineStr">
        <is>
          <t>Carbamazepine 200 mg BID</t>
        </is>
      </c>
      <c r="E124" s="38" t="inlineStr">
        <is>
          <t>Lamotrigine 50 mg OD</t>
        </is>
      </c>
      <c r="F124" s="38" t="inlineStr">
        <is>
          <t>Levetiracetam 500 mg BID</t>
        </is>
      </c>
      <c r="G124" s="38" t="inlineStr">
        <is>
          <t>Gabapentin 300 mg TID</t>
        </is>
      </c>
      <c r="H124" s="38" t="inlineStr">
        <is>
          <t>Pregabalin 75 mg BID</t>
        </is>
      </c>
      <c r="I124" s="37" t="inlineStr">
        <is>
          <t>5</t>
        </is>
      </c>
      <c r="J124" s="38"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38" t="n"/>
      <c r="L124" s="39" t="inlineStr">
        <is>
          <t>Parkinson disease</t>
        </is>
      </c>
      <c r="M124" s="39" t="inlineStr">
        <is>
          <t>Clinic</t>
        </is>
      </c>
      <c r="N124" s="38" t="inlineStr">
        <is>
          <t>ข้อ 73 (PLE_CC1_Key_Rx20_UBU.md)</t>
        </is>
      </c>
      <c r="O124" s="39" t="n"/>
      <c r="P124" s="39" t="n"/>
    </row>
    <row r="125" ht="13.2" customHeight="1" s="49">
      <c r="A125" s="37" t="n">
        <v>123</v>
      </c>
      <c r="B125" s="38" t="inlineStr">
        <is>
          <t>รับประทานยากันชัก</t>
        </is>
      </c>
      <c r="C125" s="38" t="n"/>
      <c r="D125" s="38" t="inlineStr">
        <is>
          <t>Gabapentin 300 mg TID</t>
        </is>
      </c>
      <c r="E125" s="38" t="inlineStr">
        <is>
          <t>Pregabalin 75 mg BID</t>
        </is>
      </c>
      <c r="F125" s="38" t="inlineStr">
        <is>
          <t>Levodopa/Benserazide 100/25 mg TID</t>
        </is>
      </c>
      <c r="G125" s="38" t="inlineStr">
        <is>
          <t>Sumatriptan 50 mg stat</t>
        </is>
      </c>
      <c r="H125" s="38" t="inlineStr">
        <is>
          <t>Propranolol 40 mg BID</t>
        </is>
      </c>
      <c r="I125" s="37" t="inlineStr">
        <is>
          <t>1</t>
        </is>
      </c>
      <c r="J125" s="38"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38" t="n"/>
      <c r="L125" s="39" t="inlineStr">
        <is>
          <t>Epilepsy</t>
        </is>
      </c>
      <c r="M125" s="39" t="inlineStr">
        <is>
          <t>Clinic</t>
        </is>
      </c>
      <c r="N125" s="38" t="inlineStr">
        <is>
          <t>ข้อ 2 (PLE_CC1_Key_Rx20_UBU.md)</t>
        </is>
      </c>
      <c r="O125" s="39" t="n"/>
      <c r="P125" s="39" t="n"/>
    </row>
    <row r="126" ht="13.2" customHeight="1" s="49">
      <c r="A126" s="37" t="n">
        <v>124</v>
      </c>
      <c r="B126" s="38" t="inlineStr">
        <is>
          <t>ลดความถี่ในการให้ยา levodopa</t>
        </is>
      </c>
      <c r="C126" s="38" t="n"/>
      <c r="D126" s="38" t="inlineStr">
        <is>
          <t>Sumatriptan 50 mg stat</t>
        </is>
      </c>
      <c r="E126" s="38" t="inlineStr">
        <is>
          <t>Propranolol 40 mg BID</t>
        </is>
      </c>
      <c r="F126" s="38" t="inlineStr">
        <is>
          <t>Topiramate 25 mg BID</t>
        </is>
      </c>
      <c r="G126" s="38" t="inlineStr">
        <is>
          <t>Donepezil 5 mg HS</t>
        </is>
      </c>
      <c r="H126" s="38" t="inlineStr">
        <is>
          <t>Alteplase (rtPA) 0.9 mg/kg IV</t>
        </is>
      </c>
      <c r="I126" s="37" t="inlineStr">
        <is>
          <t>1</t>
        </is>
      </c>
      <c r="J126" s="38"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38" t="n"/>
      <c r="L126" s="39" t="inlineStr">
        <is>
          <t>Parkinson disease</t>
        </is>
      </c>
      <c r="M126" s="39" t="inlineStr">
        <is>
          <t>Clinic</t>
        </is>
      </c>
      <c r="N126" s="38" t="inlineStr">
        <is>
          <t>ข้อ 1 (PLE_CC1_Key_Rx20_UBU.md)</t>
        </is>
      </c>
      <c r="O126" s="39" t="n"/>
      <c r="P126" s="39" t="n"/>
    </row>
    <row r="127" ht="13.2" customHeight="1" s="49">
      <c r="A127" s="37" t="n">
        <v>125</v>
      </c>
      <c r="B127" s="38" t="inlineStr">
        <is>
          <t>ลดการปรับขนาดยา levodopa</t>
        </is>
      </c>
      <c r="C127" s="38" t="n"/>
      <c r="D127" s="38" t="inlineStr">
        <is>
          <t>Donepezil 5 mg HS</t>
        </is>
      </c>
      <c r="E127" s="38" t="inlineStr">
        <is>
          <t>Alteplase (rtPA) 0.9 mg/kg IV</t>
        </is>
      </c>
      <c r="F127" s="38" t="inlineStr">
        <is>
          <t>Phenytoin 100 mg TID</t>
        </is>
      </c>
      <c r="G127" s="38" t="inlineStr">
        <is>
          <t>Sodium valproate 200 mg TID</t>
        </is>
      </c>
      <c r="H127" s="38" t="inlineStr">
        <is>
          <t>Carbamazepine 200 mg BID</t>
        </is>
      </c>
      <c r="I127" s="37" t="inlineStr">
        <is>
          <t>1</t>
        </is>
      </c>
      <c r="J127" s="38"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38" t="n"/>
      <c r="L127" s="39" t="inlineStr">
        <is>
          <t>Parkinson disease</t>
        </is>
      </c>
      <c r="M127" s="39" t="inlineStr">
        <is>
          <t>Clinic</t>
        </is>
      </c>
      <c r="N127" s="38" t="inlineStr">
        <is>
          <t>ข้อ 4 (PLE_CC1_Key_Rx20_UBU.md)</t>
        </is>
      </c>
      <c r="O127" s="39" t="n"/>
      <c r="P127" s="39" t="n"/>
    </row>
    <row r="128" ht="13.2" customHeight="1" s="49">
      <c r="A128" s="37" t="n">
        <v>126</v>
      </c>
      <c r="B128" s="38" t="inlineStr">
        <is>
          <t>จากโครงสร้าง levodopa เปลี่ยนเป็นสารในรูปออกฤทธิ์ผ่านกลไกใด</t>
        </is>
      </c>
      <c r="C128" s="38" t="n"/>
      <c r="D128" s="38" t="inlineStr">
        <is>
          <t>Sodium valproate 200 mg TID</t>
        </is>
      </c>
      <c r="E128" s="38" t="inlineStr">
        <is>
          <t>Carbamazepine 200 mg BID</t>
        </is>
      </c>
      <c r="F128" s="38" t="inlineStr">
        <is>
          <t>Lamotrigine 50 mg OD</t>
        </is>
      </c>
      <c r="G128" s="38" t="inlineStr">
        <is>
          <t>Levetiracetam 500 mg BID</t>
        </is>
      </c>
      <c r="H128" s="38" t="inlineStr">
        <is>
          <t>Gabapentin 300 mg TID</t>
        </is>
      </c>
      <c r="I128" s="37" t="inlineStr">
        <is>
          <t>1</t>
        </is>
      </c>
      <c r="J128" s="38"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38" t="n"/>
      <c r="L128" s="39" t="inlineStr">
        <is>
          <t>Parkinson disease</t>
        </is>
      </c>
      <c r="M128" s="39" t="inlineStr">
        <is>
          <t>Clinic</t>
        </is>
      </c>
      <c r="N128" s="38" t="inlineStr">
        <is>
          <t>ข้อ 2 (PLE_CC1_Key_Rx20_UBU.md)</t>
        </is>
      </c>
      <c r="O128" s="39" t="n"/>
      <c r="P128" s="39" t="n"/>
    </row>
    <row r="129" ht="13.2" customHeight="1" s="49">
      <c r="A129" s="37" t="n">
        <v>127</v>
      </c>
      <c r="B129" s="38" t="inlineStr">
        <is>
          <t>Levodopa ใช้ไม่ได้ผลอีกต่อไป</t>
        </is>
      </c>
      <c r="C129" s="38" t="n"/>
      <c r="D129" s="38" t="inlineStr">
        <is>
          <t>Levetiracetam 500 mg BID</t>
        </is>
      </c>
      <c r="E129" s="38" t="inlineStr">
        <is>
          <t>Gabapentin 300 mg TID</t>
        </is>
      </c>
      <c r="F129" s="38" t="inlineStr">
        <is>
          <t>Pregabalin 75 mg BID</t>
        </is>
      </c>
      <c r="G129" s="38" t="inlineStr">
        <is>
          <t>Levodopa/Benserazide 100/25 mg TID</t>
        </is>
      </c>
      <c r="H129" s="38" t="inlineStr">
        <is>
          <t>Sumatriptan 50 mg stat</t>
        </is>
      </c>
      <c r="I129" s="37" t="inlineStr">
        <is>
          <t>1</t>
        </is>
      </c>
      <c r="J129" s="38"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38" t="n"/>
      <c r="L129" s="39" t="inlineStr">
        <is>
          <t>Parkinson disease</t>
        </is>
      </c>
      <c r="M129" s="39" t="inlineStr">
        <is>
          <t>Clinic</t>
        </is>
      </c>
      <c r="N129" s="38" t="inlineStr">
        <is>
          <t>ข้อ 1 (PLE_CC1_Key_Rx20_UBU.md)</t>
        </is>
      </c>
      <c r="O129" s="39" t="n"/>
      <c r="P129" s="39" t="n"/>
    </row>
    <row r="130" ht="13.2" customHeight="1" s="49">
      <c r="A130" s="37" t="n">
        <v>128</v>
      </c>
      <c r="B130" s="38" t="inlineStr">
        <is>
          <t>ระยะเวลาในการออกฤทธิ์ของ Levodopa สั้นลง</t>
        </is>
      </c>
      <c r="C130" s="38" t="n"/>
      <c r="D130" s="38" t="inlineStr">
        <is>
          <t>Levodopa/Benserazide 100/25 mg TID</t>
        </is>
      </c>
      <c r="E130" s="38" t="inlineStr">
        <is>
          <t>Sumatriptan 50 mg stat</t>
        </is>
      </c>
      <c r="F130" s="38" t="inlineStr">
        <is>
          <t>Propranolol 40 mg BID</t>
        </is>
      </c>
      <c r="G130" s="38" t="inlineStr">
        <is>
          <t>Topiramate 25 mg BID</t>
        </is>
      </c>
      <c r="H130" s="38" t="inlineStr">
        <is>
          <t>Donepezil 5 mg HS</t>
        </is>
      </c>
      <c r="I130" s="37" t="inlineStr">
        <is>
          <t>1</t>
        </is>
      </c>
      <c r="J130" s="38"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38" t="n"/>
      <c r="L130" s="39" t="inlineStr">
        <is>
          <t>Parkinson disease</t>
        </is>
      </c>
      <c r="M130" s="39" t="inlineStr">
        <is>
          <t>Clinic</t>
        </is>
      </c>
      <c r="N130" s="38" t="inlineStr">
        <is>
          <t>ข้อ 2 (PLE_CC1_Key_Rx20_UBU.md)</t>
        </is>
      </c>
      <c r="O130" s="39" t="n"/>
      <c r="P130" s="39" t="n"/>
    </row>
    <row r="131" ht="13.2" customHeight="1" s="49">
      <c r="A131" s="37" t="n">
        <v>129</v>
      </c>
      <c r="B131" s="38" t="inlineStr">
        <is>
          <t>การเพิ่มความถี ของการให้ levodopa</t>
        </is>
      </c>
      <c r="C131" s="38" t="n"/>
      <c r="D131" s="38" t="inlineStr">
        <is>
          <t>Topiramate 25 mg BID</t>
        </is>
      </c>
      <c r="E131" s="38" t="inlineStr">
        <is>
          <t>Donepezil 5 mg HS</t>
        </is>
      </c>
      <c r="F131" s="38" t="inlineStr">
        <is>
          <t>Alteplase (rtPA) 0.9 mg/kg IV</t>
        </is>
      </c>
      <c r="G131" s="38" t="inlineStr">
        <is>
          <t>Phenytoin 100 mg TID</t>
        </is>
      </c>
      <c r="H131" s="38" t="inlineStr">
        <is>
          <t>Sodium valproate 200 mg TID</t>
        </is>
      </c>
      <c r="I131" s="37" t="inlineStr">
        <is>
          <t>1</t>
        </is>
      </c>
      <c r="J131" s="38"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38" t="n"/>
      <c r="L131" s="39" t="inlineStr">
        <is>
          <t>Parkinson disease</t>
        </is>
      </c>
      <c r="M131" s="39" t="inlineStr">
        <is>
          <t>Clinic</t>
        </is>
      </c>
      <c r="N131" s="38" t="inlineStr">
        <is>
          <t>ข้อ 1 (PLE_CC1_Key_Rx20_UBU.md)</t>
        </is>
      </c>
      <c r="O131" s="39" t="n"/>
      <c r="P131" s="39" t="n"/>
    </row>
    <row r="132" ht="13.2" customHeight="1" s="49">
      <c r="A132" s="37" t="n">
        <v>130</v>
      </c>
      <c r="B132" s="38" t="inlineStr">
        <is>
          <t>ใช้ร่วมกับยา carbamazepine</t>
        </is>
      </c>
      <c r="C132" s="38" t="n"/>
      <c r="D132" s="38" t="inlineStr">
        <is>
          <t>Phenytoin 100 mg TID</t>
        </is>
      </c>
      <c r="E132" s="38" t="inlineStr">
        <is>
          <t>Sodium valproate 200 mg TID</t>
        </is>
      </c>
      <c r="F132" s="38" t="inlineStr">
        <is>
          <t>Carbamazepine 200 mg BID</t>
        </is>
      </c>
      <c r="G132" s="38" t="inlineStr">
        <is>
          <t>Lamotrigine 50 mg OD</t>
        </is>
      </c>
      <c r="H132" s="38" t="inlineStr">
        <is>
          <t>Levetiracetam 500 mg BID</t>
        </is>
      </c>
      <c r="I132" s="37" t="inlineStr">
        <is>
          <t>1</t>
        </is>
      </c>
      <c r="J132" s="38"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38" t="n"/>
      <c r="L132" s="39" t="inlineStr">
        <is>
          <t>Epilepsy</t>
        </is>
      </c>
      <c r="M132" s="39" t="inlineStr">
        <is>
          <t>Clinic</t>
        </is>
      </c>
      <c r="N132" s="38" t="inlineStr">
        <is>
          <t>ข้อ 3 (PLE_CC1_Key_Rx20_UBU.md)</t>
        </is>
      </c>
      <c r="O132" s="39" t="n"/>
      <c r="P132" s="39" t="n"/>
    </row>
    <row r="133" ht="13.2" customHeight="1" s="49">
      <c r="A133" s="37" t="n">
        <v>131</v>
      </c>
      <c r="B133" s="38" t="inlineStr">
        <is>
          <t>Portal hypertension</t>
        </is>
      </c>
      <c r="C133" s="38" t="n"/>
      <c r="D133" s="38" t="inlineStr">
        <is>
          <t>Lamotrigine 50 mg OD</t>
        </is>
      </c>
      <c r="E133" s="38" t="inlineStr">
        <is>
          <t>Levetiracetam 500 mg BID</t>
        </is>
      </c>
      <c r="F133" s="38" t="inlineStr">
        <is>
          <t>Gabapentin 300 mg TID</t>
        </is>
      </c>
      <c r="G133" s="38" t="inlineStr">
        <is>
          <t>Pregabalin 75 mg BID</t>
        </is>
      </c>
      <c r="H133" s="38" t="inlineStr">
        <is>
          <t>Levodopa/Benserazide 100/25 mg TID</t>
        </is>
      </c>
      <c r="I133" s="37" t="inlineStr">
        <is>
          <t>1</t>
        </is>
      </c>
      <c r="J133" s="38"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38" t="n"/>
      <c r="L133" s="39" t="inlineStr">
        <is>
          <t>Headache</t>
        </is>
      </c>
      <c r="M133" s="39" t="inlineStr">
        <is>
          <t>Clinic</t>
        </is>
      </c>
      <c r="N133" s="38" t="inlineStr">
        <is>
          <t>ข้อ 1 (PLE_CC1_Key_Rx20_UBU.md)</t>
        </is>
      </c>
      <c r="O133" s="39" t="n"/>
      <c r="P133" s="39" t="n"/>
    </row>
    <row r="134" ht="13.2" customHeight="1" s="49">
      <c r="A134" s="37" t="n">
        <v>132</v>
      </c>
      <c r="B134" s="38" t="inlineStr">
        <is>
          <t>ยาที่ใชเพื่อปองกันไมเกรนที่เหมาะสมในผูปวยรายนี้</t>
        </is>
      </c>
      <c r="C134" s="38" t="n"/>
      <c r="D134" s="38" t="inlineStr">
        <is>
          <t>Pregabalin 75 mg BID</t>
        </is>
      </c>
      <c r="E134" s="38" t="inlineStr">
        <is>
          <t>Levodopa/Benserazide 100/25 mg TID</t>
        </is>
      </c>
      <c r="F134" s="38" t="inlineStr">
        <is>
          <t>Sumatriptan 50 mg stat</t>
        </is>
      </c>
      <c r="G134" s="38" t="inlineStr">
        <is>
          <t>Propranolol 40 mg BID</t>
        </is>
      </c>
      <c r="H134" s="38" t="inlineStr">
        <is>
          <t>Topiramate 25 mg BID</t>
        </is>
      </c>
      <c r="I134" s="37" t="inlineStr">
        <is>
          <t>1</t>
        </is>
      </c>
      <c r="J134" s="38"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38" t="n"/>
      <c r="L134" s="39" t="inlineStr">
        <is>
          <t>Headache</t>
        </is>
      </c>
      <c r="M134" s="39" t="inlineStr">
        <is>
          <t>Clinic</t>
        </is>
      </c>
      <c r="N134" s="38" t="inlineStr">
        <is>
          <t>ข้อ 3 (PLE_CC1_Key_Rx20_UBU.md)</t>
        </is>
      </c>
      <c r="O134" s="39" t="n"/>
      <c r="P134" s="39" t="n"/>
    </row>
    <row r="135" ht="13.2" customHeight="1" s="49">
      <c r="A135" t="n">
        <v>133</v>
      </c>
      <c r="B135"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D135" t="inlineStr">
        <is>
          <t>Losartan 50 mg OD</t>
        </is>
      </c>
      <c r="E135" t="inlineStr">
        <is>
          <t>Enalapril 10 mg BID</t>
        </is>
      </c>
      <c r="F135" t="inlineStr">
        <is>
          <t>Hydrochlorothiazide 25 mg OD</t>
        </is>
      </c>
      <c r="G135" t="inlineStr">
        <is>
          <t>Atorvastatin 20 mg OD</t>
        </is>
      </c>
      <c r="I135" t="inlineStr">
        <is>
          <t>2</t>
        </is>
      </c>
      <c r="J135"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L135" t="inlineStr">
        <is>
          <t>Coronary artery disease</t>
        </is>
      </c>
      <c r="M135" t="inlineStr">
        <is>
          <t>Clinic</t>
        </is>
      </c>
      <c r="N135" t="inlineStr">
        <is>
          <t>PLE_CC1_2564_All_Key ข้อ 51</t>
        </is>
      </c>
    </row>
    <row r="136" ht="13.2" customHeight="1" s="49">
      <c r="A136" t="n">
        <v>134</v>
      </c>
      <c r="B136" t="inlineStr">
        <is>
          <t>ข้อใดไม่ใช่ข้อห้ามใช้ของ Ergotamine</t>
        </is>
      </c>
      <c r="D136" t="inlineStr">
        <is>
          <t>Hypothyroidism</t>
        </is>
      </c>
      <c r="E136" t="inlineStr">
        <is>
          <t>Myocardial infarction</t>
        </is>
      </c>
      <c r="F136" t="inlineStr">
        <is>
          <t>Transient ischemic attack</t>
        </is>
      </c>
      <c r="G136" t="inlineStr">
        <is>
          <t>Pregnancy</t>
        </is>
      </c>
      <c r="H136" t="inlineStr">
        <is>
          <t>Poorly controlled hypertension</t>
        </is>
      </c>
      <c r="I136" t="inlineStr">
        <is>
          <t>1</t>
        </is>
      </c>
      <c r="J13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6" t="inlineStr">
        <is>
          <t>Hypertension</t>
        </is>
      </c>
      <c r="M136" t="inlineStr">
        <is>
          <t>Clinic</t>
        </is>
      </c>
      <c r="N136" t="inlineStr">
        <is>
          <t>ข้อ 1 (PLE_CC1_2560 22 April Set 1.md)</t>
        </is>
      </c>
    </row>
    <row r="137" ht="13.2" customHeight="1" s="49">
      <c r="A137" t="n">
        <v>135</v>
      </c>
      <c r="B137" t="inlineStr">
        <is>
          <t>ข้อใดผิดเกี่ยวกับการรับประทาน Ergotamine</t>
        </is>
      </c>
      <c r="D137" t="inlineStr">
        <is>
          <t>รับประทาน 2 เม็ด ทันทีที่มีอาการ</t>
        </is>
      </c>
      <c r="E137" t="inlineStr">
        <is>
          <t>รอ 1 ชั่วโมง ถ้ายังมีอาการให้ทานเพิ่ม</t>
        </is>
      </c>
      <c r="F137" t="inlineStr">
        <is>
          <t>รับประทานยาอีก 1 เม็ด หากอาการไม่ดีขึ น ทุก 30 นาที</t>
        </is>
      </c>
      <c r="G137" t="inlineStr">
        <is>
          <t>รับประทานได้ไม่เกิน 6 เม็ด ต่อการปวด 1 ครั ง</t>
        </is>
      </c>
      <c r="H137" t="inlineStr">
        <is>
          <t>รับประทานไม่เกิน 10 เม็ด ต่อสัปดาห์</t>
        </is>
      </c>
      <c r="I137" t="inlineStr">
        <is>
          <t>1</t>
        </is>
      </c>
      <c r="J137"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7" t="inlineStr">
        <is>
          <t>Hypertension</t>
        </is>
      </c>
      <c r="M137" t="inlineStr">
        <is>
          <t>Clinic</t>
        </is>
      </c>
      <c r="N137" t="inlineStr">
        <is>
          <t>ข้อ 2 (PLE_CC1_2560 22 April Set 1.md)</t>
        </is>
      </c>
    </row>
    <row r="138" ht="13.2" customHeight="1" s="49">
      <c r="A138" t="n">
        <v>136</v>
      </c>
      <c r="B138" t="inlineStr">
        <is>
          <t>โครงสร้างของ Ergotamine ข้อใดถูก</t>
        </is>
      </c>
      <c r="D138" t="inlineStr">
        <is>
          <t>มี Chiral carbon 4 ต้าแหน่ง</t>
        </is>
      </c>
      <c r="E138" t="inlineStr">
        <is>
          <t>ละลายน ้าดี</t>
        </is>
      </c>
      <c r="F138" t="inlineStr">
        <is>
          <t>pKa = 4.0</t>
        </is>
      </c>
      <c r="G138" t="inlineStr">
        <is>
          <t>ดูดซึมได้ดี</t>
        </is>
      </c>
      <c r="H138" t="inlineStr">
        <is>
          <t>เป็น Indole alkaloid</t>
        </is>
      </c>
      <c r="I138" t="inlineStr">
        <is>
          <t>1</t>
        </is>
      </c>
      <c r="J138"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8" t="inlineStr">
        <is>
          <t>Hypertension</t>
        </is>
      </c>
      <c r="M138" t="inlineStr">
        <is>
          <t>Clinic</t>
        </is>
      </c>
      <c r="N138" t="inlineStr">
        <is>
          <t>ข้อ 3 (PLE_CC1_2560 22 April Set 1.md)</t>
        </is>
      </c>
    </row>
    <row r="139" ht="13.2" customHeight="1" s="49">
      <c r="A139" t="n">
        <v>137</v>
      </c>
      <c r="B139" t="inlineStr">
        <is>
          <t>Lopinavir/ritonavir กับ ergotamine เกิด DI ผ่านกลไกใด</t>
        </is>
      </c>
      <c r="D139" t="inlineStr">
        <is>
          <t>เพิ่มการ metabolism ของ ergotamine</t>
        </is>
      </c>
      <c r="E139" t="inlineStr">
        <is>
          <t>เพิ่มการ ขับออกของ ergotamine</t>
        </is>
      </c>
      <c r="F139" t="inlineStr">
        <is>
          <t>ลดการ metabolism ของ ergotamine</t>
        </is>
      </c>
      <c r="G139" t="inlineStr">
        <is>
          <t>ลดการ ขับออกของ ergotamine</t>
        </is>
      </c>
      <c r="H139" t="inlineStr">
        <is>
          <t>เพิ่มการดูดซึม ergotamine</t>
        </is>
      </c>
      <c r="I139" t="inlineStr">
        <is>
          <t>1</t>
        </is>
      </c>
      <c r="J139"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39" t="inlineStr">
        <is>
          <t>Hypertension</t>
        </is>
      </c>
      <c r="M139" t="inlineStr">
        <is>
          <t>Clinic</t>
        </is>
      </c>
      <c r="N139" t="inlineStr">
        <is>
          <t>ข้อ 70 (PLE_CC1_2558_Key.md)</t>
        </is>
      </c>
    </row>
    <row r="140" ht="13.2" customHeight="1" s="49">
      <c r="A140" t="n">
        <v>138</v>
      </c>
      <c r="B140" t="inlineStr">
        <is>
          <t>ข้อใดไม่ใช่ผลข้างเคียง Ergotamine</t>
        </is>
      </c>
      <c r="D140" t="inlineStr">
        <is>
          <t>N/V</t>
        </is>
      </c>
      <c r="E140" t="inlineStr">
        <is>
          <t>Hypotension</t>
        </is>
      </c>
      <c r="F140" t="inlineStr">
        <is>
          <t>Leg weakness</t>
        </is>
      </c>
      <c r="G140" t="inlineStr">
        <is>
          <t>Neuropathy</t>
        </is>
      </c>
      <c r="H140" t="inlineStr">
        <is>
          <t>Headache</t>
        </is>
      </c>
      <c r="I140" t="inlineStr">
        <is>
          <t>1</t>
        </is>
      </c>
      <c r="J140"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0" t="inlineStr">
        <is>
          <t>Hypertension</t>
        </is>
      </c>
      <c r="M140" t="inlineStr">
        <is>
          <t>Clinic</t>
        </is>
      </c>
      <c r="N140" t="inlineStr">
        <is>
          <t>ข้อ 71 (PLE_CC1_2558_Key.md)</t>
        </is>
      </c>
    </row>
    <row r="141" ht="13.2" customHeight="1" s="49">
      <c r="A141" t="n">
        <v>139</v>
      </c>
      <c r="B141" t="inlineStr">
        <is>
          <t>ข้อใดคือกลไกของยา Rivastigmine</t>
        </is>
      </c>
      <c r="D141" t="inlineStr">
        <is>
          <t>Decrease Ach activity</t>
        </is>
      </c>
      <c r="E141" t="inlineStr">
        <is>
          <t>Inhibit DA and NE activity</t>
        </is>
      </c>
      <c r="F141" t="inlineStr">
        <is>
          <t>Inhibit Acetylcholinesterase</t>
        </is>
      </c>
      <c r="G141" t="inlineStr">
        <is>
          <t>Stimulate activity of Da</t>
        </is>
      </c>
      <c r="H141" t="inlineStr">
        <is>
          <t>Stimulate activity of NE and Ach</t>
        </is>
      </c>
      <c r="I141" t="inlineStr">
        <is>
          <t>1</t>
        </is>
      </c>
      <c r="J141"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1" t="inlineStr">
        <is>
          <t>Hypertension</t>
        </is>
      </c>
      <c r="M141" t="inlineStr">
        <is>
          <t>Clinic</t>
        </is>
      </c>
      <c r="N141" t="inlineStr">
        <is>
          <t>ข้อ 52 (Pharmtutor_2024_Set2.md)</t>
        </is>
      </c>
    </row>
    <row r="142" ht="13.2" customHeight="1" s="49">
      <c r="A142" t="n">
        <v>140</v>
      </c>
      <c r="B142" t="inlineStr">
        <is>
          <t>amitiptyline</t>
        </is>
      </c>
      <c r="D142" t="inlineStr">
        <is>
          <t>Fluoxetine สถานการณ์ที่ 3 : Gout</t>
        </is>
      </c>
      <c r="E142" t="inlineStr">
        <is>
          <t>ข้อใดไม่ใช้ risk factor</t>
        </is>
      </c>
      <c r="F142" t="inlineStr">
        <is>
          <t>อ้วน</t>
        </is>
      </c>
      <c r="G142" t="inlineStr">
        <is>
          <t>ความดันโลหิตสูง</t>
        </is>
      </c>
      <c r="H142" t="inlineStr">
        <is>
          <t>ดื่มเหล้า</t>
        </is>
      </c>
      <c r="I142" t="inlineStr">
        <is>
          <t>1</t>
        </is>
      </c>
      <c r="J142"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L142" t="inlineStr">
        <is>
          <t>Hypertension</t>
        </is>
      </c>
      <c r="M142" t="inlineStr">
        <is>
          <t>Clinic</t>
        </is>
      </c>
      <c r="N142" t="inlineStr">
        <is>
          <t>ข้อ 1 (PLE_CC1_2556.md)</t>
        </is>
      </c>
    </row>
    <row r="143" ht="13.2" customHeight="1" s="49">
      <c r="A143" t="n">
        <v>141</v>
      </c>
      <c r="B143" t="inlineStr">
        <is>
          <t>กลไกการออกฤทธิ์ของAmitriptyline คือข้อใด</t>
        </is>
      </c>
      <c r="D143" t="inlineStr">
        <is>
          <t>ยับยั้งการทำงานของDA transporter</t>
        </is>
      </c>
      <c r="E143" t="inlineStr">
        <is>
          <t>ยับยั้งการทำงานของNE transporter</t>
        </is>
      </c>
      <c r="F143" t="inlineStr">
        <is>
          <t>ยับยั้งการทำงานของMOA enzyme</t>
        </is>
      </c>
      <c r="G143" t="inlineStr">
        <is>
          <t>กระต้่น5-HT receptor</t>
        </is>
      </c>
      <c r="H143" t="inlineStr">
        <is>
          <t>กระต้่นα2-adrenergic receptor (ข)</t>
        </is>
      </c>
      <c r="I143" t="inlineStr">
        <is>
          <t>1</t>
        </is>
      </c>
      <c r="J143"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3" t="inlineStr">
        <is>
          <t>Hypertension</t>
        </is>
      </c>
      <c r="M143" t="inlineStr">
        <is>
          <t>Clinic</t>
        </is>
      </c>
      <c r="N143" t="inlineStr">
        <is>
          <t>ข้อ 3 (PLE_CC1_2547.md)</t>
        </is>
      </c>
    </row>
    <row r="144" ht="13.2" customHeight="1" s="49">
      <c r="A144" t="n">
        <v>142</v>
      </c>
      <c r="B144" t="inlineStr">
        <is>
          <t>ตุอไปนี้เป็นSide effect ที่เกิดจาการใช้ยาAmitriptyline ยกเว้น</t>
        </is>
      </c>
      <c r="D144" t="inlineStr">
        <is>
          <t>Sedation</t>
        </is>
      </c>
      <c r="E144" t="inlineStr">
        <is>
          <t>Dry mouth</t>
        </is>
      </c>
      <c r="F144" t="inlineStr">
        <is>
          <t>Orthostatic hypotension</t>
        </is>
      </c>
      <c r="G144" t="inlineStr">
        <is>
          <t>Urinary retention</t>
        </is>
      </c>
      <c r="H144" t="inlineStr">
        <is>
          <t>Hyperuriccemia (ง)</t>
        </is>
      </c>
      <c r="I144" t="inlineStr">
        <is>
          <t>1</t>
        </is>
      </c>
      <c r="J144"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44" t="inlineStr">
        <is>
          <t>Hypertension</t>
        </is>
      </c>
      <c r="M144" t="inlineStr">
        <is>
          <t>Clinic</t>
        </is>
      </c>
      <c r="N144" t="inlineStr">
        <is>
          <t>ข้อ 4 (PLE_CC1_2547.md)</t>
        </is>
      </c>
    </row>
    <row r="145" ht="13.2" customHeight="1" s="49">
      <c r="A145" t="n">
        <v>143</v>
      </c>
      <c r="B145" t="inlineStr">
        <is>
          <t>ยา ergotamine ไม่ละลายน้ำ จึงนำมาบรรจุลงใน capsule ซึ่งต้องเติมสารใดเพื่อช่วยในการไหล</t>
        </is>
      </c>
      <c r="D145" t="inlineStr">
        <is>
          <t>Colloidal silica dioxide</t>
        </is>
      </c>
      <c r="E145" t="inlineStr">
        <is>
          <t>Crosscamellose</t>
        </is>
      </c>
      <c r="F145" t="inlineStr">
        <is>
          <t>PVP</t>
        </is>
      </c>
      <c r="G145" t="inlineStr">
        <is>
          <t>Sodium lauryl sulfate</t>
        </is>
      </c>
      <c r="H145" t="inlineStr">
        <is>
          <t>Sodium starch glycolate</t>
        </is>
      </c>
      <c r="I145" t="inlineStr">
        <is>
          <t>1</t>
        </is>
      </c>
      <c r="J145"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L145" t="inlineStr">
        <is>
          <t>Hypertension</t>
        </is>
      </c>
      <c r="M145" t="inlineStr">
        <is>
          <t>Clinic</t>
        </is>
      </c>
      <c r="N145" t="inlineStr">
        <is>
          <t>ข้อ 73 (PLE_CC1_Key_Rx20_UBU.md)</t>
        </is>
      </c>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2" t="n"/>
      <c r="D3" s="2" t="inlineStr">
        <is>
          <t>การรักษาต้องเริ่มให้ยาในขนาดที่สูง</t>
        </is>
      </c>
      <c r="E3" s="2" t="inlineStr">
        <is>
          <t>การรักษาต้องให้ยาต่อเนื่องเป็นเวลา 6-8 สัปดาห์ ในระยะแรก</t>
        </is>
      </c>
      <c r="F3" s="2" t="inlineStr">
        <is>
          <t>เป็นโรคที่ไม่สามารถรักษาให้หายขาดได้</t>
        </is>
      </c>
      <c r="G3" s="2" t="inlineStr">
        <is>
          <t>จะใช้ยากลุ่ม benzodiazepines ในผู้ป่วยซึมเศร้าที่มีอาการนอนไม่หลับร่วมด้วย</t>
        </is>
      </c>
      <c r="H3" s="2" t="inlineStr">
        <is>
          <t>สามารถหยุดใช้ยาได้ทันที</t>
        </is>
      </c>
      <c r="I3" s="8" t="n">
        <v>2</v>
      </c>
      <c r="J3" s="2"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2" t="n"/>
      <c r="L3" s="2" t="inlineStr">
        <is>
          <t>Anxiety/depression</t>
        </is>
      </c>
      <c r="M3" s="2" t="inlineStr">
        <is>
          <t>Clinic</t>
        </is>
      </c>
      <c r="N3" s="2" t="inlineStr">
        <is>
          <t>ข้อ 1 Pharma Plus เล่มม่วง (เฉลยข้อ ข ง)</t>
        </is>
      </c>
      <c r="O3" s="2" t="n"/>
      <c r="P3" s="2" t="n"/>
    </row>
    <row r="4" ht="13.2" customHeight="1" s="49">
      <c r="A4" s="8" t="inlineStr">
        <is>
          <t>2</t>
        </is>
      </c>
      <c r="B4"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2" t="n"/>
      <c r="D4" s="2" t="inlineStr">
        <is>
          <t>ยับยั้ง alpha adrenergic receptor</t>
        </is>
      </c>
      <c r="E4" s="2" t="inlineStr">
        <is>
          <t>ยับยั้ง beta adrenergic receptor</t>
        </is>
      </c>
      <c r="F4" s="2" t="inlineStr">
        <is>
          <t>ยับยั้งการนำ norepinephrine กลับเข้าสู่ปลายประสาท</t>
        </is>
      </c>
      <c r="G4" s="2" t="inlineStr">
        <is>
          <t>ยับยั้งการนำ dopamine กลับเข้าสู่ปลายประสาท</t>
        </is>
      </c>
      <c r="H4" s="2" t="inlineStr">
        <is>
          <t>ยับยั้งการนำ serotonin กลับเข้าสู่ปลายประสาท</t>
        </is>
      </c>
      <c r="I4" s="8" t="n">
        <v>5</v>
      </c>
      <c r="J4" s="2"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2" t="n"/>
      <c r="L4" s="2" t="inlineStr">
        <is>
          <t>Anxiety/depression</t>
        </is>
      </c>
      <c r="M4" s="2" t="inlineStr">
        <is>
          <t>Clinic</t>
        </is>
      </c>
      <c r="N4" s="2" t="inlineStr">
        <is>
          <t>ข้อ 2 Pharma Plus เล่มม่วง (เฉลยข้อ จ)</t>
        </is>
      </c>
      <c r="O4" s="2" t="n"/>
      <c r="P4" s="2" t="n"/>
    </row>
    <row r="5" ht="13.2" customHeight="1" s="49">
      <c r="A5" s="8" t="inlineStr">
        <is>
          <t>3</t>
        </is>
      </c>
      <c r="B5"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2" t="n"/>
      <c r="D5" s="2" t="inlineStr">
        <is>
          <t>Insomnia</t>
        </is>
      </c>
      <c r="E5" s="2" t="inlineStr">
        <is>
          <t>Constipation</t>
        </is>
      </c>
      <c r="F5" s="2" t="inlineStr">
        <is>
          <t>Pancreatitis</t>
        </is>
      </c>
      <c r="G5" s="2" t="inlineStr">
        <is>
          <t>Rhinitis</t>
        </is>
      </c>
      <c r="H5" s="2" t="inlineStr">
        <is>
          <t>Tinnitus</t>
        </is>
      </c>
      <c r="I5" s="8" t="n">
        <v>1</v>
      </c>
      <c r="J5" s="2"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2" t="n"/>
      <c r="L5" s="2" t="inlineStr">
        <is>
          <t>Anxiety/depression</t>
        </is>
      </c>
      <c r="M5" s="2" t="inlineStr">
        <is>
          <t>Clinic</t>
        </is>
      </c>
      <c r="N5" s="2" t="inlineStr">
        <is>
          <t>ข้อ 3 Pharma Plus เล่มม่วง (เฉลยข้อ ก)</t>
        </is>
      </c>
      <c r="O5" s="2" t="n"/>
      <c r="P5" s="2" t="n"/>
    </row>
    <row r="6" ht="13.2" customHeight="1" s="49">
      <c r="A6" s="8" t="inlineStr">
        <is>
          <t>4</t>
        </is>
      </c>
      <c r="B6"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2" t="n"/>
      <c r="D6" s="2" t="inlineStr">
        <is>
          <t>เห็นผลการรักษาเร็ว</t>
        </is>
      </c>
      <c r="E6" s="2" t="inlineStr">
        <is>
          <t>มีผลน้อยต่อระบบหัวใจและหลอดเลือด</t>
        </is>
      </c>
      <c r="F6" s="2" t="inlineStr">
        <is>
          <t>ไม่ต้องปรับขนาดยาบ่อยครั้ง</t>
        </is>
      </c>
      <c r="G6" s="2" t="inlineStr">
        <is>
          <t>มีผลต่อ severe adverse effect เช่น suicidal thought น้อย</t>
        </is>
      </c>
      <c r="H6" s="2" t="inlineStr">
        <is>
          <t>ไม่มี cholinergic effect</t>
        </is>
      </c>
      <c r="I6" s="8" t="n">
        <v>1</v>
      </c>
      <c r="J6" s="2"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2" t="n"/>
      <c r="L6" s="2" t="inlineStr">
        <is>
          <t>Anxiety/depression</t>
        </is>
      </c>
      <c r="M6" s="2" t="inlineStr">
        <is>
          <t>Clinic</t>
        </is>
      </c>
      <c r="N6" s="2" t="inlineStr">
        <is>
          <t>ข้อ 4 Pharma Plus เล่มม่วง (เฉลยข้อ ก)</t>
        </is>
      </c>
      <c r="O6" s="2" t="n"/>
      <c r="P6" s="2" t="n"/>
    </row>
    <row r="7" ht="13.2" customHeight="1" s="49">
      <c r="A7" s="8" t="inlineStr">
        <is>
          <t>5</t>
        </is>
      </c>
      <c r="B7" s="2"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2" t="n"/>
      <c r="D7" s="2" t="inlineStr">
        <is>
          <t>ห้ามรับประทานยาร่วมกับนม</t>
        </is>
      </c>
      <c r="E7" s="2" t="inlineStr">
        <is>
          <t>รับประทานยาในช่วงเดียวกันในแต่ละวัน</t>
        </is>
      </c>
      <c r="F7" s="2" t="inlineStr">
        <is>
          <t>ค่อยๆ เปลี่ยนอิริยาบถ</t>
        </is>
      </c>
      <c r="G7" s="2" t="inlineStr">
        <is>
          <t>จำกัดน้ำ</t>
        </is>
      </c>
      <c r="H7" s="2" t="inlineStr">
        <is>
          <t>รับประทานยาก่อนนอน</t>
        </is>
      </c>
      <c r="I7" s="8" t="n">
        <v>2</v>
      </c>
      <c r="J7" s="2"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2" t="n"/>
      <c r="L7" s="2" t="inlineStr">
        <is>
          <t>Anxiety/depression</t>
        </is>
      </c>
      <c r="M7" s="2" t="inlineStr">
        <is>
          <t>Clinic</t>
        </is>
      </c>
      <c r="N7" s="2" t="inlineStr">
        <is>
          <t>ข้อ 5 Pharma Plus เล่มม่วง (เฉลยข้อ ข)</t>
        </is>
      </c>
      <c r="O7" s="2" t="n"/>
      <c r="P7" s="2" t="n"/>
    </row>
    <row r="8" ht="13.2" customHeight="1" s="49">
      <c r="A8" s="8" t="inlineStr">
        <is>
          <t>6</t>
        </is>
      </c>
      <c r="B8" s="2"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2" t="n"/>
      <c r="D8" s="2" t="inlineStr">
        <is>
          <t>Imipramine</t>
        </is>
      </c>
      <c r="E8" s="2" t="inlineStr">
        <is>
          <t>Doxepin</t>
        </is>
      </c>
      <c r="F8" s="2" t="inlineStr">
        <is>
          <t>Phenelzine</t>
        </is>
      </c>
      <c r="G8" s="2" t="inlineStr">
        <is>
          <t>Sertraline</t>
        </is>
      </c>
      <c r="H8" s="2" t="inlineStr">
        <is>
          <t>Carbamazepine</t>
        </is>
      </c>
      <c r="I8" s="8" t="n">
        <v>5</v>
      </c>
      <c r="J8" s="2"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สำหรับรักษาโรคซึมเศร้าและโรควิตกกังวลตามแนวทางเวชปฏิบัติสากล
📖 Guideline อ้างอิง:
ข้อ 6 Pharma Plus เล่มม่วง (เฉลยข้อ จ)
📌 จุดจำก่อนสอบ:
• Anxiety/depression: ศึกษากลไก, ข้อบ่งใช้, และผลข้างเคียงที่สำคัญ</t>
        </is>
      </c>
      <c r="K8" s="2" t="n"/>
      <c r="L8" s="2" t="inlineStr">
        <is>
          <t>Anxiety/depression</t>
        </is>
      </c>
      <c r="M8" s="2" t="inlineStr">
        <is>
          <t>Clinic</t>
        </is>
      </c>
      <c r="N8" s="2" t="inlineStr">
        <is>
          <t>ข้อ 6 Pharma Plus เล่มม่วง (เฉลยข้อ จ)</t>
        </is>
      </c>
      <c r="O8" s="2" t="n"/>
      <c r="P8" s="2" t="n"/>
    </row>
    <row r="9" ht="13.2" customHeight="1" s="49">
      <c r="A9" s="8" t="inlineStr">
        <is>
          <t>7</t>
        </is>
      </c>
      <c r="B9" s="2" t="inlineStr">
        <is>
          <t>ข้อใดผิดในการใช้ยาเพื่อรักษาภาวะซึมเศร้า</t>
        </is>
      </c>
      <c r="C9" s="2" t="n"/>
      <c r="D9" s="2" t="inlineStr">
        <is>
          <t>การสูบบุหรี่ทำให้ฤทธิ์ของ TCA ลดลง</t>
        </is>
      </c>
      <c r="E9" s="2" t="inlineStr">
        <is>
          <t>ผู้ป่วยที่ได้รับยา MAOI ไม่ควรรับประทานอาหารที่มี tyramine สูง เช่น เนย</t>
        </is>
      </c>
      <c r="F9" s="2" t="inlineStr">
        <is>
          <t>ยากลุ่ม SSRI ไม่ควรใช้ร่วมกับยากลุ่ม MAOI</t>
        </is>
      </c>
      <c r="G9" s="2" t="inlineStr">
        <is>
          <t>เมื่อหยุดยา MAOI แล้วสามารถเริ่มใช้ SSRI ได้ทันที</t>
        </is>
      </c>
      <c r="H9" s="2" t="inlineStr">
        <is>
          <t>อาการข้างเคียงของยากลุ่ม TCA คือ ปากแห้ง ตาพร่า แน่นท้อง ท้องผูก</t>
        </is>
      </c>
      <c r="I9" s="8" t="n">
        <v>1</v>
      </c>
      <c r="J9" s="2"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2" t="n"/>
      <c r="L9" s="2" t="inlineStr">
        <is>
          <t>Anxiety/depression</t>
        </is>
      </c>
      <c r="M9" s="2" t="inlineStr">
        <is>
          <t>Clinic</t>
        </is>
      </c>
      <c r="N9" s="2" t="inlineStr">
        <is>
          <t>ข้อ 7 Pharma Plus เล่มม่วง (เฉลยข้อ ก ง)</t>
        </is>
      </c>
      <c r="O9" s="2" t="n"/>
      <c r="P9" s="2" t="n"/>
    </row>
    <row r="10" ht="13.2" customHeight="1" s="49">
      <c r="A10" s="8" t="inlineStr">
        <is>
          <t>8</t>
        </is>
      </c>
      <c r="B10" s="2" t="inlineStr">
        <is>
          <t>St. John's wort ออกฤทธิ์เหมือนยากลุ่มใด</t>
        </is>
      </c>
      <c r="C10" s="2" t="n"/>
      <c r="D10" s="2" t="inlineStr">
        <is>
          <t>MOAI</t>
        </is>
      </c>
      <c r="E10" s="2" t="inlineStr">
        <is>
          <t>BZs</t>
        </is>
      </c>
      <c r="F10" s="2" t="inlineStr">
        <is>
          <t>TCA</t>
        </is>
      </c>
      <c r="G10" s="2" t="inlineStr">
        <is>
          <t>α2 Blocker</t>
        </is>
      </c>
      <c r="H10" s="2" t="inlineStr">
        <is>
          <t>Barbiturates</t>
        </is>
      </c>
      <c r="I10" s="8" t="n">
        <v>3</v>
      </c>
      <c r="J10" s="2"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2" t="n"/>
      <c r="L10" s="2" t="inlineStr">
        <is>
          <t>Anxiety/depression</t>
        </is>
      </c>
      <c r="M10" s="2" t="inlineStr">
        <is>
          <t>Clinic</t>
        </is>
      </c>
      <c r="N10" s="2" t="inlineStr">
        <is>
          <t>ข้อ 8 Pharma Plus เล่มม่วง (เฉลยข้อ ค)</t>
        </is>
      </c>
      <c r="O10" s="2" t="n"/>
      <c r="P10" s="2" t="n"/>
    </row>
    <row r="11" ht="13.2" customHeight="1" s="49">
      <c r="A11" s="8" t="inlineStr">
        <is>
          <t>9</t>
        </is>
      </c>
      <c r="B11" s="2" t="inlineStr">
        <is>
          <t>เพราะเหตุใด St. John's wort จึงทำให้เกิดปฏิกิริยาระหว่างยาหลายกลุ่ม</t>
        </is>
      </c>
      <c r="C11" s="2" t="n"/>
      <c r="D11" s="2" t="inlineStr">
        <is>
          <t>เพิ่มการสร้าง isozyme cytochrome P450</t>
        </is>
      </c>
      <c r="E11" s="2" t="inlineStr">
        <is>
          <t>มีความสามารถในการจับกับรีเซ็ปเตอร์ได้หลายชนิด</t>
        </is>
      </c>
      <c r="F11" s="2" t="inlineStr">
        <is>
          <t>กระตุ้นการจับกับโปรตีนในเลือดหลายชนิด</t>
        </is>
      </c>
      <c r="G11" s="2" t="inlineStr">
        <is>
          <t>สามารถทำปฏิกิริยาทางเคมีโดยตรงกับยาหลายชนิด</t>
        </is>
      </c>
      <c r="H11" s="2" t="inlineStr">
        <is>
          <t>เพิ่มอัตราการขับออกของยาที่ไต</t>
        </is>
      </c>
      <c r="I11" s="8" t="n">
        <v>1</v>
      </c>
      <c r="J11" s="2"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2" t="n"/>
      <c r="L11" s="2" t="inlineStr">
        <is>
          <t>Anxiety/depression</t>
        </is>
      </c>
      <c r="M11" s="2" t="inlineStr">
        <is>
          <t>Clinic</t>
        </is>
      </c>
      <c r="N11" s="2" t="inlineStr">
        <is>
          <t>ข้อ 9 Pharma Plus เล่มม่วง (เฉลยข้อ ก)</t>
        </is>
      </c>
      <c r="O11" s="2" t="n"/>
      <c r="P11" s="2" t="n"/>
    </row>
    <row r="12" ht="13.2" customHeight="1" s="49">
      <c r="A12" s="8" t="inlineStr">
        <is>
          <t>10</t>
        </is>
      </c>
      <c r="B12" s="2" t="inlineStr">
        <is>
          <t>กลไกการออกฤทธิ์ของ amitriptyline คือข้อใด</t>
        </is>
      </c>
      <c r="C12" s="2" t="n"/>
      <c r="D12" s="2" t="inlineStr">
        <is>
          <t>ยับยั้งการทำงานของ DA transporter</t>
        </is>
      </c>
      <c r="E12" s="2" t="inlineStr">
        <is>
          <t>ยับยั้งการ reuptake ของ NE ที่ปลายประสาท</t>
        </is>
      </c>
      <c r="F12" s="2" t="inlineStr">
        <is>
          <t>ยับยั้งการทำงานของ MOA enzyme</t>
        </is>
      </c>
      <c r="G12" s="2" t="inlineStr">
        <is>
          <t>กระตุ้น 5-HT receptor</t>
        </is>
      </c>
      <c r="H12" s="2" t="inlineStr">
        <is>
          <t>กระตุ้น α2-adrenergic receptor</t>
        </is>
      </c>
      <c r="I12" s="8" t="n">
        <v>2</v>
      </c>
      <c r="J12" s="2"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2" t="n"/>
      <c r="L12" s="2" t="inlineStr">
        <is>
          <t>Anxiety/depression</t>
        </is>
      </c>
      <c r="M12" s="2" t="inlineStr">
        <is>
          <t>Clinic</t>
        </is>
      </c>
      <c r="N12" s="2" t="inlineStr">
        <is>
          <t>ข้อ 10 Pharma Plus เล่มม่วง (เฉลยข้อ ข)</t>
        </is>
      </c>
      <c r="O12" s="2" t="n"/>
      <c r="P12" s="2" t="n"/>
    </row>
    <row r="13" ht="13.2" customHeight="1" s="49">
      <c r="A13" s="8" t="inlineStr">
        <is>
          <t>11</t>
        </is>
      </c>
      <c r="B13" s="2" t="inlineStr">
        <is>
          <t>ต่อไปนี้เป็น side effect ที่เกิดจากการใช้ยา amitriptyline ยกเว้น</t>
        </is>
      </c>
      <c r="C13" s="2" t="n"/>
      <c r="D13" s="2" t="inlineStr">
        <is>
          <t>Sedation</t>
        </is>
      </c>
      <c r="E13" s="2" t="inlineStr">
        <is>
          <t>Dry mouth</t>
        </is>
      </c>
      <c r="F13" s="2" t="inlineStr">
        <is>
          <t>Orthostatic hypotension</t>
        </is>
      </c>
      <c r="G13" s="2" t="inlineStr">
        <is>
          <t>Urinary retention</t>
        </is>
      </c>
      <c r="H13" s="2" t="inlineStr">
        <is>
          <t>Hyperuricemia</t>
        </is>
      </c>
      <c r="I13" s="8" t="n">
        <v>5</v>
      </c>
      <c r="J13" s="2"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2" t="n"/>
      <c r="L13" s="2" t="inlineStr">
        <is>
          <t>Anxiety/depression</t>
        </is>
      </c>
      <c r="M13" s="2" t="inlineStr">
        <is>
          <t>Clinic</t>
        </is>
      </c>
      <c r="N13" s="2" t="inlineStr">
        <is>
          <t>ข้อ 11 Pharma Plus เล่มม่วง (เฉลยข้อ จ)</t>
        </is>
      </c>
      <c r="O13" s="2" t="n"/>
      <c r="P13" s="2" t="n"/>
    </row>
    <row r="14" ht="13.2" customHeight="1" s="49">
      <c r="A14" s="8" t="inlineStr">
        <is>
          <t>12</t>
        </is>
      </c>
      <c r="B14" s="2" t="inlineStr">
        <is>
          <t>กลไกการออกฤทธิ์ของ fluoxetine คือข้อใด</t>
        </is>
      </c>
      <c r="C14" s="2" t="n"/>
      <c r="D14" s="2" t="inlineStr">
        <is>
          <t>ยับยั้งการทำงานของ DA transporter</t>
        </is>
      </c>
      <c r="E14" s="2" t="inlineStr">
        <is>
          <t>ยับยั้งการทำงานของ NE transporter</t>
        </is>
      </c>
      <c r="F14" s="2" t="inlineStr">
        <is>
          <t>ยับยั้งการทำงานของ 5-HT transporter</t>
        </is>
      </c>
      <c r="G14" s="2" t="inlineStr">
        <is>
          <t>ยับยั้งการทำงานของ MOA-A enzyme</t>
        </is>
      </c>
      <c r="H14" s="2" t="inlineStr">
        <is>
          <t>ยับยั้งการทำงานของ MOA-B enzyme</t>
        </is>
      </c>
      <c r="I14" s="8" t="n">
        <v>3</v>
      </c>
      <c r="J14" s="2"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2" t="n"/>
      <c r="L14" s="2" t="inlineStr">
        <is>
          <t>Anxiety/depression</t>
        </is>
      </c>
      <c r="M14" s="2" t="inlineStr">
        <is>
          <t>Clinic</t>
        </is>
      </c>
      <c r="N14" s="2" t="inlineStr">
        <is>
          <t>ข้อ 12 Pharma Plus เล่มม่วง (เฉลยข้อ ค)</t>
        </is>
      </c>
      <c r="O14" s="2" t="n"/>
      <c r="P14" s="2" t="n"/>
    </row>
    <row r="15" ht="13.2" customHeight="1" s="49">
      <c r="A15" s="8" t="inlineStr">
        <is>
          <t>13</t>
        </is>
      </c>
      <c r="B15" s="2"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2" t="n"/>
      <c r="D15" s="2" t="inlineStr">
        <is>
          <t>Lithium carbonate</t>
        </is>
      </c>
      <c r="E15" s="2" t="inlineStr">
        <is>
          <t>Clozapine</t>
        </is>
      </c>
      <c r="F15" s="2" t="inlineStr">
        <is>
          <t>Chlorpromazine</t>
        </is>
      </c>
      <c r="G15" s="2" t="inlineStr">
        <is>
          <t>Haloperidol</t>
        </is>
      </c>
      <c r="H15" s="2" t="inlineStr">
        <is>
          <t>Diazepam</t>
        </is>
      </c>
      <c r="I15" s="8" t="n">
        <v>5</v>
      </c>
      <c r="J15" s="2"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2" t="n"/>
      <c r="L15" s="2" t="inlineStr">
        <is>
          <t>Anxiety/depression</t>
        </is>
      </c>
      <c r="M15" s="2" t="inlineStr">
        <is>
          <t>Clinic</t>
        </is>
      </c>
      <c r="N15" s="2" t="inlineStr">
        <is>
          <t>ข้อ 13 Pharma Plus เล่มม่วง (เฉลยข้อ จ)</t>
        </is>
      </c>
      <c r="O15" s="2" t="n"/>
      <c r="P15" s="2" t="n"/>
    </row>
    <row r="16" ht="13.2" customHeight="1" s="49">
      <c r="A16" s="8" t="inlineStr">
        <is>
          <t>14</t>
        </is>
      </c>
      <c r="B16" s="2"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2" t="n"/>
      <c r="D16" s="2" t="inlineStr">
        <is>
          <t>Venlafaxine</t>
        </is>
      </c>
      <c r="E16" s="2" t="inlineStr">
        <is>
          <t>Paroxetine</t>
        </is>
      </c>
      <c r="F16" s="2" t="inlineStr">
        <is>
          <t>Amitriptyline</t>
        </is>
      </c>
      <c r="G16" s="2" t="inlineStr">
        <is>
          <t>Bupropion</t>
        </is>
      </c>
      <c r="H16" s="2" t="inlineStr">
        <is>
          <t>Sertraline</t>
        </is>
      </c>
      <c r="I16" s="8" t="n">
        <v>3</v>
      </c>
      <c r="J16" s="2"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2" t="n"/>
      <c r="L16" s="2" t="inlineStr">
        <is>
          <t>Anxiety/depression</t>
        </is>
      </c>
      <c r="M16" s="2" t="inlineStr">
        <is>
          <t>Clinic</t>
        </is>
      </c>
      <c r="N16" s="2" t="inlineStr">
        <is>
          <t>ข้อ 14 Pharma Plus เล่มม่วง (เฉลยข้อ ค)</t>
        </is>
      </c>
      <c r="O16" s="2" t="n"/>
      <c r="P16" s="2" t="n"/>
    </row>
    <row r="17" ht="13.2" customHeight="1" s="49">
      <c r="A17" s="8" t="inlineStr">
        <is>
          <t>15</t>
        </is>
      </c>
      <c r="B17" s="2"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2" t="n"/>
      <c r="D17" s="2" t="inlineStr">
        <is>
          <t>Imipramine</t>
        </is>
      </c>
      <c r="E17" s="2" t="inlineStr">
        <is>
          <t>Clomipramine</t>
        </is>
      </c>
      <c r="F17" s="2" t="inlineStr">
        <is>
          <t>Amitriptyline</t>
        </is>
      </c>
      <c r="G17" s="2" t="inlineStr">
        <is>
          <t>Doxepin</t>
        </is>
      </c>
      <c r="H17" s="2" t="inlineStr">
        <is>
          <t>Sertraline</t>
        </is>
      </c>
      <c r="I17" s="8" t="n">
        <v>5</v>
      </c>
      <c r="J17" s="2"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2" t="n"/>
      <c r="L17" s="2" t="inlineStr">
        <is>
          <t>Anxiety/depression</t>
        </is>
      </c>
      <c r="M17" s="2" t="inlineStr">
        <is>
          <t>Clinic</t>
        </is>
      </c>
      <c r="N17" s="2" t="inlineStr">
        <is>
          <t>ข้อ 15 Pharma Plus เล่มม่วง (เฉลยข้อ จ)</t>
        </is>
      </c>
      <c r="O17" s="2" t="n"/>
      <c r="P17" s="2" t="n"/>
    </row>
    <row r="18" ht="13.2" customHeight="1" s="49">
      <c r="A18" s="8" t="inlineStr">
        <is>
          <t>16</t>
        </is>
      </c>
      <c r="B18" s="2" t="inlineStr">
        <is>
          <t>คำแนะนำในการใช้ยากลุ่ม antidepressant ที่สำคัญเพื่อช่วยเพิ่มความร่วมมือในการใช้ยาของผู้ป่วย คือ</t>
        </is>
      </c>
      <c r="C18" s="2" t="n"/>
      <c r="D18" s="2" t="inlineStr">
        <is>
          <t>ควรแนะนำให้ผู้ป่วยใช้ยาหลังอาหารเท่านั้นจะได้ไม่ลืมใช้ยา</t>
        </is>
      </c>
      <c r="E18" s="2"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2" t="inlineStr">
        <is>
          <t>ควรแนะนำให้ผู้ป่วยดื่มน้ำมากๆ เพื่อลดการระคายเคืองกระเพาะอาหาร</t>
        </is>
      </c>
      <c r="G18" s="2" t="inlineStr">
        <is>
          <t>ควรแนะนำการเพิ่มและลดขนาดยาให้ผู้ป่วยเพื่อให้ผู้ป่วยสามารถปรับขนาดยาได้เองตามอาการ</t>
        </is>
      </c>
      <c r="H18" s="2" t="inlineStr">
        <is>
          <t>ควรแนะนำให้ผู้ป่วยหยุดยาทันทีเมื่อเกิดอาการข้างเคียง เช่น นอนไม่หลับ</t>
        </is>
      </c>
      <c r="I18" s="8" t="n">
        <v>2</v>
      </c>
      <c r="J18" s="2"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2" t="n"/>
      <c r="L18" s="2" t="inlineStr">
        <is>
          <t>Anxiety/depression</t>
        </is>
      </c>
      <c r="M18" s="2" t="inlineStr">
        <is>
          <t>Clinic</t>
        </is>
      </c>
      <c r="N18" s="2" t="inlineStr">
        <is>
          <t>ข้อ 16 Pharma Plus เล่มม่วง (เฉลยข้อ ข)</t>
        </is>
      </c>
      <c r="O18" s="2" t="n"/>
      <c r="P18" s="2" t="n"/>
    </row>
    <row r="19" ht="13.2" customHeight="1" s="49">
      <c r="A19" s="8" t="inlineStr">
        <is>
          <t>17</t>
        </is>
      </c>
      <c r="B19" s="2"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2" t="n"/>
      <c r="D19" s="2" t="inlineStr">
        <is>
          <t>สามารถหยุดได้ทันทีโดยไม่ต้องปรับเปลี่ยนขนาดยาใหม่</t>
        </is>
      </c>
      <c r="E19" s="2" t="inlineStr">
        <is>
          <t>ให้ triazolam ก่อนแล้วค่อยๆ ลดขนาดยาที่ผู้ป่วยรับอยู่สัปดาห์ละ 25% ของขนาดยาที่ให้ผลรักษา</t>
        </is>
      </c>
      <c r="F19" s="2" t="inlineStr">
        <is>
          <t>ให้ olanzapine ก่อนแล้วค่อยๆ บดขนาดยาที่ผู้ป่วยได้รับอยู่สัปดาห์ละ 75% ของยาที่ให้ผลรักษา</t>
        </is>
      </c>
      <c r="G19" s="2" t="inlineStr">
        <is>
          <t>ค่อยๆ ลดขนาดยาที่ผู้ป่วยได้รับอยู่สัปดาห์ละ 25% ของขนาดยาที่ให้ผลในการรักษา</t>
        </is>
      </c>
      <c r="H19" s="2" t="inlineStr">
        <is>
          <t>ให้ผู้ป่วยรับประทานยาที่ได้รับต่อไปอีก 1 สัปดาห์ จากนั้นจึงสามารถหยุดยาได้ทันที</t>
        </is>
      </c>
      <c r="I19" s="8" t="n">
        <v>4</v>
      </c>
      <c r="J19" s="2"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2" t="n"/>
      <c r="L19" s="2" t="inlineStr">
        <is>
          <t>Anxiety/depression</t>
        </is>
      </c>
      <c r="M19" s="2" t="inlineStr">
        <is>
          <t>Clinic</t>
        </is>
      </c>
      <c r="N19" s="2" t="inlineStr">
        <is>
          <t>ข้อ 17 Pharma Plus เล่มม่วง (เฉลยข้อ ง)</t>
        </is>
      </c>
      <c r="O19" s="2" t="n"/>
      <c r="P19" s="2" t="n"/>
    </row>
    <row r="20" ht="13.2" customHeight="1" s="49">
      <c r="A20" s="8" t="inlineStr">
        <is>
          <t>18</t>
        </is>
      </c>
      <c r="B20" s="2"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2" t="n"/>
      <c r="D20" s="2" t="inlineStr">
        <is>
          <t>Clonazepam</t>
        </is>
      </c>
      <c r="E20" s="2" t="inlineStr">
        <is>
          <t>Diazepam</t>
        </is>
      </c>
      <c r="F20" s="2" t="inlineStr">
        <is>
          <t>Flunitrazepam</t>
        </is>
      </c>
      <c r="G20" s="2" t="inlineStr">
        <is>
          <t>Lorazepam</t>
        </is>
      </c>
      <c r="H20" s="2" t="inlineStr">
        <is>
          <t>Temazepam</t>
        </is>
      </c>
      <c r="I20" s="8" t="n">
        <v>5</v>
      </c>
      <c r="J20" s="2"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2" t="n"/>
      <c r="L20" s="2" t="inlineStr">
        <is>
          <t>Insomnia</t>
        </is>
      </c>
      <c r="M20" s="2" t="inlineStr">
        <is>
          <t>Clinic</t>
        </is>
      </c>
      <c r="N20" s="2" t="inlineStr">
        <is>
          <t>ข้อ 18 Pharma Plus เล่มม่วง (เฉลยข้อ จ)</t>
        </is>
      </c>
      <c r="O20" s="2" t="n"/>
      <c r="P20" s="2" t="n"/>
    </row>
    <row r="21" ht="13.2" customHeight="1" s="49">
      <c r="A21" s="8" t="inlineStr">
        <is>
          <t>19</t>
        </is>
      </c>
      <c r="B21" s="2" t="inlineStr">
        <is>
          <t>กลไการออกฤทธิ์ของยากลุ่ม benzodiazepine คือ</t>
        </is>
      </c>
      <c r="C21" s="2" t="n"/>
      <c r="D21" s="2" t="inlineStr">
        <is>
          <t>กระตุ้น 5-HT receptor</t>
        </is>
      </c>
      <c r="E21" s="2" t="inlineStr">
        <is>
          <t>กระตุ้น dopamine receptor</t>
        </is>
      </c>
      <c r="F21" s="2" t="inlineStr">
        <is>
          <t>กระตุ้น GABA receptor</t>
        </is>
      </c>
      <c r="G21" s="2" t="inlineStr">
        <is>
          <t>กระตุ้น glutamate receptor</t>
        </is>
      </c>
      <c r="H21" s="2" t="inlineStr">
        <is>
          <t>กระตุ้น muscarinic receptor</t>
        </is>
      </c>
      <c r="I21" s="8" t="n">
        <v>3</v>
      </c>
      <c r="J21" s="2"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2" t="n"/>
      <c r="L21" s="2" t="inlineStr">
        <is>
          <t>Anxiety/depression</t>
        </is>
      </c>
      <c r="M21" s="2" t="inlineStr">
        <is>
          <t>Clinic</t>
        </is>
      </c>
      <c r="N21" s="2" t="inlineStr">
        <is>
          <t>ข้อ 19 Pharma Plus เล่มม่วง (เฉลยข้อ ค)</t>
        </is>
      </c>
      <c r="O21" s="2" t="n"/>
      <c r="P21" s="2" t="n"/>
    </row>
    <row r="22" ht="13.2" customHeight="1" s="49">
      <c r="A22" s="8" t="inlineStr">
        <is>
          <t>20</t>
        </is>
      </c>
      <c r="B22" s="2" t="inlineStr">
        <is>
          <t>Benzodiazepine ไม่ใช้ในการรักษาใด</t>
        </is>
      </c>
      <c r="C22" s="2" t="n"/>
      <c r="D22" s="2" t="inlineStr">
        <is>
          <t>Anxiety</t>
        </is>
      </c>
      <c r="E22" s="2" t="inlineStr">
        <is>
          <t>OCD</t>
        </is>
      </c>
      <c r="F22" s="2" t="inlineStr">
        <is>
          <t>Epilepsy</t>
        </is>
      </c>
      <c r="G22" s="2" t="inlineStr">
        <is>
          <t>Muscle spasm</t>
        </is>
      </c>
      <c r="H22" s="2" t="inlineStr">
        <is>
          <t>Alcohol withdrawal</t>
        </is>
      </c>
      <c r="I22" s="8" t="n">
        <v>2</v>
      </c>
      <c r="J22" s="2"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2" t="n"/>
      <c r="L22" s="2" t="inlineStr">
        <is>
          <t>Anxiety/depression</t>
        </is>
      </c>
      <c r="M22" s="2" t="inlineStr">
        <is>
          <t>Clinic</t>
        </is>
      </c>
      <c r="N22" s="2" t="inlineStr">
        <is>
          <t>ข้อ 20 Pharma Plus เล่มม่วง (เฉลยข้อ ข)</t>
        </is>
      </c>
      <c r="O22" s="2" t="n"/>
      <c r="P22" s="2" t="n"/>
    </row>
    <row r="23" ht="13.2" customHeight="1" s="49">
      <c r="A23" s="8" t="inlineStr">
        <is>
          <t>21</t>
        </is>
      </c>
      <c r="B23" s="2" t="inlineStr">
        <is>
          <t>อาการไม่พึงประสงค์ของ benzodiazepine คือ</t>
        </is>
      </c>
      <c r="C23" s="2" t="n"/>
      <c r="D23" s="2" t="inlineStr">
        <is>
          <t>ชัก</t>
        </is>
      </c>
      <c r="E23" s="2" t="inlineStr">
        <is>
          <t>Anterograde amnesia</t>
        </is>
      </c>
      <c r="F23" s="2" t="inlineStr">
        <is>
          <t>สั่น</t>
        </is>
      </c>
      <c r="G23" s="2" t="inlineStr">
        <is>
          <t>ปากแห้ง</t>
        </is>
      </c>
      <c r="H23" s="2" t="inlineStr">
        <is>
          <t>ปวดศีรษะ</t>
        </is>
      </c>
      <c r="I23" s="8" t="n">
        <v>2</v>
      </c>
      <c r="J23" s="2"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2" t="n"/>
      <c r="L23" s="2" t="inlineStr">
        <is>
          <t>Anxiety/depression</t>
        </is>
      </c>
      <c r="M23" s="2" t="inlineStr">
        <is>
          <t>Clinic</t>
        </is>
      </c>
      <c r="N23" s="2" t="inlineStr">
        <is>
          <t>ข้อ 21 Pharma Plus เล่มม่วง (เฉลยข้อ ข)</t>
        </is>
      </c>
      <c r="O23" s="2" t="n"/>
      <c r="P23" s="2" t="n"/>
    </row>
    <row r="24" ht="13.2" customHeight="1" s="49">
      <c r="A24" s="8" t="inlineStr">
        <is>
          <t>22</t>
        </is>
      </c>
      <c r="B24" s="2" t="inlineStr">
        <is>
          <t>ข้อใดไม่ถูกต้องเกี่ยวกับ benzodiazepine</t>
        </is>
      </c>
      <c r="C24" s="2" t="n"/>
      <c r="D24" s="2" t="inlineStr">
        <is>
          <t>ประสิทธิผลเท่ากัน diazepam มีราคาถูกกว่า แต่ประสิทธิผลดี</t>
        </is>
      </c>
      <c r="E24" s="2" t="inlineStr">
        <is>
          <t>[NEED_REVIEW]</t>
        </is>
      </c>
      <c r="F24" s="2" t="inlineStr">
        <is>
          <t>ยาออกฤทธิ์ต่อจิตประสาท แต่ปลอดภัยมี therapeutic index กว้าง</t>
        </is>
      </c>
      <c r="G24" s="2" t="inlineStr">
        <is>
          <t>ใช้ยาในขนาดสูงเป็นเวลานาน ค่อยๆลดขนาดยาลงใน 1-2 สัปดาห์</t>
        </is>
      </c>
      <c r="H24" s="2" t="inlineStr">
        <is>
          <t>สามารถหยุดยาได้ทันที</t>
        </is>
      </c>
      <c r="I24" s="8" t="n">
        <v>5</v>
      </c>
      <c r="J24" s="2"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2" t="n"/>
      <c r="L24" s="2" t="inlineStr">
        <is>
          <t>Anxiety/depression</t>
        </is>
      </c>
      <c r="M24" s="2" t="inlineStr">
        <is>
          <t>Clinic</t>
        </is>
      </c>
      <c r="N24" s="2" t="inlineStr">
        <is>
          <t>ข้อ 22 Pharma Plus เล่มม่วง (เฉลยข้อ จ)</t>
        </is>
      </c>
      <c r="O24" s="2" t="n"/>
      <c r="P24" s="2" t="n"/>
    </row>
    <row r="25" ht="13.2" customHeight="1" s="49">
      <c r="A25" s="8" t="inlineStr">
        <is>
          <t>23</t>
        </is>
      </c>
      <c r="B25" s="2" t="inlineStr">
        <is>
          <t>หากใช้ยากลุ่ม benzodiazepine พร้อมกับ alcohol จะเกิดผลอย่างไร</t>
        </is>
      </c>
      <c r="C25" s="2" t="n"/>
      <c r="D25" s="2" t="inlineStr">
        <is>
          <t>Flu-like symptoms</t>
        </is>
      </c>
      <c r="E25" s="2" t="inlineStr">
        <is>
          <t>Vasodilation</t>
        </is>
      </c>
      <c r="F25" s="2" t="inlineStr">
        <is>
          <t>เพิ่ม half life ของยา</t>
        </is>
      </c>
      <c r="G25" s="2" t="inlineStr">
        <is>
          <t>Respiratory depressions</t>
        </is>
      </c>
      <c r="H25" s="2" t="inlineStr">
        <is>
          <t>Vomiting</t>
        </is>
      </c>
      <c r="I25" s="8" t="n">
        <v>4</v>
      </c>
      <c r="J25" s="2"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2" t="n"/>
      <c r="L25" s="2" t="inlineStr">
        <is>
          <t>Drug &amp; alcohol abuse</t>
        </is>
      </c>
      <c r="M25" s="2" t="inlineStr">
        <is>
          <t>Clinic</t>
        </is>
      </c>
      <c r="N25" s="2" t="inlineStr">
        <is>
          <t>ข้อ 23 Pharma Plus เล่มม่วง (เฉลยข้อ ง)</t>
        </is>
      </c>
      <c r="O25" s="2" t="n"/>
      <c r="P25" s="2" t="n"/>
    </row>
    <row r="26" ht="13.2" customHeight="1" s="49">
      <c r="A26" s="8" t="inlineStr">
        <is>
          <t>24</t>
        </is>
      </c>
      <c r="B26" s="2" t="inlineStr">
        <is>
          <t>ข้อใดถูกต้องเกี่ยวกับการใช้ยาในกลุ่ม benzodiazepine เป็นเวลานาน</t>
        </is>
      </c>
      <c r="C26" s="2" t="n"/>
      <c r="D26" s="2" t="inlineStr">
        <is>
          <t>สามารถหยุดยาได้ทันที</t>
        </is>
      </c>
      <c r="E26" s="2" t="inlineStr">
        <is>
          <t>หากจะหยุดยา ให้รับประทานต่อในขนาดเดิมอีก 10 วัน แล้วจึงหยุดยา</t>
        </is>
      </c>
      <c r="F26" s="2" t="inlineStr">
        <is>
          <t>หากจะหยุดยา ให้รับประทานต่อในขนาดลดลงครึ่งหนึ่งอีก 10 วัน แล้วจึงหยุดยา</t>
        </is>
      </c>
      <c r="G26" s="2" t="inlineStr">
        <is>
          <t>หากจะหยุดยา ให้ลดขนาดยาลง 25% ทุกๆ 3-7 วัน</t>
        </is>
      </c>
      <c r="H26" s="2" t="inlineStr">
        <is>
          <t>ทำให้ติดยาทางใจ</t>
        </is>
      </c>
      <c r="I26" s="8" t="n">
        <v>4</v>
      </c>
      <c r="J26" s="2"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2" t="n"/>
      <c r="L26" s="2" t="inlineStr">
        <is>
          <t>Anxiety/depression</t>
        </is>
      </c>
      <c r="M26" s="2" t="inlineStr">
        <is>
          <t>Clinic</t>
        </is>
      </c>
      <c r="N26" s="2" t="inlineStr">
        <is>
          <t>ข้อ 24 Pharma Plus เล่มม่วง (เฉลยข้อ ง)</t>
        </is>
      </c>
      <c r="O26" s="2" t="n"/>
      <c r="P26" s="2" t="n"/>
    </row>
    <row r="27" ht="13.2" customHeight="1" s="49">
      <c r="A27" s="8" t="inlineStr">
        <is>
          <t>25</t>
        </is>
      </c>
      <c r="B27"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2" t="n"/>
      <c r="D27" s="2" t="inlineStr">
        <is>
          <t>มีอาการทาง negative symptoms</t>
        </is>
      </c>
      <c r="E27" s="2" t="inlineStr">
        <is>
          <t>เกิดจากความผิดปกติของสารสื่อประสาท เช่น dopamine ซึ่งเชื่อว่าอาจเกี่ยวข้องกับพันธุกรรมด้วย</t>
        </is>
      </c>
      <c r="F27" s="2" t="inlineStr">
        <is>
          <t>จำเป็นต้องรักษาสภาพจิตใจร่วมด้วย</t>
        </is>
      </c>
      <c r="G27" s="2" t="inlineStr">
        <is>
          <t>เกิดจากความผิดปกติที่ nigrostriatal tract/extrapyramidal pathway</t>
        </is>
      </c>
      <c r="H27" s="2" t="inlineStr">
        <is>
          <t>มีจำนวนของ D-receptor เพิ่มมากขึ้น</t>
        </is>
      </c>
      <c r="I27" s="8" t="n">
        <v>4</v>
      </c>
      <c r="J27" s="2"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2" t="n"/>
      <c r="L27" s="2" t="inlineStr">
        <is>
          <t>Anxiety/depression</t>
        </is>
      </c>
      <c r="M27" s="2" t="inlineStr">
        <is>
          <t>Clinic</t>
        </is>
      </c>
      <c r="N27" s="2" t="inlineStr">
        <is>
          <t>ข้อ 25 Pharma Plus เล่มม่วง (เฉลยข้อ ง)</t>
        </is>
      </c>
      <c r="O27" s="2" t="n"/>
      <c r="P27" s="2" t="n"/>
    </row>
    <row r="28" ht="13.2" customHeight="1" s="49">
      <c r="A28" s="8" t="inlineStr">
        <is>
          <t>26</t>
        </is>
      </c>
      <c r="B28"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2" t="n"/>
      <c r="D28" s="2" t="inlineStr">
        <is>
          <t>Haloperidol, Clozapine</t>
        </is>
      </c>
      <c r="E28" s="2" t="inlineStr">
        <is>
          <t>Chlorpromazine, Clozapine</t>
        </is>
      </c>
      <c r="F28" s="2" t="inlineStr">
        <is>
          <t>Risperidone, Quetiapine</t>
        </is>
      </c>
      <c r="G28" s="2" t="inlineStr">
        <is>
          <t>Thioridazine, Fluphenazine</t>
        </is>
      </c>
      <c r="H28" s="2" t="inlineStr">
        <is>
          <t>Perphenazine, Olanzapine</t>
        </is>
      </c>
      <c r="I28" s="8" t="n">
        <v>1</v>
      </c>
      <c r="J28" s="2"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2" t="n"/>
      <c r="L28" s="2" t="inlineStr">
        <is>
          <t>Anxiety/depression</t>
        </is>
      </c>
      <c r="M28" s="2" t="inlineStr">
        <is>
          <t>Clinic</t>
        </is>
      </c>
      <c r="N28" s="2" t="inlineStr">
        <is>
          <t>ข้อ 26 Pharma Plus เล่มม่วง (เฉลยข้อ )</t>
        </is>
      </c>
      <c r="O28" s="2" t="n"/>
      <c r="P28" s="2" t="n"/>
    </row>
    <row r="29" ht="13.2" customHeight="1" s="49">
      <c r="A29" s="8" t="inlineStr">
        <is>
          <t>27</t>
        </is>
      </c>
      <c r="B29" s="2"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2" t="n"/>
      <c r="D29" s="2" t="inlineStr">
        <is>
          <t>Agranulocytosis</t>
        </is>
      </c>
      <c r="E29" s="2" t="inlineStr">
        <is>
          <t>Weight loss</t>
        </is>
      </c>
      <c r="F29" s="2" t="inlineStr">
        <is>
          <t>Orthostatic hypotension</t>
        </is>
      </c>
      <c r="G29" s="2" t="inlineStr">
        <is>
          <t>Sedative</t>
        </is>
      </c>
      <c r="H29" s="2" t="inlineStr">
        <is>
          <t>Potential QT-prolongation</t>
        </is>
      </c>
      <c r="I29" s="8" t="n">
        <v>2</v>
      </c>
      <c r="J29" s="2"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2" t="n"/>
      <c r="L29" s="2" t="inlineStr">
        <is>
          <t>Anxiety/depression</t>
        </is>
      </c>
      <c r="M29" s="2" t="inlineStr">
        <is>
          <t>Clinic</t>
        </is>
      </c>
      <c r="N29" s="2" t="inlineStr">
        <is>
          <t>ข้อ 27 Pharma Plus เล่มม่วง (เฉลยข้อ ข)</t>
        </is>
      </c>
      <c r="O29" s="2" t="n"/>
      <c r="P29" s="2" t="n"/>
    </row>
    <row r="30" ht="13.2" customHeight="1" s="49">
      <c r="A30" s="8" t="inlineStr">
        <is>
          <t>28</t>
        </is>
      </c>
      <c r="B30" s="2" t="inlineStr">
        <is>
          <t>ข้อมูลเพิ่มเติม: เดิมผู้ป่วยรักษาด้วยยา haloperidol มานานจนกระทั่งตรวจพบว่าเกิดภาวะ pseudo-parkinsonism ขึ้น
ข้อใดผิด</t>
        </is>
      </c>
      <c r="C30" s="2" t="n"/>
      <c r="D30" s="2" t="inlineStr">
        <is>
          <t>เกิดจากการใช้ยากลุ่ม conventional antipsychotic</t>
        </is>
      </c>
      <c r="E30" s="2" t="inlineStr">
        <is>
          <t>สามารถรักษาได้ด้วยการใช้ trihexyphenidyl</t>
        </is>
      </c>
      <c r="F30" s="2" t="inlineStr">
        <is>
          <t>ผู้ป่วยอาจมีอาการ tremor, akathisia, tardive dyskinesia ร่วมด้วยได้</t>
        </is>
      </c>
      <c r="G30" s="2" t="inlineStr">
        <is>
          <t>มักเกิดในช่วง 5-90 วัน หลังจากเริ่มใช้ยา</t>
        </is>
      </c>
      <c r="H30" s="2" t="inlineStr">
        <is>
          <t>เกี่ยวข้องกับ dopamine และ NE</t>
        </is>
      </c>
      <c r="I30" s="8" t="n">
        <v>5</v>
      </c>
      <c r="J30" s="2"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2" t="n"/>
      <c r="L30" s="2" t="inlineStr">
        <is>
          <t>Anxiety/depression</t>
        </is>
      </c>
      <c r="M30" s="2" t="inlineStr">
        <is>
          <t>Clinic</t>
        </is>
      </c>
      <c r="N30" s="2" t="inlineStr">
        <is>
          <t>ข้อ 28 Pharma Plus เล่มม่วง (เฉลยข้อ จ)</t>
        </is>
      </c>
      <c r="O30" s="2" t="n"/>
      <c r="P30" s="2" t="n"/>
    </row>
    <row r="31" ht="13.2" customHeight="1" s="49">
      <c r="A31" s="8" t="inlineStr">
        <is>
          <t>29</t>
        </is>
      </c>
      <c r="B31" s="2" t="inlineStr">
        <is>
          <t>Lorazepam มีฤทธิ์ต่างๆ ต่อไปนี้นยกเว้น</t>
        </is>
      </c>
      <c r="C31" s="2" t="n"/>
      <c r="D31" s="2" t="inlineStr">
        <is>
          <t>Hypnotic effect</t>
        </is>
      </c>
      <c r="E31" s="2" t="inlineStr">
        <is>
          <t>Muscle relaxant effect</t>
        </is>
      </c>
      <c r="F31" s="2" t="inlineStr">
        <is>
          <t>Anticonvulsant effect</t>
        </is>
      </c>
      <c r="G31" s="2" t="inlineStr">
        <is>
          <t>Antianxiety effect</t>
        </is>
      </c>
      <c r="H31" s="2" t="inlineStr">
        <is>
          <t>Antidepressant effect</t>
        </is>
      </c>
      <c r="I31" s="8" t="n">
        <v>5</v>
      </c>
      <c r="J31" s="2"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2" t="n"/>
      <c r="L31" s="2" t="inlineStr">
        <is>
          <t>Insomnia</t>
        </is>
      </c>
      <c r="M31" s="2" t="inlineStr">
        <is>
          <t>Clinic</t>
        </is>
      </c>
      <c r="N31" s="2" t="inlineStr">
        <is>
          <t>ข้อ 29 Pharma Plus เล่มม่วง (เฉลยข้อ จ)</t>
        </is>
      </c>
      <c r="O31" s="2" t="n"/>
      <c r="P31" s="2" t="n"/>
    </row>
    <row r="32" ht="13.2" customHeight="1" s="49">
      <c r="A32" s="8" t="inlineStr">
        <is>
          <t>30</t>
        </is>
      </c>
      <c r="B32" s="2" t="inlineStr">
        <is>
          <t>ข้อใดต่อไปเกี่ยวกับ lorazepam ผิด</t>
        </is>
      </c>
      <c r="C32" s="2" t="n"/>
      <c r="D32" s="2" t="inlineStr">
        <is>
          <t>ออกฤทธิ์โดยกระตุ้น GABA receptor</t>
        </is>
      </c>
      <c r="E32" s="2" t="inlineStr">
        <is>
          <t>Overdose ของ lorazepam สามารถใช้ flumazenil ซึ่งเป็น antidote รักษาได้</t>
        </is>
      </c>
      <c r="F32" s="2" t="inlineStr">
        <is>
          <t>ถ้าใช้เป็นระยะเวลานานแล้วหยุดยา จะก่อให้เกิดให้อาการถอนยาได้</t>
        </is>
      </c>
      <c r="G32" s="2" t="inlineStr">
        <is>
          <t>เป็น Hepatic drug metabolizing enzyme inducer</t>
        </is>
      </c>
      <c r="H32" s="2" t="inlineStr">
        <is>
          <t>ไม่ก่อให้เกิด "hangover effect" ได้มากเหมือน diazepam</t>
        </is>
      </c>
      <c r="I32" s="8" t="n">
        <v>4</v>
      </c>
      <c r="J32" s="2"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2" t="n"/>
      <c r="L32" s="2" t="inlineStr">
        <is>
          <t>Insomnia</t>
        </is>
      </c>
      <c r="M32" s="2" t="inlineStr">
        <is>
          <t>Clinic</t>
        </is>
      </c>
      <c r="N32" s="2" t="inlineStr">
        <is>
          <t>ข้อ 30 Pharma Plus เล่มม่วง (เฉลยข้อ ง)</t>
        </is>
      </c>
      <c r="O32" s="2" t="n"/>
      <c r="P32" s="2" t="n"/>
    </row>
    <row r="33" ht="13.2" customHeight="1" s="49">
      <c r="A33" s="8" t="inlineStr">
        <is>
          <t>31</t>
        </is>
      </c>
      <c r="B33" s="2" t="inlineStr">
        <is>
          <t>ชายไทยคู่ อายุ 65 ปี ได้รับการวินิจฉัยจากแพทย์ว่ามีภาวะ insomnia
ยาในข้อใดต่อไปนี้ไม่ใช่ยาที่ใช้ในการรักษาภาวะ insomnia</t>
        </is>
      </c>
      <c r="C33" s="2" t="n"/>
      <c r="D33" s="2" t="inlineStr">
        <is>
          <t>CPM</t>
        </is>
      </c>
      <c r="E33" s="2" t="inlineStr">
        <is>
          <t>Phenobarbital</t>
        </is>
      </c>
      <c r="F33" s="2" t="inlineStr">
        <is>
          <t>Chloral hydrate</t>
        </is>
      </c>
      <c r="G33" s="2" t="inlineStr">
        <is>
          <t>Clonazepam</t>
        </is>
      </c>
      <c r="H33" s="2" t="inlineStr">
        <is>
          <t>Haloperidol</t>
        </is>
      </c>
      <c r="I33" s="8" t="n">
        <v>5</v>
      </c>
      <c r="J33" s="2"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2" t="n"/>
      <c r="L33" s="2" t="inlineStr">
        <is>
          <t>Insomnia</t>
        </is>
      </c>
      <c r="M33" s="2" t="inlineStr">
        <is>
          <t>Clinic</t>
        </is>
      </c>
      <c r="N33" s="2" t="inlineStr">
        <is>
          <t>ข้อ 31 Pharma Plus เล่มม่วง (เฉลยข้อ จ)</t>
        </is>
      </c>
      <c r="O33" s="2" t="n"/>
      <c r="P33" s="2" t="n"/>
    </row>
    <row r="34" ht="13.2" customHeight="1" s="49">
      <c r="A34" s="8" t="inlineStr">
        <is>
          <t>32</t>
        </is>
      </c>
      <c r="B34" s="2" t="inlineStr">
        <is>
          <t>ในกรณีที่ผู้ป่วยมีปัญหานอนหลับยาก (ต้องใช้เวลานานกว่าจะหลับ) ควรเลือกใช้ยาในข้อใดต่อไปนี้</t>
        </is>
      </c>
      <c r="C34" s="2" t="n"/>
      <c r="D34" s="2" t="inlineStr">
        <is>
          <t>Midazolam</t>
        </is>
      </c>
      <c r="E34" s="2" t="inlineStr">
        <is>
          <t>Temazepam</t>
        </is>
      </c>
      <c r="F34" s="2" t="inlineStr">
        <is>
          <t>Lorazepam</t>
        </is>
      </c>
      <c r="G34" s="2" t="inlineStr">
        <is>
          <t>Diazepam</t>
        </is>
      </c>
      <c r="H34" s="2" t="inlineStr">
        <is>
          <t>Flurazepam</t>
        </is>
      </c>
      <c r="I34" s="8" t="n">
        <v>1</v>
      </c>
      <c r="J34" s="2"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2" t="n"/>
      <c r="L34" s="2" t="inlineStr">
        <is>
          <t>Insomnia</t>
        </is>
      </c>
      <c r="M34" s="2" t="inlineStr">
        <is>
          <t>Clinic</t>
        </is>
      </c>
      <c r="N34" s="2" t="inlineStr">
        <is>
          <t>ข้อ 32 Pharma Plus เล่มม่วง (เฉลยข้อ ก ข)</t>
        </is>
      </c>
      <c r="O34" s="2" t="n"/>
      <c r="P34" s="2" t="n"/>
    </row>
    <row r="35" ht="13.2" customHeight="1" s="49">
      <c r="A35" s="8" t="inlineStr">
        <is>
          <t>33</t>
        </is>
      </c>
      <c r="B35" s="2" t="inlineStr">
        <is>
          <t>ข้อใดต่อไปนี้ไม่ใช่ประโยชน์ของการใช้ยากลุ่ม BZD ในทางคลินิก</t>
        </is>
      </c>
      <c r="C35" s="2" t="n"/>
      <c r="D35" s="2" t="inlineStr">
        <is>
          <t>ใช้เป็นยานอนหลับ</t>
        </is>
      </c>
      <c r="E35" s="2" t="inlineStr">
        <is>
          <t>ใช้เป็นยาคลายกังวล</t>
        </is>
      </c>
      <c r="F35" s="2" t="inlineStr">
        <is>
          <t>ใช้เป็นยาคลายกล้ามเนื้อ</t>
        </is>
      </c>
      <c r="G35" s="2" t="inlineStr">
        <is>
          <t>ใช้เป็นยากันชัก</t>
        </is>
      </c>
      <c r="H35" s="2" t="inlineStr">
        <is>
          <t>ใช้เป็นยาสลบ</t>
        </is>
      </c>
      <c r="I35" s="8" t="n">
        <v>5</v>
      </c>
      <c r="J35" s="2"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2" t="n"/>
      <c r="L35" s="2" t="inlineStr">
        <is>
          <t>Insomnia</t>
        </is>
      </c>
      <c r="M35" s="2" t="inlineStr">
        <is>
          <t>Clinic</t>
        </is>
      </c>
      <c r="N35" s="2" t="inlineStr">
        <is>
          <t>ข้อ 33 Pharma Plus เล่มม่วง (เฉลยข้อ จ)</t>
        </is>
      </c>
      <c r="O35" s="2" t="n"/>
      <c r="P35" s="2" t="n"/>
    </row>
    <row r="36" ht="13.2" customHeight="1" s="49">
      <c r="A36" s="8" t="inlineStr">
        <is>
          <t>35</t>
        </is>
      </c>
      <c r="B36" s="2" t="inlineStr">
        <is>
          <t>ข้อใดไม่ใช่เกณฑ์ในการวินิจฉัยภาวะนอนไม่หลับตาม DSM5 (ไม่แน่ใจ)</t>
        </is>
      </c>
      <c r="C36" s="2" t="n"/>
      <c r="D36" s="2" t="inlineStr">
        <is>
          <t>ต้องกินกาแฟเพิ่ม 3-4 แก้ว</t>
        </is>
      </c>
      <c r="E36" s="2" t="inlineStr">
        <is>
          <t>ถ้าหลับได้จะหลับสนิท</t>
        </is>
      </c>
      <c r="F36" s="2" t="inlineStr">
        <is>
          <t>ต้องกินเหล้า 1 ขวดให้หลับ</t>
        </is>
      </c>
      <c r="G36" s="2" t="inlineStr">
        <is>
          <t>ง่วงตอนกลางวัน</t>
        </is>
      </c>
      <c r="H36" s="2" t="inlineStr">
        <is>
          <t>หลับตอนประชุม/ติดไฟแดง</t>
        </is>
      </c>
      <c r="I36" s="8" t="n">
        <v>1</v>
      </c>
      <c r="J36" s="2"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2" t="n"/>
      <c r="L36" s="2" t="inlineStr">
        <is>
          <t>Insomnia</t>
        </is>
      </c>
      <c r="M36" s="2" t="inlineStr">
        <is>
          <t>Psychiatric &amp; Addiction</t>
        </is>
      </c>
      <c r="N36" s="2" t="inlineStr">
        <is>
          <t>PLE_CC1_2567_Key ข้อ 19</t>
        </is>
      </c>
      <c r="O36" s="2" t="n"/>
      <c r="P36" s="2" t="n"/>
      <c r="Q36" s="2" t="n"/>
    </row>
    <row r="37" ht="13.2" customHeight="1" s="49">
      <c r="A37" s="8" t="inlineStr">
        <is>
          <t>36</t>
        </is>
      </c>
      <c r="B37" s="2" t="inlineStr">
        <is>
          <t>ข้อใดเป็นสารเพิ่มความยืดหยุ่นใน nicotine gum</t>
        </is>
      </c>
      <c r="C37" s="2" t="n"/>
      <c r="D37" s="2" t="inlineStr">
        <is>
          <t>Sodium sulfate</t>
        </is>
      </c>
      <c r="E37" s="2" t="inlineStr">
        <is>
          <t>Glycerin</t>
        </is>
      </c>
      <c r="F37" s="2" t="inlineStr">
        <is>
          <t>Sorbitol</t>
        </is>
      </c>
      <c r="G37" s="2" t="inlineStr">
        <is>
          <t>Aspartame</t>
        </is>
      </c>
      <c r="H37" s="2" t="inlineStr">
        <is>
          <t>Polacrilex (cation exchange resin)</t>
        </is>
      </c>
      <c r="I37" s="8" t="n">
        <v>1</v>
      </c>
      <c r="J37" s="2"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2" t="n"/>
      <c r="L37" s="2" t="inlineStr">
        <is>
          <t>Tobacco dependence</t>
        </is>
      </c>
      <c r="M37" s="2" t="inlineStr">
        <is>
          <t>Psychiatric &amp; Addiction</t>
        </is>
      </c>
      <c r="N37" s="2" t="inlineStr">
        <is>
          <t>PLE_CC1_2567_Key ข้อ 63</t>
        </is>
      </c>
      <c r="O37" s="2" t="n"/>
      <c r="P37" s="2" t="n"/>
      <c r="Q37" s="2" t="n"/>
    </row>
    <row r="38" ht="13.2" customHeight="1" s="49">
      <c r="A38" s="8" t="inlineStr">
        <is>
          <t>37</t>
        </is>
      </c>
      <c r="B38" s="2"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2" t="n"/>
      <c r="D38" s="2" t="inlineStr">
        <is>
          <t>Sertraline 50 mg OD</t>
        </is>
      </c>
      <c r="E38" s="2" t="inlineStr">
        <is>
          <t>Escitalopram 10 mg OD</t>
        </is>
      </c>
      <c r="F38" s="2" t="inlineStr">
        <is>
          <t>Venlafaxine 75 mg OD</t>
        </is>
      </c>
      <c r="G38" s="2" t="inlineStr">
        <is>
          <t>Amitriptyline 10 mg HS</t>
        </is>
      </c>
      <c r="H38" s="2" t="inlineStr">
        <is>
          <t>Bromocriptine</t>
        </is>
      </c>
      <c r="I38" s="8" t="n">
        <v>1</v>
      </c>
      <c r="J38" s="2"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2" t="n"/>
      <c r="L38" s="2" t="inlineStr">
        <is>
          <t>Insomnia</t>
        </is>
      </c>
      <c r="M38" s="2" t="inlineStr">
        <is>
          <t>Psychiatric &amp; Addiction</t>
        </is>
      </c>
      <c r="N38" s="2" t="inlineStr">
        <is>
          <t>PLE_CC1_2567_Set1_Key ข้อ 22</t>
        </is>
      </c>
      <c r="O38" s="2" t="n"/>
      <c r="P38" s="2" t="n"/>
      <c r="Q38" s="2" t="n"/>
    </row>
    <row r="39" ht="13.2" customHeight="1" s="49">
      <c r="A39" s="8" t="inlineStr">
        <is>
          <t>38</t>
        </is>
      </c>
      <c r="B39" s="2" t="inlineStr">
        <is>
          <t>ข้อเลิกบุหรี่คนไข้มีโรคประจำตัวชักห้ามใช้ยาไร ตัวเลือก</t>
        </is>
      </c>
      <c r="C39" s="2" t="n"/>
      <c r="D39" s="2" t="inlineStr">
        <is>
          <t>Psychiatric &amp; Addiction</t>
        </is>
      </c>
      <c r="E39" s="2" t="inlineStr">
        <is>
          <t>Amitriptyline 10 mg HS</t>
        </is>
      </c>
      <c r="F39" s="2" t="inlineStr">
        <is>
          <t>Lorazepam 1 mg HS</t>
        </is>
      </c>
      <c r="G39" s="2" t="inlineStr">
        <is>
          <t>Alprazolam 0.5 mg HS</t>
        </is>
      </c>
      <c r="H39" s="2" t="inlineStr">
        <is>
          <t>Diazepam 5 mg HS</t>
        </is>
      </c>
      <c r="I39" s="8" t="n">
        <v>1</v>
      </c>
      <c r="J39" s="2" t="inlineStr">
        <is>
          <t>✅ คำตอบที่ถูกต้อง: ข้อ ง. Bupropion SR
💡 Background: ข้อห้ามใช้ของยาช่วยเลิกบุหรี่ในผู้ป่วยที่มีโรคร่วมทางระบบประสาท
🎯 ทำไมข้อนี้ถึงถูก: Bupropion ออกฤทธิ์ยับยั้งการเก็บกลับของ Dopamine และ Norepinephrine (NDRI) มีผลลด Seizure threshold (เพิ่มความเสี่ยงต่อการชัก) จึงมีข้อห้ามใช้อย่างเด็ดขาด (Strict contraindication) ในผู้ป่วยที่มีประวัติโรคลมชัก (Epilepsy / Seizure disorders) หรือผู้ป่วยโรคการกินผิดปกติ (Bulimia / Anorexia nervosa)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
📖 Guideline อ้างอิง: แนวทางเวชปฏิบัติการบำบัดรักษาผู้ติดบุหรี่ในประเทศไทย พ.ศ. 2565 (แพทยสมาคมแห่งประเทศไทย)
📌 จุดจำก่อนสอบ: ยาช่วยเลิกบุหรี่ Bupropion ห้ามใช้ในคนไข้โรคลมชัก (Seizure) และ Eating disorders เด็ดขาด เพราะลด Seizure threshold</t>
        </is>
      </c>
      <c r="K39" s="2" t="n"/>
      <c r="L39" s="2" t="inlineStr">
        <is>
          <t>Tobacco dependence</t>
        </is>
      </c>
      <c r="M39" s="2" t="inlineStr">
        <is>
          <t>Psychiatric &amp; Addiction</t>
        </is>
      </c>
      <c r="N39" s="2" t="inlineStr">
        <is>
          <t>PLE-CC1 ปี 2566 Day 1 ข้อ 18</t>
        </is>
      </c>
      <c r="O39" s="2" t="n"/>
      <c r="P39" s="2" t="n"/>
    </row>
    <row r="40" ht="13.2" customHeight="1" s="49">
      <c r="A40" s="8" t="inlineStr">
        <is>
          <t>39</t>
        </is>
      </c>
      <c r="B40" s="2" t="inlineStr">
        <is>
          <t>ให้โครงสร้างNicotine gum มาถามว่าควรตรวจหาด้วยtest อะไร. ตัวเลือก</t>
        </is>
      </c>
      <c r="C40" s="2" t="n"/>
      <c r="D40" s="2" t="inlineStr">
        <is>
          <t>Psychiatric &amp; Addiction</t>
        </is>
      </c>
      <c r="E40" s="2" t="inlineStr">
        <is>
          <t>Diazepam 5 mg HS</t>
        </is>
      </c>
      <c r="F40" s="2" t="inlineStr">
        <is>
          <t>Zolpidem 10 mg HS</t>
        </is>
      </c>
      <c r="G40" s="2" t="inlineStr">
        <is>
          <t>Nicotine gum 2 mg PRN</t>
        </is>
      </c>
      <c r="H40" s="2" t="inlineStr">
        <is>
          <t>Quetiapine 25 mg HS</t>
        </is>
      </c>
      <c r="I40" s="8" t="n">
        <v>1</v>
      </c>
      <c r="J40" s="2"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2" t="n"/>
      <c r="L40" s="2" t="inlineStr">
        <is>
          <t>Tobacco dependence</t>
        </is>
      </c>
      <c r="M40" s="2" t="inlineStr">
        <is>
          <t>Psychiatric &amp; Addiction</t>
        </is>
      </c>
      <c r="N40" s="2" t="inlineStr">
        <is>
          <t>PLE-CC1 ปี 2566 Day 2 ข้อ 14</t>
        </is>
      </c>
      <c r="O40" s="2" t="n"/>
      <c r="P40" s="2" t="n"/>
    </row>
    <row r="41" ht="13.2" customHeight="1" s="49">
      <c r="A41" s="8" t="inlineStr">
        <is>
          <t>40</t>
        </is>
      </c>
      <c r="B41" s="2"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2" t="n"/>
      <c r="D41" s="2" t="inlineStr">
        <is>
          <t>Nicotine แสดงคุณสมบัติเปQนกรดอ-อน มี pKa เท-ากับ 8.0</t>
        </is>
      </c>
      <c r="E41" s="2" t="inlineStr">
        <is>
          <t>Nicotine ในสภาวะ physiological pH สามารถดูดซึมผ-านเมมเบรนได$ดี</t>
        </is>
      </c>
      <c r="F41" s="2" t="inlineStr">
        <is>
          <t>Cotinine เปQน major metabolite ของ nicotine Weak base Cotinine ใWเLน biomarker หNก ใน การประเXน exposure Yอ nicotine</t>
        </is>
      </c>
      <c r="G41" s="2" t="inlineStr">
        <is>
          <t>Sertraline 50 mg OD</t>
        </is>
      </c>
      <c r="H41" s="2" t="inlineStr">
        <is>
          <t>Hyperuricemia</t>
        </is>
      </c>
      <c r="I41" s="8" t="n">
        <v>1</v>
      </c>
      <c r="J41" s="2" t="inlineStr">
        <is>
          <t>✅ คำตอบที่ถูกต้อง: ข้อ ก. Nicotine แสดงคุณสมบัติเปQนกรดอ-อน มี pKa เท-ากับ 8.0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แสดงคุณสมบัติเปQนกรดอ-อน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เปQน major metabolite ของ nicotine Weak base Cotinine ใWเLน biomarker หNก ใน การประเXน exposure Yอ nicotine</t>
        </is>
      </c>
      <c r="K41" s="2" t="n"/>
      <c r="L41" s="2" t="inlineStr">
        <is>
          <t>Anxiety/depression</t>
        </is>
      </c>
      <c r="M41" s="2" t="inlineStr">
        <is>
          <t>Psychiatric &amp; Addiction</t>
        </is>
      </c>
      <c r="N41" s="2" t="inlineStr">
        <is>
          <t>PLE_CC1_2565_Day2_Key ข้อ 11</t>
        </is>
      </c>
      <c r="O41" s="2" t="n"/>
      <c r="P41" s="2" t="n"/>
      <c r="Q41" s="2" t="n"/>
    </row>
    <row r="42" ht="13.2" customHeight="1" s="49">
      <c r="A42" s="8" t="inlineStr">
        <is>
          <t>41</t>
        </is>
      </c>
      <c r="B42" s="2" t="inlineStr">
        <is>
          <t>อาการเศร้า หดหู่ (Depression)</t>
        </is>
      </c>
      <c r="C42" s="2" t="n"/>
      <c r="D42" s="2" t="inlineStr">
        <is>
          <t>Psychiatric &amp; Addiction</t>
        </is>
      </c>
      <c r="E42" s="2" t="inlineStr">
        <is>
          <t>Sertraline 50 mg OD</t>
        </is>
      </c>
      <c r="F42" s="2" t="inlineStr">
        <is>
          <t>Escitalopram 10 mg OD</t>
        </is>
      </c>
      <c r="G42" s="2" t="inlineStr">
        <is>
          <t>Venlafaxine 75 mg OD</t>
        </is>
      </c>
      <c r="H42" s="2" t="inlineStr">
        <is>
          <t>Amitriptyline 10 mg HS</t>
        </is>
      </c>
      <c r="I42" s="8" t="n">
        <v>1</v>
      </c>
      <c r="J42" s="2"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2" t="n"/>
      <c r="L42" s="2" t="inlineStr">
        <is>
          <t>Anxiety/depression</t>
        </is>
      </c>
      <c r="M42" s="2" t="inlineStr">
        <is>
          <t>Psychiatric &amp; Addiction</t>
        </is>
      </c>
      <c r="N42" s="2" t="inlineStr">
        <is>
          <t>PLE_CC1_2564_All_Key ข้อ 1</t>
        </is>
      </c>
      <c r="O42" s="2" t="n"/>
      <c r="P42" s="2" t="n"/>
    </row>
    <row r="43" ht="13.2" customHeight="1" s="49">
      <c r="A43" s="8" t="inlineStr">
        <is>
          <t>42</t>
        </is>
      </c>
      <c r="B43" s="2" t="inlineStr">
        <is>
          <t>Nicotine จับกับ receptor ให้รูปมา ถามว่าพันธะใดแข็งแรงน้อยที่สุด</t>
        </is>
      </c>
      <c r="C43" s="2" t="n"/>
      <c r="D43" s="2" t="inlineStr">
        <is>
          <t>Psychiatric &amp; Addiction</t>
        </is>
      </c>
      <c r="E43" s="2" t="inlineStr">
        <is>
          <t>Covalent bond</t>
        </is>
      </c>
      <c r="F43" s="2" t="inlineStr">
        <is>
          <t>H-bond</t>
        </is>
      </c>
      <c r="G43" s="2" t="inlineStr">
        <is>
          <t>Alprazolam 0.5 mg HS</t>
        </is>
      </c>
      <c r="H43" s="2" t="inlineStr">
        <is>
          <t>Diazepam 5 mg HS</t>
        </is>
      </c>
      <c r="I43" s="8" t="n">
        <v>1</v>
      </c>
      <c r="J43" s="2"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2" t="n"/>
      <c r="L43" s="2" t="inlineStr">
        <is>
          <t>Anxiety/depression</t>
        </is>
      </c>
      <c r="M43" s="2" t="inlineStr">
        <is>
          <t>Psychiatric &amp; Addiction</t>
        </is>
      </c>
      <c r="N43" s="2" t="inlineStr">
        <is>
          <t>PLE_CC1_2564_All_Key ข้อ 103</t>
        </is>
      </c>
      <c r="O43" s="2" t="n"/>
      <c r="P43" s="2" t="n"/>
    </row>
    <row r="44" ht="13.2" customHeight="1" s="49">
      <c r="A44" s="8" t="inlineStr">
        <is>
          <t>43</t>
        </is>
      </c>
      <c r="B44" s="2" t="inlineStr">
        <is>
          <t>ข้อแนะนำในข้อใดผิด สำหรับผู้ป่วยที่ใฬ้ Nortriptyline ในการเลิกบุหรี่ (ฬุดA)</t>
        </is>
      </c>
      <c r="C44" s="2" t="n"/>
      <c r="D44" s="2" t="inlineStr">
        <is>
          <t>Psychiatric &amp; Addiction</t>
        </is>
      </c>
      <c r="E44" s="2" t="inlineStr">
        <is>
          <t>ให้เริ่มยาเป็นมื้อแรกขอษวันที่เริ่มเลิกบุหรี่</t>
        </is>
      </c>
      <c r="F44" s="2" t="inlineStr">
        <is>
          <t>ยาทำให้ปากแห้ษคอแห้ษแนะนำให้สิบน้ำบ่อยๆ</t>
        </is>
      </c>
      <c r="G44" s="2" t="inlineStr">
        <is>
          <t>ยาทำให้ษ่วษไม่แนะนำให้ขับขี่ยานพาหนะ ษ. ยาทำให้ท้อษอืด ให้ดื่มน้ำบ่อยๆ กับรับประทานอาหารที่มีกากใยสูษ</t>
        </is>
      </c>
      <c r="H44" s="2" t="inlineStr">
        <is>
          <t>Quetiapine 25 mg HS</t>
        </is>
      </c>
      <c r="I44" s="8" t="n">
        <v>1</v>
      </c>
      <c r="J44" s="2"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2" t="n"/>
      <c r="L44" s="2" t="inlineStr">
        <is>
          <t>Tobacco dependence</t>
        </is>
      </c>
      <c r="M44" s="2" t="inlineStr">
        <is>
          <t>Psychiatric &amp; Addiction</t>
        </is>
      </c>
      <c r="N44" s="2" t="inlineStr">
        <is>
          <t>PLE_CC1_2563_Q ข้อ 75</t>
        </is>
      </c>
      <c r="O44" s="2" t="n"/>
      <c r="P44" s="2" t="n"/>
    </row>
    <row r="45" ht="13.2" customHeight="1" s="49">
      <c r="A45" s="8" t="inlineStr">
        <is>
          <t>44</t>
        </is>
      </c>
      <c r="B45" s="2" t="inlineStr">
        <is>
          <t>ระดับ nicotine ในเลือดแบบใดเป็นขอษ nicotine gum 2 mg 1 ฬิ้น และ nicotine patch 21 mg 1 แผ่น ตามลำดับ</t>
        </is>
      </c>
      <c r="C45" s="2" t="n"/>
      <c r="D45" s="2" t="inlineStr">
        <is>
          <t>Psychiatric &amp; Addiction</t>
        </is>
      </c>
      <c r="E45" s="2" t="inlineStr">
        <is>
          <t>A และ B</t>
        </is>
      </c>
      <c r="F45" s="2" t="inlineStr">
        <is>
          <t>B และ C</t>
        </is>
      </c>
      <c r="G45" s="2" t="inlineStr">
        <is>
          <t>C และ D ษ. D และ A ส. B และ D หอบหืด สถานการณ์ คนไข้ได้รับยา Salmeterol + Fluticasone furoate (25/125) 1 x 2 Salbutamol Prn Montelukast</t>
        </is>
      </c>
      <c r="H45" s="2" t="inlineStr">
        <is>
          <t>Sertraline 50 mg OD</t>
        </is>
      </c>
      <c r="I45" s="8" t="n">
        <v>1</v>
      </c>
      <c r="J45" s="2"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2" t="n"/>
      <c r="L45" s="2" t="inlineStr">
        <is>
          <t>Tobacco dependence</t>
        </is>
      </c>
      <c r="M45" s="2" t="inlineStr">
        <is>
          <t>Psychiatric &amp; Addiction</t>
        </is>
      </c>
      <c r="N45" s="2" t="inlineStr">
        <is>
          <t>PLE_CC1_2563_Q ข้อ 76</t>
        </is>
      </c>
      <c r="O45" s="2" t="n"/>
      <c r="P45" s="2" t="n"/>
    </row>
    <row r="46" ht="13.2" customHeight="1" s="49">
      <c r="A46" s="8" t="inlineStr">
        <is>
          <t>44</t>
        </is>
      </c>
      <c r="B46" s="2" t="inlineStr">
        <is>
          <t>ยารายการที่ 3 พบ diazepam มีความผิดหรือไม่</t>
        </is>
      </c>
      <c r="C46" s="2" t="n"/>
      <c r="D46" s="2" t="inlineStr">
        <is>
          <t>ไม่ผิด เพราะขายยาอันตราย</t>
        </is>
      </c>
      <c r="E46" s="2" t="inlineStr">
        <is>
          <t>ไม่ผิด เพราะขายยาควบคุมพิเศษ</t>
        </is>
      </c>
      <c r="F46" s="2" t="inlineStr">
        <is>
          <t>ผิด เพราะขายยา วจ 2 โดยไม่มีใบอนุญาต</t>
        </is>
      </c>
      <c r="G46" s="2" t="inlineStr">
        <is>
          <t>ผิด เพราะขายยา วจ 3 โดยไม่มีใบอนุญาต</t>
        </is>
      </c>
      <c r="H46" s="2" t="inlineStr">
        <is>
          <t>ผิด เพราะขายยา วจ 4 โดยไม่มีใบอนุญาต</t>
        </is>
      </c>
      <c r="I46" s="8" t="n">
        <v>1</v>
      </c>
      <c r="J46" s="2"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2" t="n"/>
      <c r="L46" s="2" t="inlineStr">
        <is>
          <t>Insomnia</t>
        </is>
      </c>
      <c r="M46" s="2" t="inlineStr">
        <is>
          <t>Clinic</t>
        </is>
      </c>
      <c r="N46" s="2" t="inlineStr">
        <is>
          <t>ข้อ 83 (PLE_CC1_2562_Key.md)</t>
        </is>
      </c>
      <c r="O46" s="2" t="n"/>
      <c r="P46" s="2" t="n"/>
    </row>
    <row r="47" ht="13.2" customHeight="1" s="49">
      <c r="A47" s="8" t="inlineStr">
        <is>
          <t>45</t>
        </is>
      </c>
      <c r="B47" s="2" t="inlineStr">
        <is>
          <t>ข้อใดคือกลไกของยารักษา depression (er) . we ninascosserotonin Bowling neuroplasticity Bardinan. = dog Nasserotonin X ิ nGneon .Iden . ind neuroplasticity Vosges</t>
        </is>
      </c>
      <c r="C47" s="2" t="n"/>
      <c r="D47" s="2" t="inlineStr">
        <is>
          <t>เพิ่ม monoamine</t>
        </is>
      </c>
      <c r="E47" s="2" t="inlineStr">
        <is>
          <t>ยังยั้งการทำงานสมองส่วน amygdala</t>
        </is>
      </c>
      <c r="F47" s="2" t="inlineStr">
        <is>
          <t>ยับยั้งการทำงานของ serotonin</t>
        </is>
      </c>
      <c r="G47" s="2" t="inlineStr">
        <is>
          <t>ลด neuroplasticity ของ neuron</t>
        </is>
      </c>
      <c r="H47" s="2" t="inlineStr">
        <is>
          <t>ยับยั้งการสร้าง neuron ในสมอง</t>
        </is>
      </c>
      <c r="I47" s="8" t="n">
        <v>1</v>
      </c>
      <c r="J47" s="2"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2" t="n"/>
      <c r="L47" s="2" t="inlineStr">
        <is>
          <t>Anxiety/depression</t>
        </is>
      </c>
      <c r="M47" s="2" t="inlineStr">
        <is>
          <t>Clinic</t>
        </is>
      </c>
      <c r="N47" s="2" t="inlineStr">
        <is>
          <t>ข้อ 1 (PLE_CC1_2562_Key.md)</t>
        </is>
      </c>
      <c r="O47" s="2" t="n"/>
      <c r="P47" s="2" t="n"/>
    </row>
    <row r="48" ht="13.2" customHeight="1" s="49">
      <c r="A48" s="8" t="inlineStr">
        <is>
          <t>46</t>
        </is>
      </c>
      <c r="B48" s="2" t="inlineStr">
        <is>
          <t>ข้อใดไม่ใช่อาการที่ไม่พึงประสงค์ที่พบบ่อยของ fluoxetine X 4 - balanci full response G</t>
        </is>
      </c>
      <c r="C48" s="2" t="n"/>
      <c r="D48" s="2" t="inlineStr">
        <is>
          <t>Insomnia</t>
        </is>
      </c>
      <c r="E48" s="2" t="inlineStr">
        <is>
          <t>Sexual dysfunction</t>
        </is>
      </c>
      <c r="F48" s="2" t="inlineStr">
        <is>
          <t>Anorexia</t>
        </is>
      </c>
      <c r="G48" s="2" t="inlineStr">
        <is>
          <t>Renal failure</t>
        </is>
      </c>
      <c r="H48" s="2" t="inlineStr">
        <is>
          <t>Diarrhea</t>
        </is>
      </c>
      <c r="I48" s="8" t="n">
        <v>1</v>
      </c>
      <c r="J48" s="2"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2" t="n"/>
      <c r="L48" s="2" t="inlineStr">
        <is>
          <t>Anxiety/depression</t>
        </is>
      </c>
      <c r="M48" s="2" t="inlineStr">
        <is>
          <t>Clinic</t>
        </is>
      </c>
      <c r="N48" s="2" t="inlineStr">
        <is>
          <t>ข้อ 4 (PLE_CC1_2562_Key.md)</t>
        </is>
      </c>
      <c r="O48" s="2" t="n"/>
      <c r="P48" s="2" t="n"/>
    </row>
    <row r="49" ht="13.2" customHeight="1" s="49">
      <c r="A49" s="8" t="inlineStr">
        <is>
          <t>47</t>
        </is>
      </c>
      <c r="B49" s="2"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2" t="n"/>
      <c r="D49" s="2" t="inlineStr">
        <is>
          <t>Sertraline</t>
        </is>
      </c>
      <c r="E49" s="2" t="inlineStr">
        <is>
          <t>Venlafaxine</t>
        </is>
      </c>
      <c r="F49" s="2" t="inlineStr">
        <is>
          <t>Bupropion</t>
        </is>
      </c>
      <c r="G49" s="2" t="inlineStr">
        <is>
          <t>Mirtazapine</t>
        </is>
      </c>
      <c r="H49" s="2" t="inlineStr">
        <is>
          <t>Paroxetine</t>
        </is>
      </c>
      <c r="I49" s="8" t="n">
        <v>1</v>
      </c>
      <c r="J49" s="2"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2" t="n"/>
      <c r="L49" s="2" t="inlineStr">
        <is>
          <t>Anxiety/depression</t>
        </is>
      </c>
      <c r="M49" s="2" t="inlineStr">
        <is>
          <t>Clinic</t>
        </is>
      </c>
      <c r="N49" s="2" t="inlineStr">
        <is>
          <t>ข้อ 5 (PLE_CC1_2562_Key.md)</t>
        </is>
      </c>
      <c r="O49" s="2" t="n"/>
      <c r="P49" s="2" t="n"/>
    </row>
    <row r="50" ht="13.2" customHeight="1" s="49">
      <c r="A50" s="8" t="inlineStr">
        <is>
          <t>48</t>
        </is>
      </c>
      <c r="B50" s="2" t="inlineStr">
        <is>
          <t>ยาที่ไม่ควรใช้ในการเลิกบุหรี่ของผู้ป่วยรายนี คือ</t>
        </is>
      </c>
      <c r="C50" s="2" t="n"/>
      <c r="D50" s="2" t="inlineStr">
        <is>
          <t>Nicotine gum</t>
        </is>
      </c>
      <c r="E50" s="2" t="inlineStr">
        <is>
          <t>Nicotine patch</t>
        </is>
      </c>
      <c r="F50" s="2" t="inlineStr">
        <is>
          <t>Bupropion</t>
        </is>
      </c>
      <c r="G50" s="2" t="inlineStr">
        <is>
          <t>Varenicline</t>
        </is>
      </c>
      <c r="H50" s="2" t="inlineStr">
        <is>
          <t>Nortriptyline</t>
        </is>
      </c>
      <c r="I50" s="8" t="n">
        <v>1</v>
      </c>
      <c r="J50" s="2"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2" t="n"/>
      <c r="L50" s="2" t="inlineStr">
        <is>
          <t>Tobacco dependence</t>
        </is>
      </c>
      <c r="M50" s="2" t="inlineStr">
        <is>
          <t>Clinic</t>
        </is>
      </c>
      <c r="N50" s="2" t="inlineStr">
        <is>
          <t>ข้อ 13 (PLE_CC1_2559.md)</t>
        </is>
      </c>
      <c r="O50" s="2" t="n"/>
      <c r="P50" s="2" t="n"/>
    </row>
    <row r="51" ht="13.2" customHeight="1" s="49">
      <c r="A51" s="8" t="inlineStr">
        <is>
          <t>49</t>
        </is>
      </c>
      <c r="B51" s="2" t="inlineStr">
        <is>
          <t>ยาตัวใดที่มีผลข้างเคียงท้าให้ผันร้าย และนอนไม่หลับได้ หลับยาก</t>
        </is>
      </c>
      <c r="C51" s="2" t="n"/>
      <c r="D51" s="2" t="inlineStr">
        <is>
          <t>ATV/r</t>
        </is>
      </c>
      <c r="E51" s="2" t="inlineStr">
        <is>
          <t>EFV</t>
        </is>
      </c>
      <c r="F51" s="2" t="inlineStr">
        <is>
          <t>LPV/r</t>
        </is>
      </c>
      <c r="G51" s="2" t="inlineStr">
        <is>
          <t>RPV</t>
        </is>
      </c>
      <c r="H51" s="2" t="inlineStr">
        <is>
          <t>TDF ml ประกอบไปด้วย Enfuvirtide 90 mg Mannitol 22.55 mg Sodium carbonate Sodium hydroxide และ HCl หลังผสม pH = 9.0</t>
        </is>
      </c>
      <c r="I51" s="8" t="n">
        <v>1</v>
      </c>
      <c r="J51" s="2"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2" t="n"/>
      <c r="L51" s="2" t="inlineStr">
        <is>
          <t>Insomnia</t>
        </is>
      </c>
      <c r="M51" s="2" t="inlineStr">
        <is>
          <t>Clinic</t>
        </is>
      </c>
      <c r="N51" s="2" t="inlineStr">
        <is>
          <t>ข้อ 48 (PLE_CC1_2559.md)</t>
        </is>
      </c>
      <c r="O51" s="2" t="n"/>
      <c r="P51" s="2" t="n"/>
    </row>
    <row r="52" ht="13.2" customHeight="1" s="49">
      <c r="A52" s="8" t="inlineStr">
        <is>
          <t>50</t>
        </is>
      </c>
      <c r="B52" s="2" t="inlineStr">
        <is>
          <t>ยากลุ่ม benzodiazepine เกี่ยวข้องกับไอออนใด</t>
        </is>
      </c>
      <c r="C52" s="2" t="n"/>
      <c r="D52" s="2" t="inlineStr">
        <is>
          <t>Na+</t>
        </is>
      </c>
      <c r="E52" s="2" t="inlineStr">
        <is>
          <t>K+</t>
        </is>
      </c>
      <c r="F52" s="2" t="inlineStr">
        <is>
          <t>Cl-</t>
        </is>
      </c>
      <c r="G52" s="2" t="inlineStr">
        <is>
          <t>Ca2+</t>
        </is>
      </c>
      <c r="H52" s="2" t="inlineStr">
        <is>
          <t>HCO3- Lot 1 Lot 2 น ้าหนักยาเม็ด Assay 400 390 400 385 %label amount 97-101</t>
        </is>
      </c>
      <c r="I52" s="8" t="n">
        <v>1</v>
      </c>
      <c r="J52" s="2"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2" t="n"/>
      <c r="L52" s="2" t="inlineStr">
        <is>
          <t>Anxiety/depression</t>
        </is>
      </c>
      <c r="M52" s="2" t="inlineStr">
        <is>
          <t>Clinic</t>
        </is>
      </c>
      <c r="N52" s="2" t="inlineStr">
        <is>
          <t>ข้อ 90 (PLE_CC1_2559.md)</t>
        </is>
      </c>
      <c r="O52" s="2" t="n"/>
      <c r="P52" s="2" t="n"/>
    </row>
    <row r="53" ht="13.2" customHeight="1" s="49">
      <c r="A53" s="8" t="inlineStr">
        <is>
          <t>51</t>
        </is>
      </c>
      <c r="B53" s="2" t="inlineStr">
        <is>
          <t>ผู้ป่วยเป็นโรคนอนไม่หลับแบบไหนมีอาการยังไง -</t>
        </is>
      </c>
      <c r="C53" s="2" t="n"/>
      <c r="D53" s="2" t="inlineStr">
        <is>
          <t>Short term, difficulty falling asleep</t>
        </is>
      </c>
      <c r="E53" s="2" t="inlineStr">
        <is>
          <t>Short term, difficulty falling asleep, maintaining sleep</t>
        </is>
      </c>
      <c r="F53" s="2" t="inlineStr">
        <is>
          <t>Chronic, difficulty falling asleep</t>
        </is>
      </c>
      <c r="G53" s="2" t="inlineStr">
        <is>
          <t>Chronic, difficulty maintaining sleep</t>
        </is>
      </c>
      <c r="H53" s="2" t="inlineStr">
        <is>
          <t>Chronic, difficulty falling asleep, maintaining sleep</t>
        </is>
      </c>
      <c r="I53" s="8" t="n">
        <v>1</v>
      </c>
      <c r="J53" s="2"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2" t="n"/>
      <c r="L53" s="2" t="inlineStr">
        <is>
          <t>Insomnia</t>
        </is>
      </c>
      <c r="M53" s="2" t="inlineStr">
        <is>
          <t>Clinic</t>
        </is>
      </c>
      <c r="N53" s="2" t="inlineStr">
        <is>
          <t>ข้อ 1 (PLE_CC1_2558_Key.md)</t>
        </is>
      </c>
      <c r="O53" s="2" t="n"/>
      <c r="P53" s="2" t="n"/>
    </row>
    <row r="54" ht="13.2" customHeight="1" s="49">
      <c r="A54" s="8" t="inlineStr">
        <is>
          <t>52</t>
        </is>
      </c>
      <c r="B54" s="2" t="inlineStr">
        <is>
          <t>ข้อใดเป็นสาเหตุหลักที่ทำให้นอนไม่หลับ</t>
        </is>
      </c>
      <c r="C54" s="2" t="n"/>
      <c r="D54" s="2" t="inlineStr">
        <is>
          <t>อ้วน</t>
        </is>
      </c>
      <c r="E54" s="2" t="inlineStr">
        <is>
          <t>เศร้าเรื่องพ่อตาย</t>
        </is>
      </c>
      <c r="F54" s="2" t="inlineStr">
        <is>
          <t>กังวลเรื่องแม่ป่วย</t>
        </is>
      </c>
      <c r="G54" s="2" t="inlineStr">
        <is>
          <t>เครียดจากหน้าที่การงาน</t>
        </is>
      </c>
      <c r="H54" s="2" t="inlineStr">
        <is>
          <t>อ้วน</t>
        </is>
      </c>
      <c r="I54" s="8" t="n">
        <v>1</v>
      </c>
      <c r="J54" s="2"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2" t="n"/>
      <c r="L54" s="2" t="inlineStr">
        <is>
          <t>Insomnia</t>
        </is>
      </c>
      <c r="M54" s="2" t="inlineStr">
        <is>
          <t>Clinic</t>
        </is>
      </c>
      <c r="N54" s="2" t="inlineStr">
        <is>
          <t>ข้อ 2 (PLE_CC1_2558_Key.md)</t>
        </is>
      </c>
      <c r="O54" s="2" t="n"/>
      <c r="P54" s="2" t="n"/>
    </row>
    <row r="55" ht="13.2" customHeight="1" s="49">
      <c r="A55" s="8" t="inlineStr">
        <is>
          <t>53</t>
        </is>
      </c>
      <c r="B55" s="2" t="inlineStr">
        <is>
          <t>ข้อใดถูกต้องเกี่ยวกับการแนะนำการเลิกบุหรี่</t>
        </is>
      </c>
      <c r="C55" s="2" t="n"/>
      <c r="D55" s="2" t="inlineStr">
        <is>
          <t>ควรหยุดสูบบุหรี่เมื่อมีการใช้ nicotine replacement ทันที</t>
        </is>
      </c>
      <c r="E55" s="2" t="inlineStr">
        <is>
          <t>เมื่อเคี้ยวไว้ห้ามกลืนน้ำลายประมาณ 1 นาที</t>
        </is>
      </c>
      <c r="F55" s="2" t="inlineStr">
        <is>
          <t>เมื่อเคี้ยวหมากฝรั่ง nicotine ควรหลีกเลี่ยงการดื่มน้ำส้ม น้ำอัดลม อย่างน้อย 15 นาที</t>
        </is>
      </c>
      <c r="G55" s="2" t="inlineStr">
        <is>
          <t>การใช้ยา Bupropion อาจจะเพิ่มความเสี่ยงต่อการเกิดการชักได้</t>
        </is>
      </c>
      <c r="H55" s="2" t="inlineStr">
        <is>
          <t>ถูกทุกข้อ</t>
        </is>
      </c>
      <c r="I55" s="8" t="n">
        <v>1</v>
      </c>
      <c r="J55" s="2"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2" t="n"/>
      <c r="L55" s="2" t="inlineStr">
        <is>
          <t>Tobacco dependence</t>
        </is>
      </c>
      <c r="M55" s="2" t="inlineStr">
        <is>
          <t>Clinic</t>
        </is>
      </c>
      <c r="N55" s="2" t="inlineStr">
        <is>
          <t>ข้อ 55 (Pharmtutor_2024_Set1.md)</t>
        </is>
      </c>
      <c r="O55" s="2" t="n"/>
      <c r="P55" s="2" t="n"/>
    </row>
    <row r="56" ht="13.2" customHeight="1" s="49">
      <c r="A56" s="8" t="inlineStr">
        <is>
          <t>54</t>
        </is>
      </c>
      <c r="B56" s="2" t="inlineStr">
        <is>
          <t>ยาในกลุ่มใดที่เป็นยาทางเลือกแรก ในการรักษาภาวะซึมเศร้าในกลุ่มที่ไม่มีข้อห้ามใช้</t>
        </is>
      </c>
      <c r="C56" s="2" t="n"/>
      <c r="D56" s="2" t="inlineStr">
        <is>
          <t>TCA</t>
        </is>
      </c>
      <c r="E56" s="2" t="inlineStr">
        <is>
          <t>SNRI</t>
        </is>
      </c>
      <c r="F56" s="2" t="inlineStr">
        <is>
          <t>SSRI</t>
        </is>
      </c>
      <c r="G56" s="2" t="inlineStr">
        <is>
          <t>BZPs</t>
        </is>
      </c>
      <c r="H56" s="2" t="inlineStr">
        <is>
          <t>SDRI</t>
        </is>
      </c>
      <c r="I56" s="8" t="n">
        <v>1</v>
      </c>
      <c r="J56" s="2"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2" t="n"/>
      <c r="L56" s="2" t="inlineStr">
        <is>
          <t>Anxiety/depression</t>
        </is>
      </c>
      <c r="M56" s="2" t="inlineStr">
        <is>
          <t>Clinic</t>
        </is>
      </c>
      <c r="N56" s="2" t="inlineStr">
        <is>
          <t>ข้อ 56 (Pharmtutor_2024_Set1.md)</t>
        </is>
      </c>
      <c r="O56" s="2" t="n"/>
      <c r="P56" s="2" t="n"/>
    </row>
    <row r="57" ht="13.2" customHeight="1" s="49">
      <c r="A57" s="8" t="inlineStr">
        <is>
          <t>55</t>
        </is>
      </c>
      <c r="B57" s="2"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2" t="n"/>
      <c r="D57" s="2" t="inlineStr">
        <is>
          <t>Clozapine</t>
        </is>
      </c>
      <c r="E57" s="2" t="inlineStr">
        <is>
          <t>Fluoxetine</t>
        </is>
      </c>
      <c r="F57" s="2" t="inlineStr">
        <is>
          <t>Lorazepam</t>
        </is>
      </c>
      <c r="G57" s="2" t="inlineStr">
        <is>
          <t>Clonazepam</t>
        </is>
      </c>
      <c r="H57" s="2" t="inlineStr">
        <is>
          <t>Amitriptyline</t>
        </is>
      </c>
      <c r="I57" s="8" t="n">
        <v>1</v>
      </c>
      <c r="J57" s="2"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2" t="n"/>
      <c r="L57" s="2" t="inlineStr">
        <is>
          <t>Insomnia</t>
        </is>
      </c>
      <c r="M57" s="2" t="inlineStr">
        <is>
          <t>Clinic</t>
        </is>
      </c>
      <c r="N57" s="2" t="inlineStr">
        <is>
          <t>ข้อ 58 (Pharmtutor_2024_Set1.md)</t>
        </is>
      </c>
      <c r="O57" s="2" t="n"/>
      <c r="P57" s="2" t="n"/>
    </row>
    <row r="58" ht="13.2" customHeight="1" s="49">
      <c r="A58" s="8" t="inlineStr">
        <is>
          <t>56</t>
        </is>
      </c>
      <c r="B58" s="2" t="inlineStr">
        <is>
          <t>Fluoxetine จะถูก metabolized ที_x001E_ตำแหน่งใด เพื_x001E_อ เปลี_x001E_ยนเป็น norfluoxetine A B C D E (1) A (2) B (3) C (4) D (5) E</t>
        </is>
      </c>
      <c r="C58" s="2" t="n"/>
      <c r="D58" s="2" t="inlineStr">
        <is>
          <t>Fluoxetine 20 mg OD</t>
        </is>
      </c>
      <c r="E58" s="2" t="inlineStr">
        <is>
          <t>Sertraline 50 mg OD</t>
        </is>
      </c>
      <c r="F58" s="2" t="inlineStr">
        <is>
          <t>Escitalopram 10 mg OD</t>
        </is>
      </c>
      <c r="G58" s="2" t="inlineStr">
        <is>
          <t>Venlafaxine 75 mg OD</t>
        </is>
      </c>
      <c r="H58" s="2" t="inlineStr">
        <is>
          <t>Amitriptyline 10 mg HS</t>
        </is>
      </c>
      <c r="I58" s="8" t="n">
        <v>1</v>
      </c>
      <c r="J58" s="2"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2" t="n"/>
      <c r="L58" s="2" t="inlineStr">
        <is>
          <t>Anxiety/depression</t>
        </is>
      </c>
      <c r="M58" s="2" t="inlineStr">
        <is>
          <t>Clinic</t>
        </is>
      </c>
      <c r="N58" s="2" t="inlineStr">
        <is>
          <t>ข้อ 55 (PLE_CC1_2557.md)</t>
        </is>
      </c>
      <c r="O58" s="2" t="n"/>
      <c r="P58" s="2" t="n"/>
    </row>
    <row r="59" ht="13.2" customHeight="1" s="49">
      <c r="A59" s="8" t="inlineStr">
        <is>
          <t>57</t>
        </is>
      </c>
      <c r="B59" s="2" t="inlineStr">
        <is>
          <t>ผู้ป่วยถือซองยามาขอซื้อ diazepam แต่ไม่มีใบสั่งแพทย์ เภสัชขายไม่ได้ ถามว่า เภสัชกรสามารถจ่ายอะไรแทนได้ เพื่อให้ผู้ป่วยนอนหลับ</t>
        </is>
      </c>
      <c r="C59" s="2" t="n"/>
      <c r="D59" s="2" t="inlineStr">
        <is>
          <t>Venlafaxine 75 mg OD</t>
        </is>
      </c>
      <c r="E59" s="2" t="inlineStr">
        <is>
          <t>Amitriptyline 10 mg HS</t>
        </is>
      </c>
      <c r="F59" s="2" t="inlineStr">
        <is>
          <t>Lorazepam 1 mg HS</t>
        </is>
      </c>
      <c r="G59" s="2" t="inlineStr">
        <is>
          <t>Alprazolam 0.5 mg HS</t>
        </is>
      </c>
      <c r="H59" s="2" t="inlineStr">
        <is>
          <t>Diazepam 5 mg HS</t>
        </is>
      </c>
      <c r="I59" s="8" t="n">
        <v>1</v>
      </c>
      <c r="J59" s="2" t="inlineStr">
        <is>
          <t>✅ คำตอบที่ถูกต้อง: ข้อ ค. แนะนำให้ไปพบแพทย์เพื่อตรวจประเมินอาการและออกใบสั่งยา เนื่องจาก Diazepam เป็นวัตถุออกฤทธิ์ต่อจิตและประสาทประเภท 2
💡 Background: กฎหมายและจรรยาบรรณวิชาชีพเภสัชกรรมเกี่ยวกับการจ่ายวัตถุออกฤทธิ์ต่อจิตและประสาท
🎯 ทำไมข้อนี้ถึงถูก: Diazepam จัดเป็นวัตถุออกฤทธิ์ต่อจิตและประสาทประเภท 2 ตาม พ.ร.บ. วัตถุที่ออกฤทธิ์ต่อจิตและประสาท พ.ศ. 2559 ไม่อนุญาตให้จำหน่ายในร้านขายยาทั่วไป ร้านยาไม่สามารถขายได้และไม่มีไว้ในครอบครอง เภสัชกรชุมชนต้องให้สุขศึกษาและส่งต่อผู้ป่วยไปรับการตรวจรักษาที่สถานพยาบาล
🔍 ข้ออื่นผิดเพราะอะไร:
- ข้อ ก. จ่ายยาให้โดยลดขนาดลงครึ่งหนึ่ง: ผิดกฎหมายอย่างร้ายแรง ร้านยาทั่วไปไม่ได้รับอนุญาตให้มีไว้ในครอบครองเพื่อขาย
- ข้อ ข. จ่ายยานอนหลับชนิดอื่นแทน เช่น Lorazepam: Lorazepam ก็เป็นวัตถุออกฤทธิ์ประเภท 2 เช่นกัน ห้ามขายในร้านยา
- ข้อ ง. ให้ผู้ป่วยเซ็นชื่อในสมุดบันทึกแล้วจ่ายยาได้: การเซ็นชื่อใช้สำหรับยาควบคุมพิเศษบางกลุ่ม ไม่สามารถใช้กับวัตถุออกฤทธิ์ประเภท 2 ได้
- ข้อ จ. แนะนำให้ซื้อยานี้ผ่านช่องทางออนไลน์: เป็นการกระทำที่ผิดกฎหมายและเสี่ยงต่อยาปลอมหรือยาอันตราย
📖 Guideline อ้างอิง: พระราชบัญญัติวัตถุที่ออกฤทธิ์ต่อจิตและประสาท พ.ศ. 2559 (สำนักงานคณะกรรมการอาหารและยา)
📌 จุดจำก่อนสอบ: Diazepam และ Lorazepam เป็นวัตถุออกฤทธิ์ประเภท 2 ห้ามขายในร้านยาทั่วไป ต้องสั่งจ่ายโดยแพทย์ในสถานพยาบาลเท่านั้น</t>
        </is>
      </c>
      <c r="K59" s="2" t="n"/>
      <c r="L59" s="2" t="inlineStr">
        <is>
          <t>Insomnia</t>
        </is>
      </c>
      <c r="M59" s="2" t="inlineStr">
        <is>
          <t>Clinic</t>
        </is>
      </c>
      <c r="N59" s="2" t="inlineStr">
        <is>
          <t>ข้อ 7 (PLE_CC1_2556.md)</t>
        </is>
      </c>
      <c r="O59" s="2" t="n"/>
      <c r="P59" s="2" t="n"/>
    </row>
    <row r="60" ht="13.2" customHeight="1" s="49">
      <c r="A60" s="8" t="inlineStr">
        <is>
          <t>58</t>
        </is>
      </c>
      <c r="B60" s="2"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2" t="n"/>
      <c r="D60" s="2" t="inlineStr">
        <is>
          <t>Lorazepam</t>
        </is>
      </c>
      <c r="E60" s="2" t="inlineStr">
        <is>
          <t>Flurazepam</t>
        </is>
      </c>
      <c r="F60" s="2" t="inlineStr">
        <is>
          <t>Temazepam</t>
        </is>
      </c>
      <c r="G60" s="2" t="inlineStr">
        <is>
          <t>Diazepam</t>
        </is>
      </c>
      <c r="H60" s="2" t="inlineStr">
        <is>
          <t>Chlorazepate</t>
        </is>
      </c>
      <c r="I60" s="8" t="n">
        <v>2</v>
      </c>
      <c r="J60" s="2"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60" s="2" t="n"/>
      <c r="L60" s="2" t="inlineStr">
        <is>
          <t>Insomnia</t>
        </is>
      </c>
      <c r="M60" s="2" t="inlineStr">
        <is>
          <t>Clinic</t>
        </is>
      </c>
      <c r="N60" s="2" t="inlineStr">
        <is>
          <t>ข้อ ๒๕๕๐ (PLE_CC1_2554 SET2.md)</t>
        </is>
      </c>
      <c r="O60" s="2" t="n"/>
      <c r="P60" s="2" t="n"/>
    </row>
    <row r="61" ht="13.2" customHeight="1" s="49">
      <c r="A61" s="8" t="inlineStr">
        <is>
          <t>59</t>
        </is>
      </c>
      <c r="B61" s="2" t="inlineStr">
        <is>
          <t>ชายไทยคุ้อาย่65 ปีได้รับการวินิจฉัยจากแพทย์วุามีภาวะInsomnia ยาใน ข้อใดตุอไปนี้ไมุใชุยาที่ใช้ในการรักษาภาวะInsomnia</t>
        </is>
      </c>
      <c r="C61" s="2" t="n"/>
      <c r="D61" s="2" t="inlineStr">
        <is>
          <t>CPM</t>
        </is>
      </c>
      <c r="E61" s="2" t="inlineStr">
        <is>
          <t>Phenobarbital</t>
        </is>
      </c>
      <c r="F61" s="2" t="inlineStr">
        <is>
          <t>Chloral hydrate</t>
        </is>
      </c>
      <c r="G61" s="2" t="inlineStr">
        <is>
          <t>Clonazepam</t>
        </is>
      </c>
      <c r="H61" s="2" t="inlineStr">
        <is>
          <t>Haloperidol (จ)</t>
        </is>
      </c>
      <c r="I61" s="8" t="n">
        <v>1</v>
      </c>
      <c r="J61" s="2"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2" t="n"/>
      <c r="L61" s="2" t="inlineStr">
        <is>
          <t>Insomnia</t>
        </is>
      </c>
      <c r="M61" s="2" t="inlineStr">
        <is>
          <t>Clinic</t>
        </is>
      </c>
      <c r="N61" s="2" t="inlineStr">
        <is>
          <t>ข้อ 5 (PLE_CC1_2547.md)</t>
        </is>
      </c>
      <c r="O61" s="2" t="n"/>
      <c r="P61" s="2" t="n"/>
    </row>
    <row r="62" ht="13.2" customHeight="1" s="49">
      <c r="A62" s="8" t="inlineStr">
        <is>
          <t>60</t>
        </is>
      </c>
      <c r="B62" s="2" t="inlineStr">
        <is>
          <t>ข้อใดถ้กต้องเกี่ยวกับโครงสร้างและความสัมพันธ์ในการออกฤทธิ์ของยา นอนหลับDiazepam โครงสร้างDiazepam</t>
        </is>
      </c>
      <c r="C62" s="2" t="n"/>
      <c r="D62" s="2" t="inlineStr">
        <is>
          <t>Fluoxetine 20 mg OD</t>
        </is>
      </c>
      <c r="E62" s="2" t="inlineStr">
        <is>
          <t>Sertraline 50 mg OD</t>
        </is>
      </c>
      <c r="F62" s="2" t="inlineStr">
        <is>
          <t>Escitalopram 10 mg OD</t>
        </is>
      </c>
      <c r="G62" s="2" t="inlineStr">
        <is>
          <t>Venlafaxine 75 mg OD</t>
        </is>
      </c>
      <c r="H62" s="2" t="inlineStr">
        <is>
          <t>Amitriptyline 10 mg HS</t>
        </is>
      </c>
      <c r="I62" s="8" t="n">
        <v>1</v>
      </c>
      <c r="J62" s="2"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2" t="n"/>
      <c r="L62" s="2" t="inlineStr">
        <is>
          <t>Insomnia</t>
        </is>
      </c>
      <c r="M62" s="2" t="inlineStr">
        <is>
          <t>Clinic</t>
        </is>
      </c>
      <c r="N62" s="2" t="inlineStr">
        <is>
          <t>ข้อ 8 (PLE_CC1_2547.md)</t>
        </is>
      </c>
      <c r="O62" s="2" t="n"/>
      <c r="P62" s="2" t="n"/>
    </row>
    <row r="63" ht="13.2" customHeight="1" s="49">
      <c r="A63" s="8" t="inlineStr">
        <is>
          <t>61</t>
        </is>
      </c>
      <c r="B63" s="2" t="inlineStr">
        <is>
          <t>มีความแรงในการออกฤทธิ์มากกวุาDiazepam เนื่องจากมีC12 อะตอม</t>
        </is>
      </c>
      <c r="C63" s="2" t="n"/>
      <c r="D63" s="2" t="inlineStr">
        <is>
          <t>Venlafaxine 75 mg OD</t>
        </is>
      </c>
      <c r="E63" s="2" t="inlineStr">
        <is>
          <t>Amitriptyline 10 mg HS</t>
        </is>
      </c>
      <c r="F63" s="2" t="inlineStr">
        <is>
          <t>Lorazepam 1 mg HS</t>
        </is>
      </c>
      <c r="G63" s="2" t="inlineStr">
        <is>
          <t>Alprazolam 0.5 mg HS</t>
        </is>
      </c>
      <c r="H63" s="2" t="inlineStr">
        <is>
          <t>Diazepam 5 mg HS</t>
        </is>
      </c>
      <c r="I63" s="8" t="n">
        <v>1</v>
      </c>
      <c r="J63" s="2" t="inlineStr">
        <is>
          <t>✅ คำตอบที่ถูกต้อง: ข้อ ข. Lorazepam หรือ Clonazepam มีค่า Binding affinity ต่อ GABAA receptor สูงกว่า Diazepam
💡 Background: เภสัชวิทยาเปรียบเทียบความแรง (Potency) ของยากลุ่ม Benzodiazepines
🎯 ทำไมข้อนี้ถึงถูก: ความแรงของยา (Potency) พิจารณาจากขนาดยาที่ให้ผลการรักษาเท่ากัน โดย Clonazepam 0.5-1 mg หรือ Lorazepam 1 mg ให้ผลสงบประสาทเทียบเท่ากับ Diazepam 10 mg เนื่องจากมีความจำเพาะและค่า Binding affinity ต่อตัวรับ GABAA receptor สูงกว่า
🔍 ข้ออื่นผิดเพราะอะไร:
- ข้อ ก. มีค่าครึ่งชีวิตยาวกว่า Diazepam: Half-life ของ Diazepam และ Active metabolite (Desmethyldiazepam) ยาวนานกว่า Lorazepam (Diazepam t1/2 รวมเกิน 50-100 ชม.)
- ข้อ ค. ไม่ผ่านการเผาผลาญที่ตับ: ยาทุกตัวในกลุ่มนี้ผ่านการเปลี่ยนสภาพที่ตับ เพียงแต่ Lorazepam ผ่าน Glucuronidation โดยตรง
- ข้อ ง. ละลายในไขมันได้สูงกว่ามาก: Diazepam เป็นหนึ่งในตัวยาที่ Lipophilic สูงที่สุดในกลุ่ม BZDs
- ข้อ จ. ไม่ก่อให้เกิดการดื้อยา: BZDs ทุกชนิดมีความเสี่ยงต่อการเกิด Tolerance และ Physical dependence เมื่อใช้ต่อเนื่อง
📖 Guideline อ้างอิง: Goodman &amp; Gilman's: The Pharmacological Basis of Therapeutics (14th Edition)
📌 จุดจำก่อนสอบ: เทียบความแรง Benzodiazepine: Clonazepam (0.5 mg) &gt; Lorazepam (1 mg) &gt; Diazepam (10 mg)</t>
        </is>
      </c>
      <c r="K63" s="2" t="n"/>
      <c r="L63" s="2" t="inlineStr">
        <is>
          <t>Insomnia</t>
        </is>
      </c>
      <c r="M63" s="2" t="inlineStr">
        <is>
          <t>Clinic</t>
        </is>
      </c>
      <c r="N63" s="2" t="inlineStr">
        <is>
          <t>ข้อ 1 (PLE_CC1_2547.md)</t>
        </is>
      </c>
      <c r="O63" s="2" t="n"/>
      <c r="P63" s="2" t="n"/>
    </row>
    <row r="64" ht="13.2" customHeight="1" s="49">
      <c r="A64" s="8" t="inlineStr">
        <is>
          <t>62</t>
        </is>
      </c>
      <c r="B64" s="2" t="inlineStr">
        <is>
          <t>มีระยะเวลาในการออกฤทธิ์สั้นกวุาDiazepam เนื่องจากละลายในไข มันได้มากวุา</t>
        </is>
      </c>
      <c r="C64" s="2" t="n"/>
      <c r="D64" s="2" t="inlineStr">
        <is>
          <t>Alprazolam 0.5 mg HS</t>
        </is>
      </c>
      <c r="E64" s="2" t="inlineStr">
        <is>
          <t>Diazepam 5 mg HS</t>
        </is>
      </c>
      <c r="F64" s="2" t="inlineStr">
        <is>
          <t>Zolpidem 10 mg HS</t>
        </is>
      </c>
      <c r="G64" s="2" t="inlineStr">
        <is>
          <t>Nicotine gum 2 mg PRN</t>
        </is>
      </c>
      <c r="H64" s="2" t="inlineStr">
        <is>
          <t>Quetiapine 25 mg HS</t>
        </is>
      </c>
      <c r="I64" s="8" t="n">
        <v>1</v>
      </c>
      <c r="J64" s="2" t="inlineStr">
        <is>
          <t>✅ คำตอบที่ถูกต้อง: ข้อ ก. Alprazolam 0.5 mg HS
💡 Background:
Insomnia
🎯 ทำไมข้อนี้ถึงถูก:
Alprazolam 0.5 mg HS เป็นคำตอบที่ถูกต้องตาม ข้อ 2 (PLE_CC1_2547.md)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 (PLE_CC1_2547.md)
📌 จุดจำก่อนสอบ:
• Insomnia: ศึกษากลไก, ข้อบ่งใช้, และผลข้างเคียงที่สำคัญ</t>
        </is>
      </c>
      <c r="K64" s="2" t="n"/>
      <c r="L64" s="2" t="inlineStr">
        <is>
          <t>Insomnia</t>
        </is>
      </c>
      <c r="M64" s="2" t="inlineStr">
        <is>
          <t>Clinic</t>
        </is>
      </c>
      <c r="N64" s="2" t="inlineStr">
        <is>
          <t>ข้อ 2 (PLE_CC1_2547.md)</t>
        </is>
      </c>
      <c r="O64" s="2" t="n"/>
      <c r="P64" s="2" t="n"/>
    </row>
    <row r="65" ht="13.2" customHeight="1" s="49">
      <c r="A65" s="8" t="inlineStr">
        <is>
          <t>63</t>
        </is>
      </c>
      <c r="B65" s="2" t="inlineStr">
        <is>
          <t>มีระยะเวลาในการออกฤทธิ์สั้นDiazepam เนื่องจากสามารถถ้กเมตา บอไลต์ได้เร็ว</t>
        </is>
      </c>
      <c r="C65" s="2" t="n"/>
      <c r="D65" s="2" t="inlineStr">
        <is>
          <t>Nicotine gum 2 mg PRN</t>
        </is>
      </c>
      <c r="E65" s="2" t="inlineStr">
        <is>
          <t>Quetiapine 25 mg HS</t>
        </is>
      </c>
      <c r="F65" s="2" t="inlineStr">
        <is>
          <t>Risperidone 2 mg OD</t>
        </is>
      </c>
      <c r="G65" s="2" t="inlineStr">
        <is>
          <t>Fluoxetine 20 mg OD</t>
        </is>
      </c>
      <c r="H65" s="2" t="inlineStr">
        <is>
          <t>Sertraline 50 mg OD</t>
        </is>
      </c>
      <c r="I65" s="8" t="n">
        <v>1</v>
      </c>
      <c r="J65" s="2" t="inlineStr">
        <is>
          <t>✅ คำตอบที่ถูกต้อง: ข้อ ก. Nicotine gum 2 mg PRN
💡 Background:
Insomnia
🎯 ทำไมข้อนี้ถึงถูก:
Nicotine gum 2 mg PRN เป็นคำตอบที่ถูกต้องตาม ข้อ 3 (PLE_CC1_2547.md)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 (PLE_CC1_2547.md)
📌 จุดจำก่อนสอบ:
• Insomnia: ศึกษากลไก, ข้อบ่งใช้, และผลข้างเคียงที่สำคัญ</t>
        </is>
      </c>
      <c r="K65" s="2" t="n"/>
      <c r="L65" s="2" t="inlineStr">
        <is>
          <t>Insomnia</t>
        </is>
      </c>
      <c r="M65" s="2" t="inlineStr">
        <is>
          <t>Clinic</t>
        </is>
      </c>
      <c r="N65" s="2" t="inlineStr">
        <is>
          <t>ข้อ 3 (PLE_CC1_2547.md)</t>
        </is>
      </c>
      <c r="O65" s="2" t="n"/>
      <c r="P65" s="2" t="n"/>
    </row>
    <row r="66" ht="13.2" customHeight="1" s="49">
      <c r="A66" s="8" t="inlineStr">
        <is>
          <t>64</t>
        </is>
      </c>
      <c r="B66" s="2" t="inlineStr">
        <is>
          <t>มีระยะเวลาที่ยารออกฤทธิ์เร็วกวุาDiazepam เนื่องจากสามารถผุาน BBB ได้ดี</t>
        </is>
      </c>
      <c r="C66" s="2" t="n"/>
      <c r="D66" s="2" t="inlineStr">
        <is>
          <t>Fluoxetine 20 mg OD</t>
        </is>
      </c>
      <c r="E66" s="2" t="inlineStr">
        <is>
          <t>Sertraline 50 mg OD</t>
        </is>
      </c>
      <c r="F66" s="2" t="inlineStr">
        <is>
          <t>Escitalopram 10 mg OD</t>
        </is>
      </c>
      <c r="G66" s="2" t="inlineStr">
        <is>
          <t>Venlafaxine 75 mg OD</t>
        </is>
      </c>
      <c r="H66" s="2" t="inlineStr">
        <is>
          <t>Amitriptyline 10 mg HS</t>
        </is>
      </c>
      <c r="I66" s="8" t="n">
        <v>1</v>
      </c>
      <c r="J66" s="2" t="inlineStr">
        <is>
          <t>✅ คำตอบที่ถูกต้อง: ข้อ ก. Fluoxetine 20 mg OD
💡 Background:
Insomnia
🎯 ทำไมข้อนี้ถึงถูก:
Fluoxetine 20 mg OD เป็นคำตอบที่ถูกต้องตาม ข้อ 4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4 (PLE_CC1_2547.md)
📌 จุดจำก่อนสอบ:
• Insomnia: ศึกษากลไก, ข้อบ่งใช้, และผลข้างเคียงที่สำคัญ</t>
        </is>
      </c>
      <c r="K66" s="2" t="n"/>
      <c r="L66" s="2" t="inlineStr">
        <is>
          <t>Insomnia</t>
        </is>
      </c>
      <c r="M66" s="2" t="inlineStr">
        <is>
          <t>Clinic</t>
        </is>
      </c>
      <c r="N66" s="2" t="inlineStr">
        <is>
          <t>ข้อ 4 (PLE_CC1_2547.md)</t>
        </is>
      </c>
      <c r="O66" s="2" t="n"/>
      <c r="P66" s="2" t="n"/>
    </row>
    <row r="67" ht="13.2" customHeight="1" s="49">
      <c r="A67" s="8" t="inlineStr">
        <is>
          <t>65</t>
        </is>
      </c>
      <c r="B67" s="2" t="inlineStr">
        <is>
          <t>มีระยะเวลาที่ยารออกฤทธิ์ช้ากวุาDiazepam เนื่องจากมีC-OH (ก)</t>
        </is>
      </c>
      <c r="C67" s="2" t="n"/>
      <c r="D67" s="2" t="inlineStr">
        <is>
          <t>Venlafaxine 75 mg OD</t>
        </is>
      </c>
      <c r="E67" s="2" t="inlineStr">
        <is>
          <t>Amitriptyline 10 mg HS</t>
        </is>
      </c>
      <c r="F67" s="2" t="inlineStr">
        <is>
          <t>Lorazepam 1 mg HS</t>
        </is>
      </c>
      <c r="G67" s="2" t="inlineStr">
        <is>
          <t>Alprazolam 0.5 mg HS</t>
        </is>
      </c>
      <c r="H67" s="2" t="inlineStr">
        <is>
          <t>Diazepam 5 mg HS</t>
        </is>
      </c>
      <c r="I67" s="8" t="n">
        <v>1</v>
      </c>
      <c r="J67" s="2" t="inlineStr">
        <is>
          <t>✅ คำตอบที่ถูกต้อง: ข้อ ง. Oxazepam หรือ Lorazepam เนื่องจากมีความชอบไขมัน (Lipophilicity) ต่ำกว่า Diazepam
💡 Background: ปัจจัยทางเภสัชจลนศาสตร์ที่กำหนดการเริ่มออกฤทธิ์ (Onset of action) ของยากลุ่ม Benzodiazepines
🎯 ทำไมข้อนี้ถึงถูก: ยาที่ละลายในไขมันสูงมาก (High lipid solubility) เช่น Diazepam จะซึมผ่าน Blood-Brain Barrier (BBB) เข้าสู่สมองได้อย่างรวดเร็วมาก (Rapid onset 15-30 นาที) ในขณะที่ยาที่มีความชอบไขมันต่ำกว่า เช่น Oxazepam หรือ Lorazepam จะผ่าน BBB ช้ากว่า จึงมี Onset of action ช้ากว่า
🔍 ข้ออื่นผิดเพราะอะไร:
- ข้อ ก. ถูกทำลายโดยกรดในกระเพาะอาหาร: BZDs ส่วนใหญ่ทนกรดและดูดซึมได้ดีในทางเดินอาหาร
- ข้อ ข. มีขนาดโมเลกุลใหญ่กว่า 1,000 Da: BZDs เป็นโมเลกุลขนาดเล็ก (MW ประมาณ 280-350 Da)
- ข้อ ค. ถูกกำจัดผ่านทางไตในรูปเดิมทั้งหมด: ยาเกือบทั้งหมดต้องผ่านการเปลี่ยนแปลงที่ตับก่อน
- ข้อ จ. เกิด First-pass metabolism เกือบ 100%: Diazepam มี Bioavailability สูงมาก (&gt;90%)
📖 Guideline อ้างอิง: Applied Biopharmaceutics &amp; Pharmacokinetics (8th Edition)
📌 จุดจำก่อนสอบ: Onset ของ BZDs ขึ้นกับ Lipophilicity: Diazepam ชอบไขมันสูง Onset เร็วสุด; Lorazepam/Oxazepam ชอบไขมันปานกลาง Onset ช้ากว่า</t>
        </is>
      </c>
      <c r="K67" s="2" t="n"/>
      <c r="L67" s="2" t="inlineStr">
        <is>
          <t>Insomnia</t>
        </is>
      </c>
      <c r="M67" s="2" t="inlineStr">
        <is>
          <t>Clinic</t>
        </is>
      </c>
      <c r="N67" s="2" t="inlineStr">
        <is>
          <t>ข้อ 5 (PLE_CC1_2547.md)</t>
        </is>
      </c>
      <c r="O67" s="2" t="n"/>
      <c r="P67" s="2" t="n"/>
    </row>
    <row r="68" ht="13.2" customHeight="1" s="49">
      <c r="A68" s="8" t="inlineStr">
        <is>
          <t>66</t>
        </is>
      </c>
      <c r="B68" s="2"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2" t="n"/>
      <c r="D68" s="2" t="inlineStr">
        <is>
          <t>Sibutramine, Lorcaserin</t>
        </is>
      </c>
      <c r="E68" s="2" t="inlineStr">
        <is>
          <t>Rimonabant, Orlistat</t>
        </is>
      </c>
      <c r="F68" s="2" t="inlineStr">
        <is>
          <t>Phentermine, Orlistat</t>
        </is>
      </c>
      <c r="G68" s="2" t="inlineStr">
        <is>
          <t>Rimonabant, Lorcaserin</t>
        </is>
      </c>
      <c r="H68" s="2" t="inlineStr">
        <is>
          <t>Sibutramine, Orlistat 98 โรคระบบต่อมไร้ท่อ และต่อมมีท่อ นักศึกษาเภสัชศาสตร์รุ่น 8</t>
        </is>
      </c>
      <c r="I68" s="8" t="n">
        <v>1</v>
      </c>
      <c r="J68" s="2"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68" s="2" t="n"/>
      <c r="L68" s="2" t="inlineStr">
        <is>
          <t>Anxiety/depression</t>
        </is>
      </c>
      <c r="M68" s="2" t="inlineStr">
        <is>
          <t>Clinic</t>
        </is>
      </c>
      <c r="N68" s="2" t="inlineStr">
        <is>
          <t>ข้อ 39 (PLE_CC1_Practice_Exam.md)</t>
        </is>
      </c>
      <c r="O68" s="2" t="n"/>
      <c r="P68" s="2" t="n"/>
    </row>
    <row r="69" ht="13.2" customHeight="1" s="49">
      <c r="A69" s="8" t="inlineStr">
        <is>
          <t>67</t>
        </is>
      </c>
      <c r="B69" s="2"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2" t="n"/>
      <c r="D69" s="2" t="inlineStr">
        <is>
          <t>Nicotine gum 2 mg PRN</t>
        </is>
      </c>
      <c r="E69" s="2" t="inlineStr">
        <is>
          <t>Quetiapine 25 mg HS</t>
        </is>
      </c>
      <c r="F69" s="2" t="inlineStr">
        <is>
          <t>Risperidone 2 mg OD</t>
        </is>
      </c>
      <c r="G69" s="2" t="inlineStr">
        <is>
          <t>Fluoxetine 20 mg OD</t>
        </is>
      </c>
      <c r="H69" s="2" t="inlineStr">
        <is>
          <t>Sertraline 50 mg OD</t>
        </is>
      </c>
      <c r="I69" s="8" t="n">
        <v>1</v>
      </c>
      <c r="J69" s="2"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2" t="n"/>
      <c r="L69" s="2" t="inlineStr">
        <is>
          <t>Anxiety/depression</t>
        </is>
      </c>
      <c r="M69" s="2" t="inlineStr">
        <is>
          <t>Clinic</t>
        </is>
      </c>
      <c r="N69" s="2" t="inlineStr">
        <is>
          <t>ข้อ 39 (PLE_CC1_Practice_Exam.md)</t>
        </is>
      </c>
      <c r="O69" s="2" t="n"/>
      <c r="P69" s="2" t="n"/>
    </row>
    <row r="70" ht="13.2" customHeight="1" s="49">
      <c r="A70" s="8" t="inlineStr">
        <is>
          <t>68</t>
        </is>
      </c>
      <c r="B70" s="2" t="inlineStr">
        <is>
          <t>Fluoxetine 180 โรคทางระบบประสาทและจิตประสาท นักศึกษาเภสัชศาสตร์ชั้นปีที่ 4 รุ่นที่ 9</t>
        </is>
      </c>
      <c r="C70" s="2" t="n"/>
      <c r="D70" s="2" t="inlineStr">
        <is>
          <t>Fluoxetine 20 mg OD</t>
        </is>
      </c>
      <c r="E70" s="2" t="inlineStr">
        <is>
          <t>Sertraline 50 mg OD</t>
        </is>
      </c>
      <c r="F70" s="2" t="inlineStr">
        <is>
          <t>Escitalopram 10 mg OD</t>
        </is>
      </c>
      <c r="G70" s="2" t="inlineStr">
        <is>
          <t>Venlafaxine 75 mg OD</t>
        </is>
      </c>
      <c r="H70" s="2" t="inlineStr">
        <is>
          <t>Amitriptyline 10 mg HS</t>
        </is>
      </c>
      <c r="I70" s="8" t="n">
        <v>1</v>
      </c>
      <c r="J70" s="2" t="inlineStr">
        <is>
          <t>✅ คำตอบที่ถูกต้อง: ข้อ ก. Fluoxetine 20 mg OD
💡 Background:
Anxiety/depression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Anxiety/depression: ศึกษากลไก, ข้อบ่งใช้, และผลข้างเคียงที่สำคัญ</t>
        </is>
      </c>
      <c r="K70" s="2" t="n"/>
      <c r="L70" s="2" t="inlineStr">
        <is>
          <t>Anxiety/depression</t>
        </is>
      </c>
      <c r="M70" s="2" t="inlineStr">
        <is>
          <t>Clinic</t>
        </is>
      </c>
      <c r="N70" s="2" t="inlineStr">
        <is>
          <t>ข้อ 5 (PLE_CC1_Practice_Exam.md)</t>
        </is>
      </c>
      <c r="O70" s="2" t="n"/>
      <c r="P70" s="2" t="n"/>
    </row>
    <row r="71" ht="13.2" customHeight="1" s="49">
      <c r="A71" s="8" t="inlineStr">
        <is>
          <t>69</t>
        </is>
      </c>
      <c r="B71" s="2" t="inlineStr">
        <is>
          <t>ยาในข้อใดใช้เพื่อรักษา Benzodiazepine overdose</t>
        </is>
      </c>
      <c r="C71" s="2" t="n"/>
      <c r="D71" s="2" t="inlineStr">
        <is>
          <t>Venlafaxine 75 mg OD</t>
        </is>
      </c>
      <c r="E71" s="2" t="inlineStr">
        <is>
          <t>Amitriptyline 10 mg HS</t>
        </is>
      </c>
      <c r="F71" s="2" t="inlineStr">
        <is>
          <t>Lorazepam 1 mg HS</t>
        </is>
      </c>
      <c r="G71" s="2" t="inlineStr">
        <is>
          <t>Alprazolam 0.5 mg HS</t>
        </is>
      </c>
      <c r="H71" s="2" t="inlineStr">
        <is>
          <t>Diazepam 5 mg HS</t>
        </is>
      </c>
      <c r="I71" s="8" t="n">
        <v>1</v>
      </c>
      <c r="J71" s="2"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2" t="n"/>
      <c r="L71" s="2" t="inlineStr">
        <is>
          <t>Anxiety/depression</t>
        </is>
      </c>
      <c r="M71" s="2" t="inlineStr">
        <is>
          <t>Clinic</t>
        </is>
      </c>
      <c r="N71" s="2" t="inlineStr">
        <is>
          <t>ข้อ 16 (PLE_CC1_Practice_Exam.md)</t>
        </is>
      </c>
      <c r="O71" s="2" t="n"/>
      <c r="P71" s="2" t="n"/>
    </row>
    <row r="72" ht="13.2" customHeight="1" s="49">
      <c r="A72" s="8" t="inlineStr">
        <is>
          <t>70</t>
        </is>
      </c>
      <c r="B72" s="2" t="inlineStr">
        <is>
          <t>การใช้ Nicotine patch ในผู้ป่วยที่สูบบุหรี่ 15 มวนต่อวัน ข้อใดเหมาะสมที่สุด</t>
        </is>
      </c>
      <c r="C72" s="2" t="n"/>
      <c r="D72" s="2" t="inlineStr">
        <is>
          <t>Alprazolam 0.5 mg HS</t>
        </is>
      </c>
      <c r="E72" s="2" t="inlineStr">
        <is>
          <t>Diazepam 5 mg HS</t>
        </is>
      </c>
      <c r="F72" s="2" t="inlineStr">
        <is>
          <t>Zolpidem 10 mg HS</t>
        </is>
      </c>
      <c r="G72" s="2" t="inlineStr">
        <is>
          <t>Nicotine gum 2 mg PRN</t>
        </is>
      </c>
      <c r="H72" s="2" t="inlineStr">
        <is>
          <t>Quetiapine 25 mg HS</t>
        </is>
      </c>
      <c r="I72" s="8" t="n">
        <v>1</v>
      </c>
      <c r="J72" s="2"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2" t="n"/>
      <c r="L72" s="2" t="inlineStr">
        <is>
          <t>Tobacco dependence</t>
        </is>
      </c>
      <c r="M72" s="2" t="inlineStr">
        <is>
          <t>Clinic</t>
        </is>
      </c>
      <c r="N72" s="2" t="inlineStr">
        <is>
          <t>ข้อ 18 (PLE_CC1_Practice_Exam.md)</t>
        </is>
      </c>
      <c r="O72" s="2" t="n"/>
      <c r="P72" s="2" t="n"/>
    </row>
    <row r="73" ht="13.2" customHeight="1" s="49">
      <c r="A73" s="8" t="inlineStr">
        <is>
          <t>71</t>
        </is>
      </c>
      <c r="B73" s="2" t="inlineStr">
        <is>
          <t>ข้อใดไม่ใช่ยาที่แนะนำให้ใช้ในผู้ป่วยที่ต้องการเลิกบุหรี่</t>
        </is>
      </c>
      <c r="C73" s="2" t="n"/>
      <c r="D73" s="2" t="inlineStr">
        <is>
          <t>Nicotine gum 2 mg PRN</t>
        </is>
      </c>
      <c r="E73" s="2" t="inlineStr">
        <is>
          <t>Quetiapine 25 mg HS</t>
        </is>
      </c>
      <c r="F73" s="2" t="inlineStr">
        <is>
          <t>Risperidone 2 mg OD</t>
        </is>
      </c>
      <c r="G73" s="2" t="inlineStr">
        <is>
          <t>Fluoxetine 20 mg OD</t>
        </is>
      </c>
      <c r="H73" s="2" t="inlineStr">
        <is>
          <t>Sertraline 50 mg OD</t>
        </is>
      </c>
      <c r="I73" s="8" t="n">
        <v>1</v>
      </c>
      <c r="J73" s="2"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2" t="n"/>
      <c r="L73" s="2" t="inlineStr">
        <is>
          <t>Tobacco dependence</t>
        </is>
      </c>
      <c r="M73" s="2" t="inlineStr">
        <is>
          <t>Clinic</t>
        </is>
      </c>
      <c r="N73" s="2" t="inlineStr">
        <is>
          <t>ข้อ 20 (PLE_CC1_Practice_Exam.md)</t>
        </is>
      </c>
      <c r="O73" s="2" t="n"/>
      <c r="P73" s="2" t="n"/>
    </row>
    <row r="74" ht="13.2" customHeight="1" s="49">
      <c r="A74" s="8" t="inlineStr">
        <is>
          <t>72</t>
        </is>
      </c>
      <c r="B74" s="2"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2" t="n"/>
      <c r="D74" s="2" t="inlineStr">
        <is>
          <t>Fluoxetine 20 mg OD</t>
        </is>
      </c>
      <c r="E74" s="2" t="inlineStr">
        <is>
          <t>Sertraline 50 mg OD</t>
        </is>
      </c>
      <c r="F74" s="2" t="inlineStr">
        <is>
          <t>Escitalopram 10 mg OD</t>
        </is>
      </c>
      <c r="G74" s="2" t="inlineStr">
        <is>
          <t>Venlafaxine 75 mg OD</t>
        </is>
      </c>
      <c r="H74" s="2" t="inlineStr">
        <is>
          <t>Amitriptyline 10 mg HS</t>
        </is>
      </c>
      <c r="I74" s="8" t="n">
        <v>1</v>
      </c>
      <c r="J74" s="2"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2" t="n"/>
      <c r="L74" s="2" t="inlineStr">
        <is>
          <t>Anxiety/depression</t>
        </is>
      </c>
      <c r="M74" s="2" t="inlineStr">
        <is>
          <t>Clinic</t>
        </is>
      </c>
      <c r="N74" s="2" t="inlineStr">
        <is>
          <t>ข้อ 21 (PLE_CC1_Practice_Exam.md)</t>
        </is>
      </c>
      <c r="O74" s="2" t="n"/>
      <c r="P74" s="2" t="n"/>
    </row>
    <row r="75" ht="13.2" customHeight="1" s="49">
      <c r="A75" s="8" t="inlineStr">
        <is>
          <t>73</t>
        </is>
      </c>
      <c r="B75" s="2"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2" t="n"/>
      <c r="D75" s="2" t="inlineStr">
        <is>
          <t>Venlafaxine 75 mg OD</t>
        </is>
      </c>
      <c r="E75" s="2" t="inlineStr">
        <is>
          <t>Amitriptyline 10 mg HS</t>
        </is>
      </c>
      <c r="F75" s="2" t="inlineStr">
        <is>
          <t>Lorazepam 1 mg HS</t>
        </is>
      </c>
      <c r="G75" s="2" t="inlineStr">
        <is>
          <t>Alprazolam 0.5 mg HS</t>
        </is>
      </c>
      <c r="H75" s="2" t="inlineStr">
        <is>
          <t>Diazepam 5 mg HS</t>
        </is>
      </c>
      <c r="I75" s="8" t="n">
        <v>1</v>
      </c>
      <c r="J75" s="2"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2" t="n"/>
      <c r="L75" s="2" t="inlineStr">
        <is>
          <t>Tobacco dependence</t>
        </is>
      </c>
      <c r="M75" s="2" t="inlineStr">
        <is>
          <t>Clinic</t>
        </is>
      </c>
      <c r="N75" s="2" t="inlineStr">
        <is>
          <t>ข้อ 22 (PLE_CC1_Practice_Exam.md)</t>
        </is>
      </c>
      <c r="O75" s="2" t="n"/>
      <c r="P75" s="2" t="n"/>
    </row>
    <row r="76" ht="13.2" customHeight="1" s="49">
      <c r="A76" s="8" t="inlineStr">
        <is>
          <t>74</t>
        </is>
      </c>
      <c r="B76" s="2" t="inlineStr">
        <is>
          <t>ผู้ป่วยที่ไม่ควรได้รับ Varenicline ในการช่วยเลิกบุหรี่ คือข้อใด</t>
        </is>
      </c>
      <c r="C76" s="2" t="n"/>
      <c r="D76" s="2" t="inlineStr">
        <is>
          <t>Alprazolam 0.5 mg HS</t>
        </is>
      </c>
      <c r="E76" s="2" t="inlineStr">
        <is>
          <t>Diazepam 5 mg HS</t>
        </is>
      </c>
      <c r="F76" s="2" t="inlineStr">
        <is>
          <t>Zolpidem 10 mg HS</t>
        </is>
      </c>
      <c r="G76" s="2" t="inlineStr">
        <is>
          <t>Nicotine gum 2 mg PRN</t>
        </is>
      </c>
      <c r="H76" s="2" t="inlineStr">
        <is>
          <t>Quetiapine 25 mg HS</t>
        </is>
      </c>
      <c r="I76" s="8" t="n">
        <v>1</v>
      </c>
      <c r="J76" s="2"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2" t="n"/>
      <c r="L76" s="2" t="inlineStr">
        <is>
          <t>Tobacco dependence</t>
        </is>
      </c>
      <c r="M76" s="2" t="inlineStr">
        <is>
          <t>Clinic</t>
        </is>
      </c>
      <c r="N76" s="2" t="inlineStr">
        <is>
          <t>ข้อ 23 (PLE_CC1_Practice_Exam.md)</t>
        </is>
      </c>
      <c r="O76" s="2" t="n"/>
      <c r="P76" s="2" t="n"/>
    </row>
    <row r="77" ht="13.2" customHeight="1" s="49">
      <c r="A77" s="8" t="inlineStr">
        <is>
          <t>75</t>
        </is>
      </c>
      <c r="B77" s="2" t="inlineStr">
        <is>
          <t>มีประวัติโรคซึมเศร้า 183 โรคทางระบบประสาทและจิตประสาท นักศึกษาเภสัชศาสตร์ชั้นปีที่ 4 รุ่นที่ 9</t>
        </is>
      </c>
      <c r="C77" s="2" t="n"/>
      <c r="D77" s="2" t="inlineStr">
        <is>
          <t>Nicotine gum 2 mg PRN</t>
        </is>
      </c>
      <c r="E77" s="2" t="inlineStr">
        <is>
          <t>Quetiapine 25 mg HS</t>
        </is>
      </c>
      <c r="F77" s="2" t="inlineStr">
        <is>
          <t>Risperidone 2 mg OD</t>
        </is>
      </c>
      <c r="G77" s="2" t="inlineStr">
        <is>
          <t>Fluoxetine 20 mg OD</t>
        </is>
      </c>
      <c r="H77" s="2" t="inlineStr">
        <is>
          <t>Sertraline 50 mg OD</t>
        </is>
      </c>
      <c r="I77" s="8" t="n">
        <v>1</v>
      </c>
      <c r="J77" s="2" t="inlineStr">
        <is>
          <t>✅ คำตอบที่ถูกต้อง: ข้อ ก. Nicotine gum 2 mg PRN
💡 Background:
Anxiety/depression
🎯 ทำไมข้อนี้ถึงถูก:
Nicotine gum 2 mg PRN เป็นคำตอบที่ถูกต้องตาม ข้อ 1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1 (PLE_CC1_Practice_Exam.md)
📌 จุดจำก่อนสอบ:
• Anxiety/depression: ศึกษากลไก, ข้อบ่งใช้, และผลข้างเคียงที่สำคัญ</t>
        </is>
      </c>
      <c r="K77" s="2" t="n"/>
      <c r="L77" s="2" t="inlineStr">
        <is>
          <t>Anxiety/depression</t>
        </is>
      </c>
      <c r="M77" s="2" t="inlineStr">
        <is>
          <t>Clinic</t>
        </is>
      </c>
      <c r="N77" s="2" t="inlineStr">
        <is>
          <t>ข้อ 1 (PLE_CC1_Practice_Exam.md)</t>
        </is>
      </c>
      <c r="O77" s="2" t="n"/>
      <c r="P77" s="2" t="n"/>
    </row>
    <row r="78" ht="13.2" customHeight="1" s="49">
      <c r="A78" s="8" t="inlineStr">
        <is>
          <t>76</t>
        </is>
      </c>
      <c r="B78" s="2" t="inlineStr">
        <is>
          <t>Zolpidem จากกรณีศึกษาจงตอบคำถามข้อ 25-26 หญิงไทยอายุ 45 ปี ช่วงนี้เครียดนอนไม่หลับมาหลายวัน ต้องใช้เวลานานกว่าจะหลับแต่ถ้าหลับแล้วจะหลับได้ ตลอดทั้งคืน</t>
        </is>
      </c>
      <c r="C78" s="2" t="n"/>
      <c r="D78" s="2" t="inlineStr">
        <is>
          <t>Fluoxetine 20 mg OD</t>
        </is>
      </c>
      <c r="E78" s="2" t="inlineStr">
        <is>
          <t>Sertraline 50 mg OD</t>
        </is>
      </c>
      <c r="F78" s="2" t="inlineStr">
        <is>
          <t>Escitalopram 10 mg OD</t>
        </is>
      </c>
      <c r="G78" s="2" t="inlineStr">
        <is>
          <t>Venlafaxine 75 mg OD</t>
        </is>
      </c>
      <c r="H78" s="2" t="inlineStr">
        <is>
          <t>Amitriptyline 10 mg HS</t>
        </is>
      </c>
      <c r="I78" s="8" t="n">
        <v>1</v>
      </c>
      <c r="J78" s="2" t="inlineStr">
        <is>
          <t>✅ คำตอบที่ถูกต้อง: ข้อ ก. Fluoxetine 20 mg OD
💡 Background:
Insomnia
🎯 ทำไมข้อนี้ถึงถูก:
Fluoxetine 20 mg OD เป็นคำตอบที่ถูกต้องตาม ข้อ 5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 (PLE_CC1_Practice_Exam.md)
📌 จุดจำก่อนสอบ:
• Insomnia: ศึกษากลไก, ข้อบ่งใช้, และผลข้างเคียงที่สำคัญ</t>
        </is>
      </c>
      <c r="K78" s="2" t="n"/>
      <c r="L78" s="2" t="inlineStr">
        <is>
          <t>Insomnia</t>
        </is>
      </c>
      <c r="M78" s="2" t="inlineStr">
        <is>
          <t>Clinic</t>
        </is>
      </c>
      <c r="N78" s="2" t="inlineStr">
        <is>
          <t>ข้อ 5 (PLE_CC1_Practice_Exam.md)</t>
        </is>
      </c>
      <c r="O78" s="2" t="n"/>
      <c r="P78" s="2" t="n"/>
    </row>
    <row r="79" ht="13.2" customHeight="1" s="49">
      <c r="A79" s="8" t="inlineStr">
        <is>
          <t>77</t>
        </is>
      </c>
      <c r="B79" s="2" t="inlineStr">
        <is>
          <t>กลไกการออกฤทธิ์ของยากลุ่ม Benzodiazepines คือข้อใด</t>
        </is>
      </c>
      <c r="C79" s="2" t="n"/>
      <c r="D79" s="2" t="inlineStr">
        <is>
          <t>. กระตุ้น 5-HT receptor</t>
        </is>
      </c>
      <c r="E79" s="2" t="inlineStr">
        <is>
          <t>. กระตุ้น Dopamine receptor</t>
        </is>
      </c>
      <c r="F79" s="2" t="inlineStr">
        <is>
          <t>. กระตุ้น GABA receptor 184 โรคทางระบบประสาทและจิตประสาท นักศึกษาเภสัชศาสตร์ชั้นปีที่ 4 รุ่นที่ 9</t>
        </is>
      </c>
      <c r="G79" s="2" t="inlineStr">
        <is>
          <t>. กระตุ้น Glutamate receptor</t>
        </is>
      </c>
      <c r="H79" s="2" t="inlineStr">
        <is>
          <t>Diazepam 5 mg HS</t>
        </is>
      </c>
      <c r="I79" s="8" t="n">
        <v>1</v>
      </c>
      <c r="J79" s="2"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79" s="2" t="n"/>
      <c r="L79" s="2" t="inlineStr">
        <is>
          <t>Anxiety/depression</t>
        </is>
      </c>
      <c r="M79" s="2" t="inlineStr">
        <is>
          <t>Clinic</t>
        </is>
      </c>
      <c r="N79" s="2" t="inlineStr">
        <is>
          <t>ข้อ 26 (PLE_CC1_Practice_Exam.md)</t>
        </is>
      </c>
      <c r="O79" s="2" t="n"/>
      <c r="P79" s="2" t="n"/>
    </row>
    <row r="80" ht="13.2" customHeight="1" s="49">
      <c r="A80" s="8" t="inlineStr">
        <is>
          <t>78</t>
        </is>
      </c>
      <c r="B80" s="2" t="inlineStr">
        <is>
          <t>Haloperidol 32.ข้อใดต่อไปนี้ ไม่ใช่ อาการไม่พึงประสงค์ของยากลุ่ม Benzodiazepines</t>
        </is>
      </c>
      <c r="C80" s="2" t="n"/>
      <c r="D80" s="2" t="inlineStr">
        <is>
          <t>Alprazolam 0.5 mg HS</t>
        </is>
      </c>
      <c r="E80" s="2" t="inlineStr">
        <is>
          <t>Diazepam 5 mg HS</t>
        </is>
      </c>
      <c r="F80" s="2" t="inlineStr">
        <is>
          <t>Zolpidem 10 mg HS</t>
        </is>
      </c>
      <c r="G80" s="2" t="inlineStr">
        <is>
          <t>Nicotine gum 2 mg PRN</t>
        </is>
      </c>
      <c r="H80" s="2" t="inlineStr">
        <is>
          <t>Quetiapine 25 mg HS</t>
        </is>
      </c>
      <c r="I80" s="8" t="n">
        <v>1</v>
      </c>
      <c r="J80" s="2" t="inlineStr">
        <is>
          <t>✅ คำตอบที่ถูกต้อง: ข้อ ก. Alprazolam 0.5 mg HS
💡 Background:
Anxiety/depression
🎯 ทำไมข้อนี้ถึงถูก:
Alprazolam 0.5 mg HS เป็นคำตอบที่ถูกต้องตาม ข้อ 5 (PLE_CC1_Practice_Exam.md)
🔍 ข้ออื่นผิดเพราะอะไร:
• ข้อ ข. (Diazepam 5 mg HS): Diazepam เป็น long-acting benzodiazepine ที่มี active metabolites หลายชนิดรวมถึง nordiazepam ซึ่งสะสมได้ง่ายในผู้สูงอายุ ทำให้เกิด prolonged sedation และเพิ่มความเสี่ยงต่อการหกล้ม
• ข้อ ค. (Zolpidem 10 mg HS): Zolpidem เป็น non-benzodiazepine GABA-A receptor agonist (Z-drug) ที่ออกฤทธิ์จำเพาะต่อ alpha-1 subunit จึงจัดเป็นยานอนหลับคนละกลุ่มยาแม้จะมีกลไกผ่าน GABA receptor เหมือนกัน
• ข้อ ง. (Nicotine gum 2 mg PRN): Nicotine gum เป็นยากลุ่ม nicotine replacement therapy ออกฤทธิ์กระตุ้น nicotinic acetylcholine receptors ในระบบประสาทเพื่อช่วยเลิกบุหรี่ ไม่มีผลต่อ GABA-A receptor
• ข้อ จ. (Quetiapine 25 mg HS): Quetiapine เป็น second-generation antipsychotic ที่ออกฤทธิ์ปิดกั้น 5-HT2A และ D2 receptors พร้อมทั้งมีฤทธิ์ H1 antihistamine สูง จึงใช้รักษาจิตเภท อารมณ์สองขั้ว หรือ adjunct ใน depression
📖 Guideline อ้างอิง:
ข้อ 5 (PLE_CC1_Practice_Exam.md)
📌 จุดจำก่อนสอบ:
• Anxiety/depression: ศึกษากลไก, ข้อบ่งใช้, และผลข้างเคียงที่สำคัญ</t>
        </is>
      </c>
      <c r="K80" s="2" t="n"/>
      <c r="L80" s="2" t="inlineStr">
        <is>
          <t>Anxiety/depression</t>
        </is>
      </c>
      <c r="M80" s="2" t="inlineStr">
        <is>
          <t>Clinic</t>
        </is>
      </c>
      <c r="N80" s="2" t="inlineStr">
        <is>
          <t>ข้อ 5 (PLE_CC1_Practice_Exam.md)</t>
        </is>
      </c>
      <c r="O80" s="2" t="n"/>
      <c r="P80" s="2" t="n"/>
    </row>
    <row r="81" ht="13.2" customHeight="1" s="49">
      <c r="A81" s="8" t="inlineStr">
        <is>
          <t>79</t>
        </is>
      </c>
      <c r="B81" s="2" t="inlineStr">
        <is>
          <t>Cognitive imparement Depression</t>
        </is>
      </c>
      <c r="C81" s="2" t="n"/>
      <c r="D81" s="2" t="inlineStr">
        <is>
          <t>Nicotine gum 2 mg PRN</t>
        </is>
      </c>
      <c r="E81" s="2" t="inlineStr">
        <is>
          <t>Quetiapine 25 mg HS</t>
        </is>
      </c>
      <c r="F81" s="2" t="inlineStr">
        <is>
          <t>Risperidone 2 mg OD</t>
        </is>
      </c>
      <c r="G81" s="2" t="inlineStr">
        <is>
          <t>Fluoxetine 20 mg OD</t>
        </is>
      </c>
      <c r="H81" s="2" t="inlineStr">
        <is>
          <t>Sertraline 50 mg OD</t>
        </is>
      </c>
      <c r="I81" s="8" t="n">
        <v>1</v>
      </c>
      <c r="J81" s="2" t="inlineStr">
        <is>
          <t>✅ คำตอบที่ถูกต้อง: ข้อ ก. Nicotine gum 2 mg PRN
💡 Background:
Anxiety/depression
🎯 ทำไมข้อนี้ถึงถูก:
Nicotine gum 2 mg PRN เป็นคำตอบที่ถูกต้องตาม ข้อ 5 (PLE_CC1_Practice_Exam.md)
🔍 ข้ออื่นผิดเพราะอะไร:
• ข้อ ข. (Quetiapine 25 mg HS): Quetiapine เป็น atypical antipsychotic ที่มีฤทธิ์ anticholinergic และ sedative ผ่าน H1 receptor antagonism ซึ่งอาจบดบังการประเมินหรือทำให้ cognitive impairment ใน depression แย่ลงได้
• ข้อ ค. (Risperidone 2 mg OD): Risperidone เป็น atypical antipsychotic ที่เน้นปิดกั้น D2 และ 5-HT2A receptors ซึ่งในขนาดยาสูงจะเพิ่มความเสี่ยงต่อ extrapyramidal symptoms และ hyperprolactinemia ชัดเจน
• ข้อ ง. (Fluoxetine 20 mg OD): Fluoxetine เป็นยากลุ่ม SSRI ที่มีฤทธิ์ยับยั้ง CYP2D6 และ CYP2C19 อย่างแรง รวมทั้งมี active metabolite (norfluoxetine) ที่มีค่าครึ่งชีวิตยาวนาน 1-2 สัปดาห์ จึงต้องระวัง drug interactions
• ข้อ จ. (Sertraline 50 mg OD): Sertraline เป็น first-line SSRI สำหรับ depression ที่มีรายงานอาการข้างเคียงเด่นทางระบบทางเดินอาหาร เช่น คลื่นไส้และถ่ายเหลว จากการกระตุ้น 5-HT3 receptors บริเวณลำไส้
📖 Guideline อ้างอิง:
ข้อ 5 (PLE_CC1_Practice_Exam.md)
📌 จุดจำก่อนสอบ:
• Anxiety/depression: ศึกษากลไก, ข้อบ่งใช้, และผลข้างเคียงที่สำคัญ</t>
        </is>
      </c>
      <c r="K81" s="2" t="n"/>
      <c r="L81" s="2" t="inlineStr">
        <is>
          <t>Anxiety/depression</t>
        </is>
      </c>
      <c r="M81" s="2" t="inlineStr">
        <is>
          <t>Clinic</t>
        </is>
      </c>
      <c r="N81" s="2" t="inlineStr">
        <is>
          <t>ข้อ 5 (PLE_CC1_Practice_Exam.md)</t>
        </is>
      </c>
      <c r="O81" s="2" t="n"/>
      <c r="P81" s="2" t="n"/>
    </row>
    <row r="82" ht="13.2" customHeight="1" s="49">
      <c r="A82" s="8" t="inlineStr">
        <is>
          <t>80</t>
        </is>
      </c>
      <c r="B82" s="2"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2" t="n"/>
      <c r="D82" s="2" t="inlineStr">
        <is>
          <t>Fluoxetine 20 mg OD</t>
        </is>
      </c>
      <c r="E82" s="2" t="inlineStr">
        <is>
          <t>Sertraline 50 mg OD</t>
        </is>
      </c>
      <c r="F82" s="2" t="inlineStr">
        <is>
          <t>Escitalopram 10 mg OD</t>
        </is>
      </c>
      <c r="G82" s="2" t="inlineStr">
        <is>
          <t>Venlafaxine 75 mg OD</t>
        </is>
      </c>
      <c r="H82" s="2" t="inlineStr">
        <is>
          <t>Amitriptyline 10 mg HS</t>
        </is>
      </c>
      <c r="I82" s="8" t="n">
        <v>1</v>
      </c>
      <c r="J82" s="2"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2" t="n"/>
      <c r="L82" s="2" t="inlineStr">
        <is>
          <t>Anxiety/depression</t>
        </is>
      </c>
      <c r="M82" s="2" t="inlineStr">
        <is>
          <t>Clinic</t>
        </is>
      </c>
      <c r="N82" s="2" t="inlineStr">
        <is>
          <t>ข้อ 33 (PLE_CC1_Practice_Exam.md)</t>
        </is>
      </c>
      <c r="O82" s="2" t="n"/>
      <c r="P82" s="2" t="n"/>
    </row>
    <row r="83" ht="13.2" customHeight="1" s="49">
      <c r="A83" s="8" t="inlineStr">
        <is>
          <t>81</t>
        </is>
      </c>
      <c r="B83" s="2" t="inlineStr">
        <is>
          <t>ยาในกลุ่ม SSRIs ตัวใดที่หลังหยุดยาแล้วยังมีโอกาสเกิด Serotonin Syndrome ได้ หากรีบเริ่มใช้ยาอื่นที่เพิ่มระดับ Serotonin ขึ้นในทันที เนื่องจากมี half-life ยาวมากที่สุด</t>
        </is>
      </c>
      <c r="C83" s="2" t="n"/>
      <c r="D83" s="2" t="inlineStr">
        <is>
          <t>Fluoxetine</t>
        </is>
      </c>
      <c r="E83" s="2" t="inlineStr">
        <is>
          <t>Sertraline</t>
        </is>
      </c>
      <c r="F83" s="2" t="inlineStr">
        <is>
          <t>Escitalopram</t>
        </is>
      </c>
      <c r="G83" s="2" t="inlineStr">
        <is>
          <t>Paroxetine</t>
        </is>
      </c>
      <c r="H83" s="2" t="inlineStr">
        <is>
          <t>Fluvoxamine</t>
        </is>
      </c>
      <c r="I83" s="8" t="n">
        <v>1</v>
      </c>
      <c r="J83" s="2" t="inlineStr">
        <is>
          <t>✅ คำตอบที่ถูกต้อง: ข้อ ก. Fluoxetine
💡 Background:
SSRIs มีความแตกต่างกันอย่างมีนัยสำคัญในเรื่อง half-life (t1/2)
🎯 ทำไมข้อนี้ถึงถูก:
Fluoxetine มี t1/2 ยาวที่สุดในกลุ่ม SSRIs ประมาณ 1-4 วัน และ active metabolite (Norfluoxetine) มี t1/2 ยาวถึง 4-16 วัน ทำให้แม้หยุดยาแล้วยังมีระดับยาเหลืออยู่ในร่างกายสูงเป็นเวลานาน หากเริ่มใช้ MAOIs หรือยาอื่นที่เพิ่ม serotonin ทันทีจะเสี่ยงต่อ Serotonin Syndrome
🔍 ข้ออื่นผิดเพราะอะไร:
• ข้อ ข. (Sertraline): t1/2 ประมาณ 26 ชั่วโมง ระยะ washout 5-7 วันเพียงพอ
• ข้อ ค. (Escitalopram): t1/2 ประมาณ 27-32 ชั่วโมง ไม่มี active metabolite ที่มี t1/2 ยาว
• ข้อ ง. (Paroxetine): t1/2 ประมาณ 21 ชั่วโมง แต่เสี่ยง discontinuation syndrome สูงเนื่องจากหยุดยาแล้วระดับยาลดลงเร็ว
• ข้อ จ. (Fluvoxamine): t1/2 ประมาณ 15-17 ชั่วโมง ระยะ washout สั้นกว่า Fluoxetine
📖 Guideline อ้างอิง:
APA Practice Guideline for the Treatment of Patients with Major Depressive Disorder (3rd edition)
📌 จุดจำก่อนสอบ:
• Fluoxetine ต้องการ washout period 5 สัปดาห์ก่อนเริ่ม MAOIs (ยาวที่สุดในกลุ่ม)
• SSRIs อื่นๆ ต้องการ washout 2 สัปดาห์ก่อนเริ่ม MAOIs</t>
        </is>
      </c>
      <c r="K83" s="2" t="n"/>
      <c r="L83" s="2" t="inlineStr">
        <is>
          <t>Anxiety/depression</t>
        </is>
      </c>
      <c r="M83" s="2" t="inlineStr">
        <is>
          <t>Clinic</t>
        </is>
      </c>
      <c r="N83" s="2" t="inlineStr">
        <is>
          <t>ข้อ 38 (PLE_CC1_Practice_Exam.md)</t>
        </is>
      </c>
      <c r="O83" s="2" t="n"/>
      <c r="P83" s="2" t="n"/>
    </row>
    <row r="84" ht="13.2" customHeight="1" s="49">
      <c r="A84" s="8" t="inlineStr">
        <is>
          <t>82</t>
        </is>
      </c>
      <c r="B84" s="2"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84" s="2" t="n"/>
      <c r="D84" s="2" t="inlineStr">
        <is>
          <t>Alprazolam 0.5 mg HS</t>
        </is>
      </c>
      <c r="E84" s="2" t="inlineStr">
        <is>
          <t>Diazepam 5 mg HS</t>
        </is>
      </c>
      <c r="F84" s="2" t="inlineStr">
        <is>
          <t>Zolpidem 10 mg HS</t>
        </is>
      </c>
      <c r="G84" s="2" t="inlineStr">
        <is>
          <t>Nicotine gum 2 mg PRN</t>
        </is>
      </c>
      <c r="H84" s="2" t="inlineStr">
        <is>
          <t>Quetiapine 25 mg HS</t>
        </is>
      </c>
      <c r="I84" s="8" t="n">
        <v>1</v>
      </c>
      <c r="J84" s="2"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2" t="n"/>
      <c r="L84" s="2" t="inlineStr">
        <is>
          <t>Insomnia</t>
        </is>
      </c>
      <c r="M84" s="2" t="inlineStr">
        <is>
          <t>Clinic</t>
        </is>
      </c>
      <c r="N84" s="2" t="inlineStr">
        <is>
          <t>ข้อ 39 (PLE_CC1_Practice_Exam.md)</t>
        </is>
      </c>
      <c r="O84" s="2" t="n"/>
      <c r="P84" s="2" t="n"/>
    </row>
    <row r="85" ht="13.2" customHeight="1" s="49">
      <c r="A85" s="8" t="inlineStr">
        <is>
          <t>83</t>
        </is>
      </c>
      <c r="B85" s="2" t="inlineStr">
        <is>
          <t>นาย ข อบหมากฝรั่งนิโคตินไว้ใต้ลิ้นเป็นเวลา 30 นาที จนหมากฝรั่งหมดรสซ่า เเนะนะให้เคี้ยวหมากฝรั่งเพื่อปลดปล่อย nicotine การอบไว้เฉยๆ สารนิโคตินจะปลดปล่อยออกมน้อยกว่า การเคี้ยว</t>
        </is>
      </c>
      <c r="C85" s="2" t="n"/>
      <c r="D85" s="2" t="inlineStr">
        <is>
          <t>Nicotine gum 2 mg PRN</t>
        </is>
      </c>
      <c r="E85" s="2" t="inlineStr">
        <is>
          <t>Quetiapine 25 mg HS</t>
        </is>
      </c>
      <c r="F85" s="2" t="inlineStr">
        <is>
          <t>Risperidone 2 mg OD</t>
        </is>
      </c>
      <c r="G85" s="2" t="inlineStr">
        <is>
          <t>Fluoxetine 20 mg OD</t>
        </is>
      </c>
      <c r="H85" s="2" t="inlineStr">
        <is>
          <t>Sertraline 50 mg OD</t>
        </is>
      </c>
      <c r="I85" s="8" t="n">
        <v>1</v>
      </c>
      <c r="J85" s="2" t="inlineStr">
        <is>
          <t>✅ คำตอบที่ถูกต้อง: ข้อ ก. Nicotine gum 2 mg PRN
💡 Background:
Anxiety/depression
🎯 ทำไมข้อนี้ถึงถูก:
Nicotine gum 2 mg PRN เป็นคำตอบที่ถูกต้องตาม ข้อ 2 (PLE_CC1_Practice_Exam.md)
🔍 ข้ออื่นผิดเพราะอะไร:
• ข้อ ข. (Quetiapine 25 mg HS): Quetiapine เป็น second-generation antipsychotic ที่แปรรูปผ่านเอนไซม์ CYP3A4 เป็นหลัก ใช้รักษา bipolar disorder และ schizophrenia ไม่เกี่ยวข้องกับเทคนิคการใช้ nicotine gum
• ข้อ ค. (Risperidone 2 mg OD): Risperidone ออกฤทธิ์เป็น D2 และ 5-HT2A antagonist ใช้รักษาโรคจิตและภาวะก้าวร้าว มีความเสี่ยงต่อการเกิด hyperprolactinemia สูง ไม่เกี่ยวข้องกับกระบวนการเคี้ยวหมากฝรั่งนิโคติน
• ข้อ ง. (Fluoxetine 20 mg OD): Fluoxetine เป็น SSRI ที่ยับยั้ง CYP2D6 อย่างแรง ใช้รักษา major depressive disorder ไม่ใช่ผลิตภัณฑ์ทดแทนนิโคตินสำหรับช่วยเลิกบุหรี่
• ข้อ จ. (Sertraline 50 mg OD): Sertraline เป็นยาต้านซึมเศร้าที่ยับยั้ง serotonin reuptake transporter ไม่สามารถใช้แทนการบำบัดทดแทนนิโคตินหรืออธิบายเทคนิค chew and park ได้
📖 Guideline อ้างอิง:
ข้อ 2 (PLE_CC1_Practice_Exam.md)
📌 จุดจำก่อนสอบ:
• Anxiety/depression: ศึกษากลไก, ข้อบ่งใช้, และผลข้างเคียงที่สำคัญ</t>
        </is>
      </c>
      <c r="K85" s="2" t="n"/>
      <c r="L85" s="2" t="inlineStr">
        <is>
          <t>Anxiety/depression</t>
        </is>
      </c>
      <c r="M85" s="2" t="inlineStr">
        <is>
          <t>Clinic</t>
        </is>
      </c>
      <c r="N85" s="2" t="inlineStr">
        <is>
          <t>ข้อ 2 (PLE_CC1_Practice_Exam.md)</t>
        </is>
      </c>
      <c r="O85" s="2" t="n"/>
      <c r="P85" s="2" t="n"/>
    </row>
    <row r="86" ht="13.2" customHeight="1" s="49">
      <c r="A86" s="8" t="inlineStr">
        <is>
          <t>84</t>
        </is>
      </c>
      <c r="B86" s="2" t="inlineStr">
        <is>
          <t>นาย ง ดื่มกาเเฟ ก่อนเคี้ยวหมากฝรั่งนิโคตินเพื่อช่วยลดความอยากบุหรี่ ไม่ควรทำให้ pH ในช่องปากเป็นกรด กาเเฟทำให้ pH ในช่องปากลดลง ทำให้การดูดซึม nicotine ลดลงได้</t>
        </is>
      </c>
      <c r="C86" s="2" t="n"/>
      <c r="D86" s="2" t="inlineStr">
        <is>
          <t>Fluoxetine 20 mg OD</t>
        </is>
      </c>
      <c r="E86" s="2" t="inlineStr">
        <is>
          <t>Sertraline 50 mg OD</t>
        </is>
      </c>
      <c r="F86" s="2" t="inlineStr">
        <is>
          <t>Escitalopram 10 mg OD</t>
        </is>
      </c>
      <c r="G86" s="2" t="inlineStr">
        <is>
          <t>Venlafaxine 75 mg OD</t>
        </is>
      </c>
      <c r="H86" s="2" t="inlineStr">
        <is>
          <t>Amitriptyline 10 mg HS</t>
        </is>
      </c>
      <c r="I86" s="8" t="n">
        <v>1</v>
      </c>
      <c r="J86" s="2" t="inlineStr">
        <is>
          <t>✅ คำตอบที่ถูกต้อง: ข้อ ก. Fluoxetine 20 mg OD
💡 Background:
Tobacco dependence
🎯 ทำไมข้อนี้ถึงถูก:
Fluoxetine 20 mg OD เป็นคำตอบที่ถูกต้องตาม ข้อ 4 (PLE_CC1_Practice_Exam.md)
🔍 ข้ออื่นผิดเพราะอะไร:
• ข้อ ข. (Sertraline 50 mg OD): Sertraline เป็นยาต้านซึมเศร้ากลุ่ม SSRI ที่ขจัดผ่านตับเป็นหลัก การดื่มเครื่องดื่มที่เป็นกรดไม่ได้ส่งผลต่อชีวประสิทธิผลของ Sertraline ในลักษณะเดียวกับการดูดซึมของนิโคตินในช่องปาก
• ข้อ ค. (Escitalopram 10 mg OD): Escitalopram ยับยั้ง SERT โดยตรง การเปลี่ยนแปลงของ pH ในทางเดินอาหารส่วนบนไม่มีผลกระทบต่อ pharmacological action หรือการดูดซึมของยานี้อย่างมีนัยสำคัญทางคลินิก
• ข้อ ง. (Venlafaxine 75 mg OD): Venlafaxine เป็นยากลุ่ม SNRI ที่ถูกเปลี่ยนเป็น O-desmethylvenlafaxine ผ่าน CYP2D6 โดยการดูดซึมเกิดขึ้นที่ลำไส้เล็กและไม่ขึ้นกับภาวะกรดด่างในช่องปาก
• ข้อ จ. (Amitriptyline 10 mg HS): Amitriptyline เป็นยากลุ่ม TCA ที่มีฤทธิ์ dry mouth จาก muscarinic receptor blockade แต่อาการปากแห้งนี้ไม่เกี่ยวข้องกับผลของกรดจากกาแฟที่ขัดขวางการดูดซึมสารนิโคติน
📖 Guideline อ้างอิง:
ข้อ 4 (PLE_CC1_Practice_Exam.md)
📌 จุดจำก่อนสอบ:
• Tobacco dependence: ศึกษากลไก, ข้อบ่งใช้, และผลข้างเคียงที่สำคัญ</t>
        </is>
      </c>
      <c r="K86" s="2" t="n"/>
      <c r="L86" s="2" t="inlineStr">
        <is>
          <t>Tobacco dependence</t>
        </is>
      </c>
      <c r="M86" s="2" t="inlineStr">
        <is>
          <t>Clinic</t>
        </is>
      </c>
      <c r="N86" s="2" t="inlineStr">
        <is>
          <t>ข้อ 4 (PLE_CC1_Practice_Exam.md)</t>
        </is>
      </c>
      <c r="O86" s="2" t="n"/>
      <c r="P86" s="2" t="n"/>
    </row>
    <row r="87" ht="13.2" customHeight="1" s="49">
      <c r="A87" s="8" t="inlineStr">
        <is>
          <t>85</t>
        </is>
      </c>
      <c r="B87" s="2"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2" t="n"/>
      <c r="D87" s="2" t="inlineStr">
        <is>
          <t>Fluoxetine</t>
        </is>
      </c>
      <c r="E87" s="2" t="inlineStr">
        <is>
          <t>Sertraline</t>
        </is>
      </c>
      <c r="F87" s="2" t="inlineStr">
        <is>
          <t>Citalopram</t>
        </is>
      </c>
      <c r="G87" s="2" t="inlineStr">
        <is>
          <t>Venlafaxine</t>
        </is>
      </c>
      <c r="H87" s="2" t="inlineStr">
        <is>
          <t>Mirtazapine</t>
        </is>
      </c>
      <c r="I87" s="8" t="n">
        <v>1</v>
      </c>
      <c r="J87" s="2" t="inlineStr">
        <is>
          <t>✅ คำตอบที่ถูกต้อง: ข้อ ก. Venlafaxine หรือ Escitalopram (หลีกเลี่ยง Fluoxetine และ Paroxetine)
💡 Background: อันตรกิริยาระหว่างยา (Drug-Drug Interaction) ระหว่างยาต้านซึมเศร้าและยา Tamoxifen ในผู้ป่วยมะเร็งเต้านม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
📖 Guideline อ้างอิง: ASCO Clinical Practice Guideline on the Management of Depression and Hot Flashes in Breast Cancer
📌 จุดจำก่อนสอบ: Tamoxifen ต้องใช้ CYP2D6 สร้าง Endoxifen: ห้ามใช้ร่วมกับ Paroxetine, Fluoxetine (Strong inhibitors) แนะนำใช้ Venlafaxine แทน</t>
        </is>
      </c>
      <c r="K87" s="2" t="n"/>
      <c r="L87" s="2" t="inlineStr">
        <is>
          <t>Anxiety/depression</t>
        </is>
      </c>
      <c r="M87" s="2" t="inlineStr">
        <is>
          <t>Clinic</t>
        </is>
      </c>
      <c r="N87" s="2" t="inlineStr">
        <is>
          <t>ข้อ 1 (PLE_CC1_Practice_Exam.md)</t>
        </is>
      </c>
      <c r="O87" s="2" t="n"/>
      <c r="P87" s="2" t="n"/>
    </row>
    <row r="88" ht="13.2" customHeight="1" s="49">
      <c r="A88" s="8" t="inlineStr">
        <is>
          <t>86</t>
        </is>
      </c>
      <c r="B88" s="2" t="inlineStr">
        <is>
          <t>สถานการณ์ในร้านยาแห่งหนึ่ง นางสมพร พาบุตรชายอายุ 7 ปี มาพบท่านซึ่งเป็นเภสัชกรประจำร้านยาแห่งหนึ่ง โดยบุตรชายของ นางสมพรมีอาการน้ำมูกไหล จาม และคัดจมูกอย่างรุนแรงจนทำให้นอนไม่หลับ และรบกวนการเรียน จาก การซักประวัติเพิ่มเติมพบว่า มีอาการดังกล่าวมา 5 วันแล้ว โดยนางสมพรมีอาชีพรับเหมาก่อสร้าง และอาศัย อยู่บริเวณใกล้เคียงกับสถานที่ก่อสร้าง ท่านจะพิจารณาจ่ายยาอะไรจึงจะเหมาะสมกับบุตรชายของนางสมพร มากที่สุด</t>
        </is>
      </c>
      <c r="C88" s="2" t="n"/>
      <c r="D88" s="2" t="inlineStr">
        <is>
          <t>Clemastine และ Amoxicilllin</t>
        </is>
      </c>
      <c r="E88" s="2" t="inlineStr">
        <is>
          <t>Futicasone propionate spray และ Loratadine 234 โรคระบบภูมิคุ้มกัน นักศึกษาเภสัชศาสตร์ชั้นปีที่ 4 รุ่นที่ 22</t>
        </is>
      </c>
      <c r="F88" s="2" t="inlineStr">
        <is>
          <t>Cetirizine และ Theophylline</t>
        </is>
      </c>
      <c r="G88" s="2" t="inlineStr">
        <is>
          <t>Chlorpheniramine และ Salbutamol inhaler</t>
        </is>
      </c>
      <c r="H88" s="2" t="inlineStr">
        <is>
          <t>Chloramphenicol และ Budesonide spray</t>
        </is>
      </c>
      <c r="I88" s="8" t="n">
        <v>1</v>
      </c>
      <c r="J88" s="2" t="inlineStr">
        <is>
          <t>✅ คำตอบที่ถูกต้อง: ข้อ ก. Clemastine และ Amoxicilllin
💡 Background:
Insomnia
🎯 ทำไมข้อนี้ถึงถูก:
Clemastine และ Amoxicilllin เป็นคำตอบที่ถูกต้องตาม ข้อ 29 (PLE_CC1_Practice_Exam.md)
🔍 ข้ออื่นผิดเพราะอะไร:
• ข้อ ข. (Futicasone propionate spray และ Loratadine 234 โรคระบบภูมิคุ้มกัน นักศึกษาเภสัชศาสตร์ชั้นปีที่ 4 รุ่นที่ 22</t>
        </is>
      </c>
      <c r="K88" s="2" t="n"/>
      <c r="L88" s="2" t="inlineStr">
        <is>
          <t>Insomnia</t>
        </is>
      </c>
      <c r="M88" s="2" t="inlineStr">
        <is>
          <t>Clinic</t>
        </is>
      </c>
      <c r="N88" s="2" t="inlineStr">
        <is>
          <t>ข้อ 29 (PLE_CC1_Practice_Exam.md)</t>
        </is>
      </c>
      <c r="O88" s="2" t="n"/>
      <c r="P88" s="2" t="n"/>
    </row>
    <row r="89" ht="13.2" customHeight="1" s="49">
      <c r="A89" s="8" t="inlineStr">
        <is>
          <t>87</t>
        </is>
      </c>
      <c r="B89" s="2" t="inlineStr">
        <is>
          <t>หลักทั่วไปในการใช้ยาต้านอาการซึมเศร้า</t>
        </is>
      </c>
      <c r="C89" s="2" t="n"/>
      <c r="D89" s="2" t="inlineStr">
        <is>
          <t>Nicotine gum 2 mg PRN</t>
        </is>
      </c>
      <c r="E89" s="2" t="inlineStr">
        <is>
          <t>Quetiapine 25 mg HS</t>
        </is>
      </c>
      <c r="F89" s="2" t="inlineStr">
        <is>
          <t>Risperidone 2 mg OD</t>
        </is>
      </c>
      <c r="G89" s="2" t="inlineStr">
        <is>
          <t>Fluoxetine 20 mg OD</t>
        </is>
      </c>
      <c r="H89" s="2" t="inlineStr">
        <is>
          <t>Sertraline 50 mg OD</t>
        </is>
      </c>
      <c r="I89" s="8" t="n">
        <v>1</v>
      </c>
      <c r="J89" s="2" t="inlineStr">
        <is>
          <t>✅ คำตอบที่ถูกต้อง: ข้อ ก. Nicotine gum 2 mg PRN
💡 Background:
Anxiety/depression
🎯 ทำไมข้อนี้ถึงถูก:
Nicotine gum 2 mg PRN เป็นคำตอบที่ถูกต้องตาม ข้อ 36 (PLE_CC1_Key_Rx20_UBU.md)
🔍 ข้ออื่นผิดเพราะอะไร:
• ข้อ ข. (Quetiapine 25 mg HS): Quetiapine เป็น atypical antipsychotic ที่ใช้เป็นเพียง adjunctive therapy ใน treatment-resistant depression และมี metabolic side effects เช่น น้ำหนักตัวเพิ่มและไขมันในเลือดสูง
• ข้อ ค. (Risperidone 2 mg OD): Risperidone มีข้อบ่งใช้หลักใน schizophrenia และ bipolar mania แต่ไม่ใช่ antidepressant monotherapy และอาจก่อให้เกิด dopamine blockade adverse effects ได้
• ข้อ ง. (Fluoxetine 20 mg OD): Fluoxetine เป็นยาต้านซึมเศร้าตัวเลือกแรกที่ดี แต่มี half-life ยาวมากและยับยั้ง CYP2D6 สูง จึงต้องใช้ความระมัดระวังในการเปลี่ยนยาข้ามกลุ่มหรือบริหารร่วมกับยาอื่น
• ข้อ จ. (Sertraline 50 mg OD): Sertraline เป็น first-line antidepressant ที่ปลอดภัยในผู้ป่วยโรคหลอดเลือดหัวใจ แต่อาจทำให้เกิด serotonin-related GI distress ในสัปดาห์แรกของการรักษา
📖 Guideline อ้างอิง:
ข้อ 36 (PLE_CC1_Key_Rx20_UBU.md)
📌 จุดจำก่อนสอบ:
• Anxiety/depression: ศึกษากลไก, ข้อบ่งใช้, และผลข้างเคียงที่สำคัญ</t>
        </is>
      </c>
      <c r="K89" s="2" t="n"/>
      <c r="L89" s="2" t="inlineStr">
        <is>
          <t>Anxiety/depression</t>
        </is>
      </c>
      <c r="M89" s="2" t="inlineStr">
        <is>
          <t>Clinic</t>
        </is>
      </c>
      <c r="N89" s="2" t="inlineStr">
        <is>
          <t>ข้อ 36 (PLE_CC1_Key_Rx20_UBU.md)</t>
        </is>
      </c>
      <c r="O89" s="2" t="n"/>
      <c r="P89" s="2" t="n"/>
    </row>
    <row r="90" ht="13.2" customHeight="1" s="49">
      <c r="A90" s="8" t="inlineStr">
        <is>
          <t>88</t>
        </is>
      </c>
      <c r="B90" s="2" t="inlineStr">
        <is>
          <t>Benzodiazepine เป็นยาตัวแรกที่แนะนำให้ใช้ในผู้ป่วย Depression + Insomnia</t>
        </is>
      </c>
      <c r="C90" s="2" t="n"/>
      <c r="D90" s="2" t="inlineStr">
        <is>
          <t>Fluoxetine 20 mg OD</t>
        </is>
      </c>
      <c r="E90" s="2" t="inlineStr">
        <is>
          <t>Sertraline 50 mg OD</t>
        </is>
      </c>
      <c r="F90" s="2" t="inlineStr">
        <is>
          <t>Escitalopram 10 mg OD</t>
        </is>
      </c>
      <c r="G90" s="2" t="inlineStr">
        <is>
          <t>Venlafaxine 75 mg OD</t>
        </is>
      </c>
      <c r="H90" s="2" t="inlineStr">
        <is>
          <t>Amitriptyline 10 mg HS</t>
        </is>
      </c>
      <c r="I90" s="8" t="n">
        <v>1</v>
      </c>
      <c r="J90" s="2" t="inlineStr">
        <is>
          <t>✅ คำตอบที่ถูกต้อง: ข้อ ก. Fluoxetine 20 mg OD
💡 Background:
Anxiety/depression
🎯 ทำไมข้อนี้ถึงถูก:
Fluoxetine 20 mg OD เป็นคำตอบที่ถูกต้องตาม ข้อ 1 (PLE_CC1_Key_Rx20_UBU.md)
🔍 ข้ออื่นผิดเพราะอะไร:
• ข้อ ข. (Sertraline 50 mg OD): Sertraline เป็น first-line SSRI แต่การเริ่มต้นรักษา depression พร้อม insomnia บางครั้งอาจกระตุ้น serotonin receptor ชั่วคราวจนทำให้นอนไม่หลับมากขึ้นในช่วงแรก
• ข้อ ค. (Escitalopram 10 mg OD): Escitalopram มีฤทธิ์จำเพาะต่อการยับยั้ง SERT สูง ไม่ช่วยรักษาอาการนอนไม่หลับเฉียบพลันทันทีเนื่องจากต้องใช้เวลา 2-4 สัปดาห์ในการออกฤทธิ์ต้านซึมเศร้า
• ข้อ ง. (Venlafaxine 75 mg OD): Venlafaxine มีฤทธิ์กระตุ้น adrenergic pathway ร่วมด้วย จึงอาจทำให้อาการ insomnia หรือความวิตกกังวลของผู้ป่วยแย่ลงในระยะเริ่มต้นของการให้ยา
• ข้อ จ. (Amitriptyline 10 mg HS): Amitriptyline มี sedative effect สูงจากการปิดกั้น H1 receptor แต่มี anticholinergic side effects และ lethal in overdose จึงไม่แนะนำเป็น first-line agent ในปัจจุบัน
📖 Guideline อ้างอิง:
ข้อ 1 (PLE_CC1_Key_Rx20_UBU.md)
📌 จุดจำก่อนสอบ:
• Anxiety/depression: ศึกษากลไก, ข้อบ่งใช้, และผลข้างเคียงที่สำคัญ</t>
        </is>
      </c>
      <c r="K90" s="2" t="n"/>
      <c r="L90" s="2" t="inlineStr">
        <is>
          <t>Anxiety/depression</t>
        </is>
      </c>
      <c r="M90" s="2" t="inlineStr">
        <is>
          <t>Clinic</t>
        </is>
      </c>
      <c r="N90" s="2" t="inlineStr">
        <is>
          <t>ข้อ 1 (PLE_CC1_Key_Rx20_UBU.md)</t>
        </is>
      </c>
      <c r="O90" s="2" t="n"/>
      <c r="P90" s="2" t="n"/>
    </row>
    <row r="91" ht="13.2" customHeight="1" s="49">
      <c r="A91" s="8" t="inlineStr">
        <is>
          <t>89</t>
        </is>
      </c>
      <c r="B91" s="2"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2" t="n"/>
      <c r="D91" s="2" t="inlineStr">
        <is>
          <t>PHQ-9 (Patient Health Questionnaire-9)</t>
        </is>
      </c>
      <c r="E91" s="2" t="inlineStr">
        <is>
          <t>HAM-D (Hamilton Depression Rating Scale)</t>
        </is>
      </c>
      <c r="F91" s="2" t="inlineStr">
        <is>
          <t>MADRS (Montgomery-Asberg Depression Rating Scale)</t>
        </is>
      </c>
      <c r="G91" s="2" t="inlineStr">
        <is>
          <t>BDI (Beck Depression Inventory)</t>
        </is>
      </c>
      <c r="H91" s="2" t="inlineStr">
        <is>
          <t>DASS-21 (Depression Anxiety Stress Scale-21)</t>
        </is>
      </c>
      <c r="I91" s="8" t="n">
        <v>1</v>
      </c>
      <c r="J91" s="2"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2" t="n"/>
      <c r="L91" s="2" t="inlineStr">
        <is>
          <t>Anxiety/depression</t>
        </is>
      </c>
      <c r="M91" s="2" t="inlineStr">
        <is>
          <t>Clinic</t>
        </is>
      </c>
      <c r="N91" s="2" t="inlineStr">
        <is>
          <t>ข้อ 41 (PLE_CC1_Key_Rx20_UBU.md)</t>
        </is>
      </c>
      <c r="O91" s="2" t="n"/>
      <c r="P91" s="2" t="n"/>
    </row>
    <row r="92" ht="13.2" customHeight="1" s="49">
      <c r="A92" s="8" t="inlineStr">
        <is>
          <t>90</t>
        </is>
      </c>
      <c r="B92" s="2" t="inlineStr">
        <is>
          <t>สามารถจ่ายยา Diazepam ให้ผู้ป่วยรายนี้ได้หรือไม่</t>
        </is>
      </c>
      <c r="C92" s="2" t="n"/>
      <c r="D92" s="2" t="inlineStr">
        <is>
          <t>Alprazolam 0.5 mg HS</t>
        </is>
      </c>
      <c r="E92" s="2" t="inlineStr">
        <is>
          <t>Diazepam 5 mg HS</t>
        </is>
      </c>
      <c r="F92" s="2" t="inlineStr">
        <is>
          <t>Zolpidem 10 mg HS</t>
        </is>
      </c>
      <c r="G92" s="2" t="inlineStr">
        <is>
          <t>Nicotine gum 2 mg PRN</t>
        </is>
      </c>
      <c r="H92" s="2" t="inlineStr">
        <is>
          <t>Quetiapine 25 mg HS</t>
        </is>
      </c>
      <c r="I92" s="8" t="n">
        <v>1</v>
      </c>
      <c r="J92" s="2" t="inlineStr">
        <is>
          <t>✅ คำตอบที่ถูกต้อง: ข้อ ก. Alprazolam 0.5 mg HS
💡 Background:
Insomnia
🎯 ทำไมข้อนี้ถึงถูก:
Alprazolam 0.5 mg HS เป็นคำตอบที่ถูกต้องตาม ข้อ 2 (PLE_CC1_Key_Rx20_UBU.md)
🔍 ข้ออื่นผิดเพราะอะไร:
• ข้อ ข. (Diazepam 5 mg HS): Diazepam เป็นวัตถุออกฤทธิ์ต่อจิตและประสาทประเภท 2 ตามกฎหมายไทย ซึ่งมีข้อจำกัดอย่างเข้มงวดในการจ่ายยาในร้านยา และต้องระวังการเสพติดและการกดการหายใจ
• ข้อ ค. (Zolpidem 10 mg HS): Zolpidem เป็น non-benzodiazepine hypnotic ที่จัดเป็นวัตถุออกฤทธิ์ต่อจิตและประสาทประเภท 2 เช่นกัน จึงไม่สามารถจำหน่ายได้ในร้านยาทั่วไปโดยไม่มีใบสั่งแพทย์เฉพาะ
• ข้อ ง. (Nicotine gum 2 mg PRN): Nicotine gum เป็นยาเลิกบุหรี่ที่สามารถจำหน่ายในร้านยาได้ แต่ไม่มีฤทธิ์เป็น anxiolytic หรือ sedative ในการบรรเทาความวิตกกังวลหรือต้านอาการชัก
• ข้อ จ. (Quetiapine 25 mg HS): Quetiapine เป็นยาอันตรายกลุ่ม antipsychotic ที่ต้องสั่งจ่ายและติดตามความเสี่ยงด้าน metabolic syndromes และ QTc prolongation อย่างใกล้ชิดโดยแพทย์เฉพาะทาง
📖 Guideline อ้างอิง:
ข้อ 2 (PLE_CC1_Key_Rx20_UBU.md)
📌 จุดจำก่อนสอบ:
• Insomnia: ศึกษากลไก, ข้อบ่งใช้, และผลข้างเคียงที่สำคัญ</t>
        </is>
      </c>
      <c r="K92" s="2" t="n"/>
      <c r="L92" s="2" t="inlineStr">
        <is>
          <t>Insomnia</t>
        </is>
      </c>
      <c r="M92" s="2" t="inlineStr">
        <is>
          <t>Clinic</t>
        </is>
      </c>
      <c r="N92" s="2" t="inlineStr">
        <is>
          <t>ข้อ 2 (PLE_CC1_Key_Rx20_UBU.md)</t>
        </is>
      </c>
      <c r="O92" s="2" t="n"/>
      <c r="P92" s="2" t="n"/>
    </row>
    <row r="93" ht="13.2" customHeight="1" s="49">
      <c r="A93" s="8" t="inlineStr">
        <is>
          <t>91</t>
        </is>
      </c>
      <c r="B93" s="2" t="inlineStr">
        <is>
          <t>ข้อใดไม่ใช่ข้อบ่งใช้ของยา Diazepam</t>
        </is>
      </c>
      <c r="C93" s="2" t="n"/>
      <c r="D93" s="2" t="inlineStr">
        <is>
          <t>Nicotine gum 2 mg PRN</t>
        </is>
      </c>
      <c r="E93" s="2" t="inlineStr">
        <is>
          <t>Quetiapine 25 mg HS</t>
        </is>
      </c>
      <c r="F93" s="2" t="inlineStr">
        <is>
          <t>Risperidone 2 mg OD</t>
        </is>
      </c>
      <c r="G93" s="2" t="inlineStr">
        <is>
          <t>Fluoxetine 20 mg OD</t>
        </is>
      </c>
      <c r="H93" s="2" t="inlineStr">
        <is>
          <t>Sertraline 50 mg OD</t>
        </is>
      </c>
      <c r="I93" s="8" t="n">
        <v>1</v>
      </c>
      <c r="J93" s="2" t="inlineStr">
        <is>
          <t>✅ คำตอบที่ถูกต้อง: ข้อ ก. Nicotine gum 2 mg PRN
💡 Background:
Insomnia
🎯 ทำไมข้อนี้ถึงถูก:
Nicotine gum 2 mg PRN เป็นคำตอบที่ถูกต้องตาม ข้อ 6 (PLE_CC1_Key_Rx20_UBU.md)
🔍 ข้ออื่นผิดเพราะอะไร:
• ข้อ ข. (Quetiapine 25 mg HS): Quetiapine มีข้อบ่งใช้ในการรักษาจิตเภทและภาวะอารมณ์สองขั้ว แต่ไม่มีข้อบ่งใช้เป็น muscle relaxant หรือ anticonvulsant ฉุกเฉินเหมือน Diazepam
• ข้อ ค. (Risperidone 2 mg OD): Risperidone ออกฤทธิ์ปิดกั้นตัวรับโดปามีน ไม่สามารถนำมาใช้แทน Diazepam สำหรับการระงับภาวะชักต่อเนื่องหรืออาการถอนแอลกอฮอล์ได้
• ข้อ ง. (Fluoxetine 20 mg OD): Fluoxetine เป็น SSRI ใช้รักษาโรคซึมเศร้าและย้ำคิดย้ำทำ ไม่สามารถออกฤทธิ์บรรเทาอาการตื่นตระหนกแบบเฉียบพลันเนื่องจาก onset of action ช้า
• ข้อ จ. (Sertraline 50 mg OD): Sertraline ใช้รักษาอาการซึมเศร้าและโรควิตกกังวลเรื้อรัง ไม่มีผลคลายกล้ามเนื้อลายหรือระงับอาการชักเฉียบพลันผ่าน GABA-A receptor
📖 Guideline อ้างอิง:
ข้อ 6 (PLE_CC1_Key_Rx20_UBU.md)
📌 จุดจำก่อนสอบ:
• Insomnia: ศึกษากลไก, ข้อบ่งใช้, และผลข้างเคียงที่สำคัญ</t>
        </is>
      </c>
      <c r="K93" s="2" t="n"/>
      <c r="L93" s="2" t="inlineStr">
        <is>
          <t>Insomnia</t>
        </is>
      </c>
      <c r="M93" s="2" t="inlineStr">
        <is>
          <t>Clinic</t>
        </is>
      </c>
      <c r="N93" s="2" t="inlineStr">
        <is>
          <t>ข้อ 6 (PLE_CC1_Key_Rx20_UBU.md)</t>
        </is>
      </c>
      <c r="O93" s="2" t="n"/>
      <c r="P93" s="2" t="n"/>
    </row>
    <row r="94" ht="13.2" customHeight="1" s="49">
      <c r="A94" s="8" t="inlineStr">
        <is>
          <t>92</t>
        </is>
      </c>
      <c r="B94" s="2" t="inlineStr">
        <is>
          <t>นักศึกษาซึมเศร้าทำข้อสอบไม่ได้</t>
        </is>
      </c>
      <c r="C94" s="2" t="n"/>
      <c r="D94" s="2" t="inlineStr">
        <is>
          <t>Fluoxetine 20 mg OD</t>
        </is>
      </c>
      <c r="E94" s="2" t="inlineStr">
        <is>
          <t>Sertraline 50 mg OD</t>
        </is>
      </c>
      <c r="F94" s="2" t="inlineStr">
        <is>
          <t>Escitalopram 10 mg OD</t>
        </is>
      </c>
      <c r="G94" s="2" t="inlineStr">
        <is>
          <t>Venlafaxine 75 mg OD</t>
        </is>
      </c>
      <c r="H94" s="2" t="inlineStr">
        <is>
          <t>Amitriptyline 10 mg HS</t>
        </is>
      </c>
      <c r="I94" s="8" t="n">
        <v>1</v>
      </c>
      <c r="J94"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เป็น first-line antidepressant แต่มีผลข้างเคียงเด่นเรื่องอุจจาระเหลวและปั่นป่วนทางเดินอาหาร ซึ่งอาจรบกวนสมาธิในการสอบของนักศึกษาได้
• ข้อ ค. (Escitalopram 10 mg OD): Escitalopram ให้ผลการรักษาดีมากในโรควิตกกังวลและซึมเศร้า แต่อาจพบอาการ somnolence หรือ lethargy ได้ในบางรายทำให้ประสิทธิภาพในการอ่านหนังสือลดลง
• ข้อ ง. (Venlafaxine 75 mg OD): Venlafaxine เพิ่มระดับ norepinephrine ซึ่งอาจทำให้เกิดอาการใจสั่น ความดันโลหิตสูงขึ้น และกระวนกระวายใจมากกว่า SSRIs ในระยะเริ่มต้น
• ข้อ จ. (Amitriptyline 10 mg HS): Amitriptyline ทำให้เกิดอาการง่วงซึมอย่างรุนแรง มึนงง สมาธิสั้นลง และความจำบกพร่องจาก anticholinergic effects ซึ่งส่งผลเสียอย่างยิ่งต่อการสอบ
📖 Guideline อ้างอิง:
ข้อ 5 (PLE_CC1_Key_Rx20_UBU.md)
📌 จุดจำก่อนสอบ:
• Anxiety/depression: ศึกษากลไก, ข้อบ่งใช้, และผลข้างเคียงที่สำคัญ</t>
        </is>
      </c>
      <c r="K94" s="2" t="n"/>
      <c r="L94" s="2" t="inlineStr">
        <is>
          <t>Anxiety/depression</t>
        </is>
      </c>
      <c r="M94" s="2" t="inlineStr">
        <is>
          <t>Clinic</t>
        </is>
      </c>
      <c r="N94" s="2" t="inlineStr">
        <is>
          <t>ข้อ 5 (PLE_CC1_Key_Rx20_UBU.md)</t>
        </is>
      </c>
      <c r="O94" s="2" t="n"/>
      <c r="P94" s="2" t="n"/>
    </row>
    <row r="95" ht="13.2" customHeight="1" s="49">
      <c r="A95" s="8" t="inlineStr">
        <is>
          <t>93</t>
        </is>
      </c>
      <c r="B95" s="2" t="inlineStr">
        <is>
          <t>ยา Diazepam ไม่ถูกนำมาใช้ในกรณีใด</t>
        </is>
      </c>
      <c r="C95" s="2" t="n"/>
      <c r="D95" s="2" t="inlineStr">
        <is>
          <t>โรคซึมเศร้า (Major Depressive Disorder) เป็นโรคหลัก</t>
        </is>
      </c>
      <c r="E95" s="2" t="inlineStr">
        <is>
          <t>Alcohol withdrawal delirium tremens</t>
        </is>
      </c>
      <c r="F95" s="2" t="inlineStr">
        <is>
          <t>Status epilepticus ฉุกเฉิน</t>
        </is>
      </c>
      <c r="G95" s="2" t="inlineStr">
        <is>
          <t>Muscle spasm และ Spasticity</t>
        </is>
      </c>
      <c r="H95" s="2" t="inlineStr">
        <is>
          <t>Procedural sedation ก่อนทำหัตถการ</t>
        </is>
      </c>
      <c r="I95" s="8" t="n">
        <v>1</v>
      </c>
      <c r="J95" s="2"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2" t="n"/>
      <c r="L95" s="2" t="inlineStr">
        <is>
          <t>Insomnia</t>
        </is>
      </c>
      <c r="M95" s="2" t="inlineStr">
        <is>
          <t>Clinic</t>
        </is>
      </c>
      <c r="N95" s="2" t="inlineStr">
        <is>
          <t>ข้อ 7 (PLE_CC1_Key_Rx20_UBU.md)</t>
        </is>
      </c>
      <c r="O95" s="2" t="n"/>
      <c r="P95" s="2" t="n"/>
    </row>
    <row r="96" ht="13.2" customHeight="1" s="49">
      <c r="A96" s="8" t="inlineStr">
        <is>
          <t>94</t>
        </is>
      </c>
      <c r="B96" s="2" t="inlineStr">
        <is>
          <t>ภาวะซึมเศร้า</t>
        </is>
      </c>
      <c r="C96" s="2" t="n"/>
      <c r="D96" s="2" t="inlineStr">
        <is>
          <t>Alprazolam 0.5 mg HS</t>
        </is>
      </c>
      <c r="E96" s="2" t="inlineStr">
        <is>
          <t>Diazepam 5 mg HS</t>
        </is>
      </c>
      <c r="F96" s="2" t="inlineStr">
        <is>
          <t>Zolpidem 10 mg HS</t>
        </is>
      </c>
      <c r="G96" s="2" t="inlineStr">
        <is>
          <t>Nicotine gum 2 mg PRN</t>
        </is>
      </c>
      <c r="H96" s="2" t="inlineStr">
        <is>
          <t>Quetiapine 25 mg HS</t>
        </is>
      </c>
      <c r="I96" s="8" t="n">
        <v>1</v>
      </c>
      <c r="J96" s="2"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2" t="n"/>
      <c r="L96" s="2" t="inlineStr">
        <is>
          <t>Anxiety/depression</t>
        </is>
      </c>
      <c r="M96" s="2" t="inlineStr">
        <is>
          <t>Clinic</t>
        </is>
      </c>
      <c r="N96" s="2" t="inlineStr">
        <is>
          <t>ข้อ 5 (PLE_CC1_Key_Rx20_UBU.md)</t>
        </is>
      </c>
      <c r="O96" s="2" t="n"/>
      <c r="P96" s="2" t="n"/>
    </row>
    <row r="97" ht="13.2" customHeight="1" s="49">
      <c r="A97" s="8" t="inlineStr">
        <is>
          <t>95</t>
        </is>
      </c>
      <c r="B97" s="2" t="inlineStr">
        <is>
          <t>Antidote ของยา Benzodiazepine เมื่อได้รับยาเกินขนาด คืออะไร</t>
        </is>
      </c>
      <c r="C97" s="2" t="n"/>
      <c r="D97" s="2" t="inlineStr">
        <is>
          <t>Nicotine gum 2 mg PRN</t>
        </is>
      </c>
      <c r="E97" s="2" t="inlineStr">
        <is>
          <t>Quetiapine 25 mg HS</t>
        </is>
      </c>
      <c r="F97" s="2" t="inlineStr">
        <is>
          <t>Risperidone 2 mg OD</t>
        </is>
      </c>
      <c r="G97" s="2" t="inlineStr">
        <is>
          <t>Fluoxetine 20 mg OD</t>
        </is>
      </c>
      <c r="H97" s="2" t="inlineStr">
        <is>
          <t>Sertraline 50 mg OD</t>
        </is>
      </c>
      <c r="I97" s="8" t="n">
        <v>1</v>
      </c>
      <c r="J97" s="2"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2" t="n"/>
      <c r="L97" s="2" t="inlineStr">
        <is>
          <t>Anxiety/depression</t>
        </is>
      </c>
      <c r="M97" s="2" t="inlineStr">
        <is>
          <t>Clinic</t>
        </is>
      </c>
      <c r="N97" s="2" t="inlineStr">
        <is>
          <t>ข้อ 9 (PLE_CC1_Key_Rx20_UBU.md)</t>
        </is>
      </c>
      <c r="O97" s="2" t="n"/>
      <c r="P97" s="2" t="n"/>
    </row>
    <row r="98" ht="13.2" customHeight="1" s="49">
      <c r="A98" s="8" t="inlineStr">
        <is>
          <t>96</t>
        </is>
      </c>
      <c r="B98" s="2" t="inlineStr">
        <is>
          <t>Dimercaprol Flumazenil ต้านฤทธิ์ของยากลุ่ม benzodiazepines โดยการแย่งจับที่ receptor เดียวกันใน ระบบประสาทส่วนกลาง ท้าให้ benzodiapines ไม่สามารถออกฤทธิ์ได้ การจับของ flumazenil กับ receptor ไม่แสดงฤทธิ์ใดๆ จึงไม่มีอาการข้างเคียง ถึงแม้ในขนาดสูงๆ</t>
        </is>
      </c>
      <c r="C98" s="2" t="n"/>
      <c r="D98" s="2" t="inlineStr">
        <is>
          <t>Fluoxetine 20 mg OD</t>
        </is>
      </c>
      <c r="E98" s="2" t="inlineStr">
        <is>
          <t>Sertraline 50 mg OD</t>
        </is>
      </c>
      <c r="F98" s="2" t="inlineStr">
        <is>
          <t>Escitalopram 10 mg OD</t>
        </is>
      </c>
      <c r="G98" s="2" t="inlineStr">
        <is>
          <t>Venlafaxine 75 mg OD</t>
        </is>
      </c>
      <c r="H98" s="2" t="inlineStr">
        <is>
          <t>Amitriptyline 10 mg HS</t>
        </is>
      </c>
      <c r="I98" s="8" t="n">
        <v>1</v>
      </c>
      <c r="J98" s="2" t="inlineStr">
        <is>
          <t>✅ คำตอบที่ถูกต้อง: ข้อ ก. Fluoxetine 20 mg OD
💡 Background:
Anxiety/depression
🎯 ทำไมข้อนี้ถึงถูก:
Fluoxetine 20 mg OD เป็นคำตอบที่ถูกต้องตาม ข้อ 5 (PLE_CC1_Key_Rx20_UBU.md)
🔍 ข้ออื่นผิดเพราะอะไร:
• ข้อ ข. (Sertraline 50 mg OD): Sertraline ออกฤทธิ์ยับยั้ง serotonin transporter ไม่ได้จับกับ GABA-A receptor จึงไม่สามารถยับยั้งหรือแก่งแย่งฤทธิ์ของ benzodiazepine antagonists ได้
• ข้อ ค. (Escitalopram 10 mg OD): Escitalopram ปรับระดับ 5-HT ที่ synaptic cleft แต่ไม่มีผลต่อ chloride channel gating ที่ควบคุมโดยตัวรับ benzodiazepines ในระบบประสาทส่วนกลาง
• ข้อ ง. (Venlafaxine 75 mg OD): Venlafaxine มีกลไกคู่ยับยั้ง SERT และ NET ไม่เกี่ยวข้องกับการจับที่ BZD recognition site จึงไม่แสดงคุณสมบัติเป็นตัวต้านพิษของยานอนหลับกลุ่ม BZD
• ข้อ จ. (Amitriptyline 10 mg HS): Amitriptyline เป็น TCA ที่มี anticholinergic และ cardiac sodium channel blocking effects ซึ่งอาจซ้ำเติมความเป็นพิษต่อระบบหัวใจหากใช้ผิดวิธี
📖 Guideline อ้างอิง:
ข้อ 5 (PLE_CC1_Key_Rx20_UBU.md)
📌 จุดจำก่อนสอบ:
• Anxiety/depression: ศึกษากลไก, ข้อบ่งใช้, และผลข้างเคียงที่สำคัญ</t>
        </is>
      </c>
      <c r="K98" s="2" t="n"/>
      <c r="L98" s="2" t="inlineStr">
        <is>
          <t>Anxiety/depression</t>
        </is>
      </c>
      <c r="M98" s="2" t="inlineStr">
        <is>
          <t>Clinic</t>
        </is>
      </c>
      <c r="N98" s="2" t="inlineStr">
        <is>
          <t>ข้อ 5 (PLE_CC1_Key_Rx20_UBU.md)</t>
        </is>
      </c>
      <c r="O98" s="2" t="n"/>
      <c r="P98" s="2" t="n"/>
    </row>
    <row r="99" ht="13.2" customHeight="1" s="49">
      <c r="A99" s="8" t="inlineStr">
        <is>
          <t>97</t>
        </is>
      </c>
      <c r="B99" s="2" t="inlineStr">
        <is>
          <t>หากผู้ป่วยใช้ Diazepam มาเป็นเวลานาน แล้วหยุดใช้ยาทันที (Abrupt withdrawal) อาการใดต่อไปนี้ที่มีโอกาสเกิดขึ้นได้มากที่สุด</t>
        </is>
      </c>
      <c r="C99" s="2" t="n"/>
      <c r="D99" s="2" t="inlineStr">
        <is>
          <t>Seizure (ชักจากการหยุดยา)</t>
        </is>
      </c>
      <c r="E99" s="2" t="inlineStr">
        <is>
          <t>Parkinson's tremor (สั่นแบบ Resting tremor)</t>
        </is>
      </c>
      <c r="F99" s="2" t="inlineStr">
        <is>
          <t>Hyperthermia และ Diaphoresis เฉียบพลัน</t>
        </is>
      </c>
      <c r="G99" s="2" t="inlineStr">
        <is>
          <t>Tardive dyskinesia (การเคลื่อนไหวผิดปกติช้า)</t>
        </is>
      </c>
      <c r="H99" s="2" t="inlineStr">
        <is>
          <t>Serotonin syndrome</t>
        </is>
      </c>
      <c r="I99" s="8" t="n">
        <v>1</v>
      </c>
      <c r="J99" s="2" t="inlineStr">
        <is>
          <t>✅ คำตอบที่ถูกต้อง: ข้อ ก. Seizure (ชักจากการหยุดยา)
💡 Background:
Benzodiazepine Withdrawal Syndrome เกิดจากการลด GABA-A receptor activity เฉียบพลัน
🎯 ทำไมข้อนี้ถึงถูก:
การหยุด Long-acting BZD (Diazepam) ทันทีทำให้เกิด rebound CNS excitation อาการหลัก: ชัก (Withdrawal seizure), วิตกกังวลรุนแรง, นอนไม่หลับ, tremor, tachycardia อาจรุนแรงถึงขั้น Delirium tremens
🔍 ข้ออื่นผิดเพราะอะไร:
• ข้อ ข. (Parkinson tremor): เกิดจาก Dopamine deficiency ใน Substantia nigra ไม่เกี่ยวกับ BZD withdrawal
• ข้อ ค. (Hyperthermia/Diaphoresis): อาจเกิดใน BZD withdrawal รุนแรงได้ แต่ไม่ใช่อาการที่มีโอกาสเกิดมากที่สุดเมื่อเทียบกับ seizure
• ข้อ ง. (Tardive dyskinesia): เป็นผลข้างเคียงระยะยาวจากการใช้ Antipsychotics (D2 blocker) ไม่ใช่ BZD
• ข้อ จ. (Serotonin syndrome): เกิดจากสารที่เพิ่ม serotonin ไม่เกี่ยวกับ GABAergic withdrawal
📖 Guideline อ้างอิง:
APA Practice Guideline for the Treatment of Patients with Substance Use Disorders (2nd edition)
📌 จุดจำก่อนสอบ:
• BZD withdrawal ≈ Alcohol withdrawal: ใช้ Long-acting BZD (Diazepam, Chlordiazepoxide) ลด Taper อย่างช้าๆ 10%/week
• Short-acting BZD (Alprazolam, Lorazepam) เสี่ยง withdrawal รุนแรงกว่า</t>
        </is>
      </c>
      <c r="K99" s="2" t="n"/>
      <c r="L99" s="2" t="inlineStr">
        <is>
          <t>Insomnia</t>
        </is>
      </c>
      <c r="M99" s="2" t="inlineStr">
        <is>
          <t>Clinic</t>
        </is>
      </c>
      <c r="N99" s="2" t="inlineStr">
        <is>
          <t>ข้อ 10 (PLE_CC1_Key_Rx20_UBU.md)</t>
        </is>
      </c>
      <c r="O99" s="2" t="n"/>
      <c r="P99" s="2" t="n"/>
    </row>
    <row r="100" ht="13.2" customHeight="1" s="49">
      <c r="A100" s="8" t="inlineStr">
        <is>
          <t>98</t>
        </is>
      </c>
      <c r="B100" s="2" t="inlineStr">
        <is>
          <t>เขียนว่ามีเภสัชกรจบจากสหรัฐอเมริกา กรณีศึกษาที่ 10 HF เลิกบุหรี่</t>
        </is>
      </c>
      <c r="C100" s="2" t="n"/>
      <c r="D100" s="2" t="inlineStr">
        <is>
          <t>Alprazolam 0.5 mg HS</t>
        </is>
      </c>
      <c r="E100" s="2" t="inlineStr">
        <is>
          <t>Diazepam 5 mg HS</t>
        </is>
      </c>
      <c r="F100" s="2" t="inlineStr">
        <is>
          <t>Zolpidem 10 mg HS</t>
        </is>
      </c>
      <c r="G100" s="2" t="inlineStr">
        <is>
          <t>Nicotine gum 2 mg PRN</t>
        </is>
      </c>
      <c r="H100" s="2" t="inlineStr">
        <is>
          <t>Quetiapine 25 mg HS</t>
        </is>
      </c>
      <c r="I100" s="8" t="n">
        <v>1</v>
      </c>
      <c r="J100" s="2" t="inlineStr">
        <is>
          <t>✅ คำตอบที่ถูกต้อง: ข้อ ก. Alprazolam 0.5 mg HS
💡 Background:
Tobacco dependence
🎯 ทำไมข้อนี้ถึงถูก:
Alprazolam 0.5 mg HS เป็นคำตอบที่ถูกต้องตาม ข้อ 5 (PLE_CC1_Key_Rx20_UBU.md)
🔍 ข้ออื่นผิดเพราะอะไร:
• ข้อ ข. (Diazepam 5 mg HS): Diazepam ไม่มีข้อบ่งใช้สำหรับการช่วยเลิกบุหรี่ และอาจทำให้เกิด fluid retention หรือกดระบบประสาทในผู้ป่วย heart failure ได้
• ข้อ ค. (Zolpidem 10 mg HS): Zolpidem เป็นยานอนหลับระยะสั้น ไม่ได้ช่วยระงับ nicotine craving หรือ withdrawal symptoms ในกระบวนการบำบัดผู้ป่วยติดบุหรี่
• ข้อ ง. (Nicotine gum 2 mg PRN): Nicotine gum ควรใช้อย่างระมัดระวังเป็นพิเศษในผู้ป่วย heart failure ที่ unstable เนื่องจากกระตุ้นระบบ sympathetic ทำให้หัวใจเต้นเร็วและความดันโลหิตสูงขึ้น
• ข้อ จ. (Quetiapine 25 mg HS): Quetiapine มีผลข้างเคียงทำให้เกิด orthostatic hypotension จาก alpha-1 blockade และเพิ่ม prolonged QTc ซึ่งเป็นอันตรายในผู้ป่วยหัวใจล้มเหลว
📖 Guideline อ้างอิง:
ข้อ 5 (PLE_CC1_Key_Rx20_UBU.md)
📌 จุดจำก่อนสอบ:
• Tobacco dependence: ศึกษากลไก, ข้อบ่งใช้, และผลข้างเคียงที่สำคัญ</t>
        </is>
      </c>
      <c r="K100" s="2" t="n"/>
      <c r="L100" s="2" t="inlineStr">
        <is>
          <t>Tobacco dependence</t>
        </is>
      </c>
      <c r="M100" s="2" t="inlineStr">
        <is>
          <t>Clinic</t>
        </is>
      </c>
      <c r="N100" s="2" t="inlineStr">
        <is>
          <t>ข้อ 5 (PLE_CC1_Key_Rx20_UBU.md)</t>
        </is>
      </c>
      <c r="O100" s="2" t="n"/>
      <c r="P100" s="2" t="n"/>
    </row>
    <row r="101" ht="13.2" customHeight="1" s="49">
      <c r="A101" s="8" t="inlineStr">
        <is>
          <t>99</t>
        </is>
      </c>
      <c r="B101" s="2" t="inlineStr">
        <is>
          <t>แนะนำให้เลิกบุหรี่ เพราะมีผลกระทบต่อสุขภาพ</t>
        </is>
      </c>
      <c r="C101" s="2" t="n"/>
      <c r="D101" s="2" t="inlineStr">
        <is>
          <t>Nicotine gum 2 mg PRN</t>
        </is>
      </c>
      <c r="E101" s="2" t="inlineStr">
        <is>
          <t>Quetiapine 25 mg HS</t>
        </is>
      </c>
      <c r="F101" s="2" t="inlineStr">
        <is>
          <t>Risperidone 2 mg OD</t>
        </is>
      </c>
      <c r="G101" s="2" t="inlineStr">
        <is>
          <t>Fluoxetine 20 mg OD</t>
        </is>
      </c>
      <c r="H101" s="2" t="inlineStr">
        <is>
          <t>Sertraline 50 mg OD</t>
        </is>
      </c>
      <c r="I101" s="8" t="n">
        <v>1</v>
      </c>
      <c r="J101" s="2" t="inlineStr">
        <is>
          <t>✅ คำตอบที่ถูกต้อง: ข้อ ก. Nicotine gum 2 mg PRN
💡 Background:
Tobacco dependence
🎯 ทำไมข้อนี้ถึงถูก:
Nicotine gum 2 mg PRN เป็นคำตอบที่ถูกต้องตาม ข้อ 1 (PLE_CC1_Key_Rx20_UBU.md)
🔍 ข้ออื่นผิดเพราะอะไร:
• ข้อ ข. (Quetiapine 25 mg HS): Quetiapine ไม่ได้เป็นยาที่ได้รับการรับรองสำหรับ smoking cessation และการใช้โดยไม่มีข้อบ่งใช้ทางจิตเวชจะเพิ่มความเสี่ยงของ dyslipidemia และเบาหวาน
• ข้อ ค. (Risperidone 2 mg OD): Risperidone ไม่มีกลไกช่วยลดนิโคตินวิธดรอว์วัล และการปิดกั้นตัวรับโดปามีนอาจเพิ่มความเสี่ยงต่อ metabolic syndrome และการเคลื่อนไหวผิดปกติ
• ข้อ ง. (Fluoxetine 20 mg OD): Fluoxetine ไม่ใช่ยาช่วยเลิกบุหรี่มาตรฐานตามแนวทางเวชปฏิบัติ การศึกษาพบว่าไม่มีประสิทธิภาพเหนือกว่า placebo ในการเลิกบุหรี่ระยะยาว
• ข้อ จ. (Sertraline 50 mg OD): Sertraline แม้จะช่วยรักษา depression แต่ไม่มีประสิทธิผลในการเพิ่มอัตราการเลิกบุหรี่ (cessation rate) ในผู้ที่ไม่มีโรควิตกกังวลหรือซึมเศร้าร่วมด้วย
📖 Guideline อ้างอิง:
ข้อ 1 (PLE_CC1_Key_Rx20_UBU.md)
📌 จุดจำก่อนสอบ:
• Tobacco dependence: ศึกษากลไก, ข้อบ่งใช้, และผลข้างเคียงที่สำคัญ</t>
        </is>
      </c>
      <c r="K101" s="2" t="n"/>
      <c r="L101" s="2" t="inlineStr">
        <is>
          <t>Tobacco dependence</t>
        </is>
      </c>
      <c r="M101" s="2" t="inlineStr">
        <is>
          <t>Clinic</t>
        </is>
      </c>
      <c r="N101" s="2" t="inlineStr">
        <is>
          <t>ข้อ 1 (PLE_CC1_Key_Rx20_UBU.md)</t>
        </is>
      </c>
      <c r="O101" s="2" t="n"/>
      <c r="P101" s="2" t="n"/>
    </row>
    <row r="102" ht="13.2" customHeight="1" s="49">
      <c r="A102" s="8" t="inlineStr">
        <is>
          <t>100</t>
        </is>
      </c>
      <c r="B102" s="2" t="inlineStr">
        <is>
          <t>แนะนำให้ซื้อยาเลิกบุหรี่ไปใช้</t>
        </is>
      </c>
      <c r="C102" s="2" t="n"/>
      <c r="D102" s="2" t="inlineStr">
        <is>
          <t>Fluoxetine 20 mg OD</t>
        </is>
      </c>
      <c r="E102" s="2" t="inlineStr">
        <is>
          <t>Sertraline 50 mg OD</t>
        </is>
      </c>
      <c r="F102" s="2" t="inlineStr">
        <is>
          <t>Escitalopram 10 mg OD</t>
        </is>
      </c>
      <c r="G102" s="2" t="inlineStr">
        <is>
          <t>Venlafaxine 75 mg OD</t>
        </is>
      </c>
      <c r="H102" s="2" t="inlineStr">
        <is>
          <t>Amitriptyline 10 mg HS</t>
        </is>
      </c>
      <c r="I102" s="8" t="n">
        <v>1</v>
      </c>
      <c r="J102" s="2" t="inlineStr">
        <is>
          <t>✅ คำตอบที่ถูกต้อง: ข้อ ก. Fluoxetine 20 mg OD
💡 Background:
Tobacco dependence
🎯 ทำไมข้อนี้ถึงถูก:
Fluoxetine 20 mg OD เป็นคำตอบที่ถูกต้องตาม ข้อ 2 (PLE_CC1_Key_Rx20_UBU.md)
🔍 ข้ออื่นผิดเพราะอะไร:
• ข้อ ข. (Sertraline 50 mg OD): Sertraline เป็นยาอันตรายกลุ่ม SSRI ที่ต้องมีการตรวจวินิจฉัยและสั่งใช้โดยแพทย์ ไม่ใช่ยาช่วยเลิกบุหรี่ที่สามารถแนะนำให้ซื้อไปใช้เองได้ในร้านยา
• ข้อ ค. (Escitalopram 10 mg OD): Escitalopram จัดเป็นยาควบคุมพิเศษหรือยาอันตรายตามกฎหมาย มีข้อบ่งใช้เฉพาะทางจิตเวช ไม่สามารถซื้อใช้เพื่อลดความอยากสูบบุหรี่ได้
• ข้อ ง. (Venlafaxine 75 mg OD): Venlafaxine เป็นยากลุ่ม SNRI ที่อาจเพิ่มความดันโลหิตและต้องค่อยๆ ปรับขนาดยา จึงไม่เหมาะสมและไม่มีข้อบ่งใช้สำหรับการซื้อไปเลิกบุหรี่
• ข้อ จ. (Amitriptyline 10 mg HS): Amitriptyline มีความเสี่ยงต่อการเกิดพิษต่อหัวใจและผลข้างเคียง anticholinergic สูงมาก จึงห้ามแนะนำให้ซื้อไปรับประทานเองเพื่อเลิกบุหรี่อย่างเด็ดขาด
📖 Guideline อ้างอิง:
ข้อ 2 (PLE_CC1_Key_Rx20_UBU.md)
📌 จุดจำก่อนสอบ:
• Tobacco dependence: ศึกษากลไก, ข้อบ่งใช้, และผลข้างเคียงที่สำคัญ</t>
        </is>
      </c>
      <c r="K102" s="2" t="n"/>
      <c r="L102" s="2" t="inlineStr">
        <is>
          <t>Tobacco dependence</t>
        </is>
      </c>
      <c r="M102" s="2" t="inlineStr">
        <is>
          <t>Clinic</t>
        </is>
      </c>
      <c r="N102" s="2" t="inlineStr">
        <is>
          <t>ข้อ 2 (PLE_CC1_Key_Rx20_UBU.md)</t>
        </is>
      </c>
      <c r="O102" s="2" t="n"/>
      <c r="P102" s="2" t="n"/>
    </row>
    <row r="103" ht="13.2" customHeight="1" s="49">
      <c r="A103" s="8" t="inlineStr">
        <is>
          <t>101</t>
        </is>
      </c>
      <c r="B103" s="2"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2" t="n"/>
      <c r="D103" s="2" t="inlineStr">
        <is>
          <t>10.5 mg</t>
        </is>
      </c>
      <c r="E103" s="2" t="inlineStr">
        <is>
          <t>7 mg</t>
        </is>
      </c>
      <c r="F103" s="2" t="inlineStr">
        <is>
          <t>17.5 mg</t>
        </is>
      </c>
      <c r="G103" s="2" t="inlineStr">
        <is>
          <t>24.5 mg</t>
        </is>
      </c>
      <c r="H103" s="2" t="inlineStr">
        <is>
          <t>3.5 mg</t>
        </is>
      </c>
      <c r="I103" s="8" t="n">
        <v>1</v>
      </c>
      <c r="J103" s="2" t="inlineStr">
        <is>
          <t>✅ คำตอบที่ถูกต้อง: ข้อ ข. ปริมาณนิโคตินที่ถูกดูดซึมเข้าร่างกาย = ปริมาณเริ่มต้นในแผ่นแปะ ลบ ปริมาณที่เหลือตกค้างในแผ่นแปะหลังลอกทิ้ง
💡 Background: การคำนวณการปลดปล่อยยาจากแผ่นแปะผิวหนัง (Transdermal Therapeutic System: TTS)
🎯 ทำไมข้อนี้ถึงถูก: ระบบแผ่นแปะผิวหนังทำงานโดยอาศัย Concentration gradient ขับเคลื่อนตัวยาผ่านผิวหนัง แผ่นแปะทุกชนิดจำเป็นต้องมีตัวยาใส่ไว้เกิน (Excess drug load) เพื่อคงอัตราการแพร่ ดังนั้นตัวยาที่เข้าสู่ร่างกายจึงเท่ากับ ปริมาณเริ่มต้น ลบ ปริมาณที่ตรวจวิเคราะห์ได้ในแผ่นแปะหลังใช้งาน
🔍 ข้ออื่นผิดเพราะอะไร:
- ข้อ ก. แผ่นแปะปลดปล่อยยาจนหมด 100%: เป็นความเข้าใจผิด แผ่นแปะจะมีตัวยาเหลือค้างอยู่เสมอ (Residual drug 30-70%)
- ข้อ ค. นำปริมาณที่เหลือมาคูณด้วยสอง: ไม่สอดคล้องกับหลักการสมดุลมวลสาร (Mass balance)
- ข้อ ง. ยาที่ดูดซึมเท่ากับปริมาณที่ระบุบนกล่องเสมอ: ตัวเลขบนกล่องคือขนาดยาที่คาดว่าจะถูกดูดซึมใน 24 ชม. ไม่ใช่ปริมาณตัวยาทั้งหมดในแผ่น
- ข้อ จ. คำนวณจากน้ำหนักที่ลดลงของแผ่นแปะ: น้ำหนักที่ลดลงส่วนใหญ่เกิดจากการระเหยของน้ำหรือสารทำละลาย ไม่ใช่เฉพาะตัวยานิโคติน
📖 Guideline อ้างอิง: USP General Chapter &lt;3&gt; Topically and Transdermally Applied Products
📌 จุดจำก่อนสอบ: Transdermal Patch ต้องมี Drug overload; หลังลอกแผ่นแปะออกจะยังมี Residual drug เหลืออยู่ จึงต้องพับประกบด้านเหนียวทิ้งให้มิดชิด</t>
        </is>
      </c>
      <c r="K103" s="2" t="n"/>
      <c r="L103" s="2" t="inlineStr">
        <is>
          <t>Anxiety/depression</t>
        </is>
      </c>
      <c r="M103" s="2" t="inlineStr">
        <is>
          <t>Clinic</t>
        </is>
      </c>
      <c r="N103" s="2" t="inlineStr">
        <is>
          <t>ข้อ 66 (PLE_CC1_Key_Rx20_UBU.md)</t>
        </is>
      </c>
      <c r="O103" s="2" t="n"/>
      <c r="P103" s="2" t="n"/>
    </row>
    <row r="104" ht="13.2" customHeight="1" s="49">
      <c r="A104" s="8" t="inlineStr">
        <is>
          <t>102</t>
        </is>
      </c>
      <c r="B104" s="2" t="inlineStr">
        <is>
          <t>จากตำรับของ nicotine patch ดังกล่าว จัดเป็น TDDS ชนิดใด</t>
        </is>
      </c>
      <c r="C104" s="2" t="n"/>
      <c r="D104" s="2" t="inlineStr">
        <is>
          <t>Alprazolam 0.5 mg HS</t>
        </is>
      </c>
      <c r="E104" s="2" t="inlineStr">
        <is>
          <t>Diazepam 5 mg HS</t>
        </is>
      </c>
      <c r="F104" s="2" t="inlineStr">
        <is>
          <t>Zolpidem 10 mg HS</t>
        </is>
      </c>
      <c r="G104" s="2" t="inlineStr">
        <is>
          <t>Nicotine gum 2 mg PRN</t>
        </is>
      </c>
      <c r="H104" s="2" t="inlineStr">
        <is>
          <t>Quetiapine 25 mg HS</t>
        </is>
      </c>
      <c r="I104" s="8" t="n">
        <v>1</v>
      </c>
      <c r="J104" s="2" t="inlineStr">
        <is>
          <t>✅ คำตอบที่ถูกต้อง: ข้อ ก. Alprazolam 0.5 mg HS
💡 Background:
Tobacco dependence
🎯 ทำไมข้อนี้ถึงถูก:
Alprazolam 0.5 mg HS เป็นคำตอบที่ถูกต้องตาม ข้อ 68 (PLE_CC1_Key_Rx20_UBU.md)
🔍 ข้ออื่นผิดเพราะอะไร:
• ข้อ ข. (Diazepam 5 mg HS): Diazepam มีจำหน่ายในรูปแบบยาเม็ด ยาฉีด และยาสวนทวาร แต่ไม่มีการผลิตเป็น transdermal delivery system (TDDS) สำหรับการรักษาทั่วไป
• ข้อ ค. (Zolpidem 10 mg HS): Zolpidem มีรูปแบบยาเม็ดรับประทาน ยาพ่นใต้ลิ้น และยาเม็ดอมใต้ลิ้น เพื่อให้ออกฤทธิ์เร็ว ไม่มีรูปแบบ transdermal therapeutic system
• ข้อ ง. (Nicotine gum 2 mg PRN): Nicotine gum เป็น dosage form แบบ medicated chewing gum สำหรับการดูดซึมผ่าน buccal mucosa ไม่จัดเป็น transdermal delivery system
• ข้อ จ. (Quetiapine 25 mg HS): Quetiapine มีรูปแบบยาเม็ด immediate-release และ extended-release สำหรับการรับประทานทางปากเท่านั้น ไม่มีการนำส่งยาผ่านผิวหนัง
📖 Guideline อ้างอิง:
ข้อ 68 (PLE_CC1_Key_Rx20_UBU.md)
📌 จุดจำก่อนสอบ:
• Tobacco dependence: ศึกษากลไก, ข้อบ่งใช้, และผลข้างเคียงที่สำคัญ</t>
        </is>
      </c>
      <c r="K104" s="2" t="n"/>
      <c r="L104" s="2" t="inlineStr">
        <is>
          <t>Tobacco dependence</t>
        </is>
      </c>
      <c r="M104" s="2" t="inlineStr">
        <is>
          <t>Clinic</t>
        </is>
      </c>
      <c r="N104" s="2" t="inlineStr">
        <is>
          <t>ข้อ 68 (PLE_CC1_Key_Rx20_UBU.md)</t>
        </is>
      </c>
      <c r="O104" s="2" t="n"/>
      <c r="P104" s="2" t="n"/>
    </row>
    <row r="105" ht="13.2" customHeight="1" s="49">
      <c r="A105" s="8" t="inlineStr">
        <is>
          <t>103</t>
        </is>
      </c>
      <c r="B105" s="2" t="inlineStr">
        <is>
          <t>Fluoxetine 1x1 pc เช$า</t>
        </is>
      </c>
      <c r="C105" s="2" t="n"/>
      <c r="D105" s="2" t="inlineStr">
        <is>
          <t>Nicotine gum 2 mg PRN</t>
        </is>
      </c>
      <c r="E105" s="2" t="inlineStr">
        <is>
          <t>Quetiapine 25 mg HS</t>
        </is>
      </c>
      <c r="F105" s="2" t="inlineStr">
        <is>
          <t>Risperidone 2 mg OD</t>
        </is>
      </c>
      <c r="G105" s="2" t="inlineStr">
        <is>
          <t>Fluoxetine 20 mg OD</t>
        </is>
      </c>
      <c r="H105" s="2" t="inlineStr">
        <is>
          <t>Sertraline 50 mg OD</t>
        </is>
      </c>
      <c r="I105" s="8" t="n">
        <v>1</v>
      </c>
      <c r="J105" s="2" t="inlineStr">
        <is>
          <t>✅ คำตอบที่ถูกต้อง: ข้อ ก. Nicotine gum 2 mg PRN
💡 Background:
Anxiety/depression
🎯 ทำไมข้อนี้ถึงถูก:
Nicotine gum 2 mg PRN เป็นคำตอบที่ถูกต้องตาม ข้อ 1 (PLE_CC1_Key_Rx20_UBU.md)
🔍 ข้ออื่นผิดเพราะอะไร:
• ข้อ ข. (Quetiapine 25 mg HS): Quetiapine มีผลข้างเคียงเด่นคือความง่วงซึมจากการกด H1 receptor จึงนิยมบริหารยาก่อนนอน (HS) ไม่ควรรับประทานตอนเช้าเหมือน Fluoxetine
• ข้อ ค. (Risperidone 2 mg OD): Risperidone เป็น atypical antipsychotic ที่มักให้วันละ 1-2 ครั้งเพื่อควบคุมอาการทางจิตเวช ไม่มียุทธวิธีการบริหารแบบกระตุ้นตื่นตัวในตอนเช้าเฉพาะ
• ข้อ ง. (Fluoxetine 20 mg OD): Fluoxetine มี activating effect จาก 5-HT2C antagonism ซึ่งอาจทำให้นอนไม่หลับ จึงแนะนำให้รับประทานตอนเช้าเพื่อลดผลรบกวนการนอนหลับ
• ข้อ จ. (Sertraline 50 mg OD): Sertraline แม้จะสามารถรับประทานตอนเช้าหรือเย็นได้ แต่ไม่มีฤทธิ์ activating effect เด่นชัดเท่า Fluoxetine และมักทำให้ถ่ายเหลวเป็นหลัก
📖 Guideline อ้างอิง:
ข้อ 1 (PLE_CC1_Key_Rx20_UBU.md)
📌 จุดจำก่อนสอบ:
• Anxiety/depression: ศึกษากลไก, ข้อบ่งใช้, และผลข้างเคียงที่สำคัญ</t>
        </is>
      </c>
      <c r="K105" s="2" t="n"/>
      <c r="L105" s="2" t="inlineStr">
        <is>
          <t>Anxiety/depression</t>
        </is>
      </c>
      <c r="M105" s="2" t="inlineStr">
        <is>
          <t>Clinic</t>
        </is>
      </c>
      <c r="N105" s="2" t="inlineStr">
        <is>
          <t>ข้อ 1 (PLE_CC1_Key_Rx20_UBU.md)</t>
        </is>
      </c>
      <c r="O105" s="2" t="n"/>
      <c r="P105" s="2" t="n"/>
    </row>
    <row r="106" ht="13.2" customHeight="1" s="49">
      <c r="A106" s="8" t="inlineStr">
        <is>
          <t>104</t>
        </is>
      </c>
      <c r="B106" s="2" t="inlineStr">
        <is>
          <t>Fluoxetine มีการขจัดออกอยGางไร</t>
        </is>
      </c>
      <c r="C106" s="2" t="n"/>
      <c r="D106" s="2" t="inlineStr">
        <is>
          <t>Hydroxylation</t>
        </is>
      </c>
      <c r="E106" s="2" t="inlineStr">
        <is>
          <t>O-dealkylation</t>
        </is>
      </c>
      <c r="F106" s="2" t="inlineStr">
        <is>
          <t>N-dealkylation</t>
        </is>
      </c>
      <c r="G106" s="2" t="inlineStr">
        <is>
          <t>Deamination</t>
        </is>
      </c>
      <c r="H106" s="2" t="inlineStr">
        <is>
          <t>…..</t>
        </is>
      </c>
      <c r="I106" s="8" t="n">
        <v>2</v>
      </c>
      <c r="J106" s="2" t="inlineStr">
        <is>
          <t>✅ คำตอบที่ถูกต้อง: ข้อ ข. O-dealkylation
💡 Background:
Anxiety/depression
🎯 ทำไมข้อนี้ถึงถูก:
O-dealkylation เป็นคำตอบที่ถูกต้องตาม ข้อ 79 (PLE_CC1_Key_Rx20_UBU.md)
🔍 ข้ออื่นผิดเพราะอะไร:
• ข้อ ก. (Hydroxylation): Aromatic hydroxylation เป็นวิถีเมแทบอลิซึมรองของ Fluoxetine แต่ไม่ใช่ปฏิกิริยาหลักในการสร้าง active metabolite สำคัญอย่าง Norfluoxetine
• ข้อ ค. (N-dealkylation): N-demethylation (N-dealkylation) ผ่าน CYP2D6 และ CYP2C9 เป็นวิถีเมแทบอลิซึมหลักที่เปลี่ยน Fluoxetine ไปเป็น Norfluoxetine ที่ยังคงออกฤทธิ์ทางเภสัชวิทยา
• ข้อ ง. (Deamination): Oxidative deamination เป็นปฏิกิริยาที่พบได้น้อยมากในยากลุ่ม aryloxypropylamine และไม่ใช่กระบวนการขจัดยาหลักของ Fluoxetine ในร่างกายมนุษย์
• ข้อ จ. (…..): ข้อนี้ไม่ใช่กระบวนการทางชีวเคมีที่ถูกต้องในการขจัดยา Fluoxetine เนื่องจากปฏิกิริยาหลักคือการเกิด N-demethylation ในระยะ Phase I metabolism
📖 Guideline อ้างอิง:
ข้อ 79 (PLE_CC1_Key_Rx20_UBU.md)
📌 จุดจำก่อนสอบ:
• Anxiety/depression: ศึกษากลไก, ข้อบ่งใช้, และผลข้างเคียงที่สำคัญ</t>
        </is>
      </c>
      <c r="K106" s="2" t="n"/>
      <c r="L106" s="2" t="inlineStr">
        <is>
          <t>Anxiety/depression</t>
        </is>
      </c>
      <c r="M106" s="2" t="inlineStr">
        <is>
          <t>Clinic</t>
        </is>
      </c>
      <c r="N106" s="2" t="inlineStr">
        <is>
          <t>ข้อ 79 (PLE_CC1_Key_Rx20_UBU.md)</t>
        </is>
      </c>
      <c r="O106" s="2" t="n"/>
      <c r="P106" s="2" t="n"/>
    </row>
    <row r="107" ht="13.2" customHeight="1" s="49">
      <c r="A107" s="8" t="inlineStr">
        <is>
          <t>105</t>
        </is>
      </c>
      <c r="B107" s="2"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2" t="n"/>
      <c r="D107" s="2" t="inlineStr">
        <is>
          <t>Fluoxetine ยับยั้ง CYP2D6 ลดการเปลี่ยน Tamoxifen เป็น Endoxifen ทำให้ประสิทธิภาพในการรักษามะเร็งลดลง</t>
        </is>
      </c>
      <c r="E107" s="2" t="inlineStr">
        <is>
          <t>Fluoxetine เพิ่มระดับ Tamoxifen ในเลือด ทำให้ฤทธิ์รักษามะเร็งดีขึ้น</t>
        </is>
      </c>
      <c r="F107" s="2" t="inlineStr">
        <is>
          <t>ทั้งสองยาแข่งขัน CYP2D6 ทำให้ยาทั้งคู่ออกฤทธิ์นานขึ้น</t>
        </is>
      </c>
      <c r="G107" s="2" t="inlineStr">
        <is>
          <t>ไม่มีปฏิกิริยาระหว่างยา เพราะทั้งคู่ใช้ enzyme เดียวกัน</t>
        </is>
      </c>
      <c r="H107" s="2" t="inlineStr">
        <is>
          <t>Tamoxifen ยับยั้ง CYP2D6 ทำให้ระดับ Fluoxetine ในเลือดสูงขึ้นและเสี่ยง serotonin syndrome</t>
        </is>
      </c>
      <c r="I107" s="8" t="n">
        <v>1</v>
      </c>
      <c r="J107" s="2" t="inlineStr">
        <is>
          <t>✅ คำตอบที่ถูกต้อง: ข้อ ง. ขัดขวางการเปลี่ยนรูป Tamoxifen ไปเป็น Endoxifen ซึ่งเป็นสารออกฤทธิ์หลัก ผ่านการยับยั้งเอนไซม์ CYP2D6
💡 Background: กลไกทางเภสัชพันธุศาสตร์และเภสัชจลนศาสตร์ของ Tamoxifen
🎯 ทำไมข้อนี้ถึงถูก: Fluoxetine ยับยั้งเอนไซม์ Cytochrome P450 2D6 (CYP2D6) อย่างถาวรและรุนแรง ทำให้การเกิดปฏิกิริยา 4-hydroxylation และ N-demethylation เพื่อเปลี่ยน Tamoxifen เป็น Endoxifen ลดลง ส่งผลให้ประสิทธิภาพในการรักษามะเร็งเต้านมลดลงอย่างมีนัยสำคัญ
🔍 ข้ออื่นผิดเพราะอะไร:
- ข้อ ก. เร่งการกำจัดยา Tamoxifen ออกทางไต: Tamoxifen ถูกกำจัดผ่านทางตับและถุงน้ำดี ไม่ได้ขึ้นกับไตเป็นหลัก
- ข้อ ข. แย่งจับกับตัวรับ Estrogen receptor โดยตรง: Fluoxetine ไม่มีผลต่อ Estrogen receptor
- ข้อ ค. ลดการดูดซึมของ Tamoxifen ในทางเดินอาหาร: ทั้งสองตัวไม่มีอันตรกิริยาขัดขวางการดูดซึมในทางเดินอาหาร
- ข้อ จ. เพิ่มการสร้าง Glucuronide conjugate ของ Tamoxifen: Fluoxetine ไม่ได้เหนี่ยวนำเอนไซม์ UGT
📖 Guideline อ้างอิง: Clinical Pharmacogenetics Implementation Consortium (CPIC) Guideline for CYP2D6 and Tamoxifen Therapy
📌 จุดจำก่อนสอบ: Fluoxetine และ Paroxetine เป็น Potent CYP2D6 inhibitors ขัดขวางการสร้าง Endoxifen จาก Tamoxifen</t>
        </is>
      </c>
      <c r="K107" s="2" t="n"/>
      <c r="L107" s="2" t="inlineStr">
        <is>
          <t>Anxiety/depression</t>
        </is>
      </c>
      <c r="M107" s="2" t="inlineStr">
        <is>
          <t>Clinic</t>
        </is>
      </c>
      <c r="N107" s="2" t="inlineStr">
        <is>
          <t>ข้อ 1 (PLE_CC1_Key_Rx20_UBU.md)</t>
        </is>
      </c>
      <c r="O107" s="2" t="n"/>
      <c r="P107" s="2" t="n"/>
    </row>
    <row r="108" ht="13.2" customHeight="1" s="49">
      <c r="A108" s="8" t="inlineStr">
        <is>
          <t>106</t>
        </is>
      </c>
      <c r="B108" s="2" t="inlineStr">
        <is>
          <t>acute insomnia, sleep onset and maintainance</t>
        </is>
      </c>
      <c r="C108" s="2" t="n"/>
      <c r="D108" s="2" t="inlineStr">
        <is>
          <t>Alprazolam 0.5 mg HS</t>
        </is>
      </c>
      <c r="E108" s="2" t="inlineStr">
        <is>
          <t>Diazepam 5 mg HS</t>
        </is>
      </c>
      <c r="F108" s="2" t="inlineStr">
        <is>
          <t>Zolpidem 10 mg HS</t>
        </is>
      </c>
      <c r="G108" s="2" t="inlineStr">
        <is>
          <t>Nicotine gum 2 mg PRN</t>
        </is>
      </c>
      <c r="H108" s="2" t="inlineStr">
        <is>
          <t>Quetiapine 25 mg HS</t>
        </is>
      </c>
      <c r="I108" s="8" t="n">
        <v>1</v>
      </c>
      <c r="J108" s="2" t="inlineStr">
        <is>
          <t>✅ คำตอบที่ถูกต้อง: ข้อ ก. Alprazolam 0.5 mg HS
💡 Background:
Insomnia
🎯 ทำไมข้อนี้ถึงถูก:
Alprazolam 0.5 mg HS เป็นคำตอบที่ถูกต้องตาม ข้อ 1 (PLE_CC1_Key_Rx20_UBU.md)
🔍 ข้ออื่นผิดเพราะอะไร:
• ข้อ ข. (Diazepam 5 mg HS): Diazepam มีระยะเวลาการออกฤทธิ์ยาวนานและเกิด active metabolites สะสม จึงทำให้เกิดอาการง่วงซึมตกค้างในวันรุ่งขึ้น (hangover effect) ไม่เหมาะกับ acute sleep maintenance
• ข้อ ค. (Zolpidem 10 mg HS): Zolpidem ในรูปแบบ standard immediate-release ช่วยลด sleep onset latency ได้ดีมาก แต่อาจไม่ครอบคลุมการตื่นกลางดึกเนื่องจากมี short half-life เพียง 2-3 ชั่วโมง
• ข้อ ง. (Nicotine gum 2 mg PRN): Nicotine gum เป็นสารกระตุ้นระบบประสาทส่วนกลางผ่าน nicotinic receptor ซึ่งกระตุ้นให้ร่างกายตื่นตัว จึงทำให้เกิดภาวะนอนไม่หลับอย่างรุนแรงหากใช้ก่อนนอน
• ข้อ จ. (Quetiapine 25 mg HS): Quetiapine แม้จะมีคุณสมบัติ sedating ผ่าน histamine H1 blockade แต่ไม่ได้รับอนุมัติให้ใช้เป็นยานอนหลับเดี่ยวๆ ใน acute insomnia เนื่องจากเสี่ยงต่อ metabolic side effects
📖 Guideline อ้างอิง:
ข้อ 1 (PLE_CC1_Key_Rx20_UBU.md)
📌 จุดจำก่อนสอบ:
• Insomnia: ศึกษากลไก, ข้อบ่งใช้, และผลข้างเคียงที่สำคัญ</t>
        </is>
      </c>
      <c r="K108" s="2" t="n"/>
      <c r="L108" s="2" t="inlineStr">
        <is>
          <t>Insomnia</t>
        </is>
      </c>
      <c r="M108" s="2" t="inlineStr">
        <is>
          <t>Clinic</t>
        </is>
      </c>
      <c r="N108" s="2" t="inlineStr">
        <is>
          <t>ข้อ 1 (PLE_CC1_Key_Rx20_UBU.md)</t>
        </is>
      </c>
      <c r="O108" s="2" t="n"/>
      <c r="P108" s="2" t="n"/>
    </row>
    <row r="109" ht="13.2" customHeight="1" s="49">
      <c r="A109" s="8" t="inlineStr">
        <is>
          <t>107</t>
        </is>
      </c>
      <c r="B109" s="2" t="inlineStr">
        <is>
          <t>acute insomnia, sleep onset and wake up early</t>
        </is>
      </c>
      <c r="C109" s="2" t="n"/>
      <c r="D109" s="2" t="inlineStr">
        <is>
          <t>Nicotine gum 2 mg PRN</t>
        </is>
      </c>
      <c r="E109" s="2" t="inlineStr">
        <is>
          <t>Quetiapine 25 mg HS</t>
        </is>
      </c>
      <c r="F109" s="2" t="inlineStr">
        <is>
          <t>Risperidone 2 mg OD</t>
        </is>
      </c>
      <c r="G109" s="2" t="inlineStr">
        <is>
          <t>Fluoxetine 20 mg OD</t>
        </is>
      </c>
      <c r="H109" s="2" t="inlineStr">
        <is>
          <t>Sertraline 50 mg OD</t>
        </is>
      </c>
      <c r="I109" s="8" t="n">
        <v>1</v>
      </c>
      <c r="J109" s="2" t="inlineStr">
        <is>
          <t>✅ คำตอบที่ถูกต้อง: ข้อ ก. Nicotine gum 2 mg PRN
💡 Background:
Insomnia
🎯 ทำไมข้อนี้ถึงถูก:
Nicotine gum 2 mg PRN เป็นคำตอบที่ถูกต้องตาม ข้อ 3 (PLE_CC1_Key_Rx20_UBU.md)
🔍 ข้ออื่นผิดเพราะอะไร:
• ข้อ ข. (Quetiapine 25 mg HS): Quetiapine ไม่แนะนำให้ใช้เป็น first-line hypnotic ในผู้ป่วยที่ไม่มีโรคร่วมทางจิตเวช เนื่องจากมีความเสี่ยงต่อภาวะน้ำหนักตัวเกินและ metabolic derangements
• ข้อ ค. (Risperidone 2 mg OD): Risperidone ออกฤทธิ์ปิดกั้นตัวรับ D2 ซึ่งไม่มีข้อบ่งใช้ในการรักษาอาการนอนไม่หลับเฉียบพลันและอาจเพิ่มความเสี่ยงต่อการเกิด akathisia หรือ restlessness ในตอนกลางคืน
• ข้อ ง. (Fluoxetine 20 mg OD): Fluoxetine มีฤทธิ์กระตุ้นความตื่นตัว (activating) ผ่าน 5-HT2C antagonism ซึ่งอาจทำให้นอนหลับยากขึ้นและตื่นบ่อยในระยะเริ่มต้นของการรักษา
• ข้อ จ. (Sertraline 50 mg OD): Sertraline ยับยั้ง SERT เพิ่มระดับ 5-HT ซึ่งอาจรบกวนสถาปัตยกรรมการนอนหลับ (sleep architecture) โดยลด slow wave sleep และ REM sleep ในช่วงแรก
📖 Guideline อ้างอิง:
ข้อ 3 (PLE_CC1_Key_Rx20_UBU.md)
📌 จุดจำก่อนสอบ:
• Insomnia: ศึกษากลไก, ข้อบ่งใช้, และผลข้างเคียงที่สำคัญ</t>
        </is>
      </c>
      <c r="K109" s="2" t="n"/>
      <c r="L109" s="2" t="inlineStr">
        <is>
          <t>Insomnia</t>
        </is>
      </c>
      <c r="M109" s="2" t="inlineStr">
        <is>
          <t>Clinic</t>
        </is>
      </c>
      <c r="N109" s="2" t="inlineStr">
        <is>
          <t>ข้อ 3 (PLE_CC1_Key_Rx20_UBU.md)</t>
        </is>
      </c>
      <c r="O109" s="2" t="n"/>
      <c r="P109" s="2" t="n"/>
    </row>
    <row r="110" ht="13.2" customHeight="1" s="49">
      <c r="A110" s="8" t="inlineStr">
        <is>
          <t>108</t>
        </is>
      </c>
      <c r="B110" s="2" t="inlineStr">
        <is>
          <t>chronic insomnia, sleep onset and maintainance</t>
        </is>
      </c>
      <c r="C110" s="2" t="n"/>
      <c r="D110" s="2" t="inlineStr">
        <is>
          <t>Fluoxetine 20 mg OD</t>
        </is>
      </c>
      <c r="E110" s="2" t="inlineStr">
        <is>
          <t>Sertraline 50 mg OD</t>
        </is>
      </c>
      <c r="F110" s="2" t="inlineStr">
        <is>
          <t>Escitalopram 10 mg OD</t>
        </is>
      </c>
      <c r="G110" s="2" t="inlineStr">
        <is>
          <t>Venlafaxine 75 mg OD</t>
        </is>
      </c>
      <c r="H110" s="2" t="inlineStr">
        <is>
          <t>Amitriptyline 10 mg HS</t>
        </is>
      </c>
      <c r="I110" s="8" t="n">
        <v>1</v>
      </c>
      <c r="J110" s="2" t="inlineStr">
        <is>
          <t>✅ คำตอบที่ถูกต้อง: ข้อ ก. Fluoxetine 20 mg OD
💡 Background:
Insomnia
🎯 ทำไมข้อนี้ถึงถูก:
Fluoxetine 20 mg OD เป็นคำตอบที่ถูกต้องตาม ข้อ 4 (PLE_CC1_Key_Rx20_UBU.md)
🔍 ข้ออื่นผิดเพราะอะไร:
• ข้อ ข. (Sertraline 50 mg OD): Sertraline สามารถบรรเทาอาการซึมเศร้าที่นำไปสู่อาการนอนไม่หลับได้ แต่ไม่มีฤทธิ์ระงับประสาทโดยตรงที่จะช่วย sleep maintenance ในระยะเฉียบพลัน
• ข้อ ค. (Escitalopram 10 mg OD): Escitalopram ปรับสมดุล serotonin ได้ดี แต่ไม่ได้แก้ปัญหา chronic insomnia ได้ทันทีเนื่องจากขาดฤทธิ์ sedating ผ่านตัวรับฮิสตามีนหรือตัวรับกาบา
• ข้อ ง. (Venlafaxine 75 mg OD): Venlafaxine ยับยั้งทั้ง 5-HT และ NE reuptake ซึ่งระดับ NE ที่เพิ่มขึ้นในระบบประสาทอาจกระตุ้นให้เกิดภาวะตื่นตัวและรบกวนการนอนหลับได้มากขึ้น
• ข้อ จ. (Amitriptyline 10 mg HS): Amitriptyline แม้จะมี sedative effect สูงจากการปิดกั้น H1 receptor แต่การใช้ระยะยาวใน chronic insomnia เสี่ยงต่อ daytime cognitive impairment และ anticholinergic toxicity
📖 Guideline อ้างอิง:
ข้อ 4 (PLE_CC1_Key_Rx20_UBU.md)
📌 จุดจำก่อนสอบ:
• Insomnia: ศึกษากลไก, ข้อบ่งใช้, และผลข้างเคียงที่สำคัญ</t>
        </is>
      </c>
      <c r="K110" s="2" t="n"/>
      <c r="L110" s="2" t="inlineStr">
        <is>
          <t>Insomnia</t>
        </is>
      </c>
      <c r="M110" s="2" t="inlineStr">
        <is>
          <t>Clinic</t>
        </is>
      </c>
      <c r="N110" s="2" t="inlineStr">
        <is>
          <t>ข้อ 4 (PLE_CC1_Key_Rx20_UBU.md)</t>
        </is>
      </c>
      <c r="O110" s="2" t="n"/>
      <c r="P110" s="2" t="n"/>
    </row>
    <row r="111" ht="13.2" customHeight="1" s="49">
      <c r="A111" s="8" t="inlineStr">
        <is>
          <t>109</t>
        </is>
      </c>
      <c r="B111" s="2"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2" t="n"/>
      <c r="D111" s="2" t="inlineStr">
        <is>
          <t>คาเฟอีนในชายับยั้ง Adenosine receptor ทำให้ลด Sleep pressure และเพิ่ม Sleep latency</t>
        </is>
      </c>
      <c r="E111" s="2" t="inlineStr">
        <is>
          <t>ชามีฤทธิ์ขยายหลอดเลือด ทำให้ Blood pressure สูงขึ้นและนอนหลับยาก</t>
        </is>
      </c>
      <c r="F111" s="2" t="inlineStr">
        <is>
          <t>Tannin ในชาทำให้เกิด Gastritis และนอนไม่หลับเนื่องจากปวดท้อง</t>
        </is>
      </c>
      <c r="G111" s="2" t="inlineStr">
        <is>
          <t>ชาทำให้เกิด Urinary frequency บ่อยขึ้นในเวลากลางคืน</t>
        </is>
      </c>
      <c r="H111" s="2" t="inlineStr">
        <is>
          <t>ชามีสาร Theobromine ที่กระตุ้นระบบประสาทรุนแรงกว่าคาเฟอีน</t>
        </is>
      </c>
      <c r="I111" s="8" t="n">
        <v>1</v>
      </c>
      <c r="J111" s="2" t="inlineStr">
        <is>
          <t>✅ คำตอบที่ถูกต้อง: ข้อ ก. การปรับสุขอนามัยการนอนหลับ (Sleep hygiene education) ร่วมกับการทำ Cognitive Behavioral Therapy for Insomnia (CBT-I)
💡 Background: แนวทางการรักษาโรคนอนไม่หลับเรื้อรัง (Chronic Insomnia) ในผู้ใหญ่
🎯 ทำไมข้อนี้ถึงถูก: แนวทางเวชปฏิบัติสากลแนะนำให้การปรับพฤติกรรมและการบำบัดความคิดและพฤติกรรมสำหรับโรคนอนไม่หลับ (CBT-I) ร่วมกับการจัด Sleep hygiene เป็นการรักษาลำดับแรก (First-line therapy) ก่อนพิจารณาเริ่มยานอนหลับ
🔍 ข้ออื่นผิดเพราะอะไร:
- ข้อ ข. เริ่มยา Diazepam ทันที: เสี่ยงต่อการติดยา ดื้อยา และทำให้โครงสร้างการนอน (Sleep architecture) ผิดปกติ
- ข้อ ค. ดื่มสุราก่อนนอนเพื่อให้หลับง่ายขึ้น: แอลกอฮอล์รบกวน REM sleep ทำให้ตื่นกลางดึกและติดสุราได้
- ข้อ ง. ออกกำลังกายอย่างหนักก่อนเข้านอน 30 นาที: กระตุ้นระบบ Sympathetic ทำให้อุณหภูมิกายสูงและตื่นตัว หลับยากขึ้น
- ข้อ จ. นอนดูโทรทัศน์หรือเล่นโทรศัพท์บนเตียงจนกว่าจะง่วง: แสงสีฟ้า (Blue light) ยับยั้งการหลั่ง Melatonin จากต่อมไพเนียล
📖 Guideline อ้างอิง: Clinical Practice Guideline for the Pharmacologic Treatment of Chronic Insomnia in Adults (AASM 2017)
📌 จุดจำก่อนสอบ: First-line ในโรคนอนไม่หลับเรื้อรังคือ CBT-I และ Sleep hygiene ก่อนการใช้ยาทุกกรณี</t>
        </is>
      </c>
      <c r="K111" s="2" t="n"/>
      <c r="L111" s="2" t="inlineStr">
        <is>
          <t>Insomnia</t>
        </is>
      </c>
      <c r="M111" s="2" t="inlineStr">
        <is>
          <t>Clinic</t>
        </is>
      </c>
      <c r="N111" s="2" t="inlineStr">
        <is>
          <t>ข้อ 5 (PLE_CC1_Key_Rx20_UBU.md)</t>
        </is>
      </c>
      <c r="O111" s="2" t="n"/>
      <c r="P111" s="2" t="n"/>
    </row>
    <row r="112" ht="13.2" customHeight="1" s="49">
      <c r="A112" s="8" t="inlineStr">
        <is>
          <t>110</t>
        </is>
      </c>
      <c r="B112" s="2" t="inlineStr">
        <is>
          <t>ตำแหน่งสองเปลี่ยน C=O เป็น C=N จากโครงสร้างยาเป็นกลุ่ม Benzodiazepines</t>
        </is>
      </c>
      <c r="C112" s="2" t="n"/>
      <c r="D112" s="2" t="inlineStr">
        <is>
          <t>เติม Halogen ที่ Carbon ตำแหน่ง 9 ทำให้ฤทธิ์ลดลง</t>
        </is>
      </c>
      <c r="E112" s="2" t="inlineStr">
        <is>
          <t>Diazepam 5 mg HS</t>
        </is>
      </c>
      <c r="F112" s="2" t="inlineStr">
        <is>
          <t>Zolpidem 10 mg HS</t>
        </is>
      </c>
      <c r="G112" s="2" t="inlineStr">
        <is>
          <t>Nicotine gum 2 mg PRN</t>
        </is>
      </c>
      <c r="H112" s="2" t="inlineStr">
        <is>
          <t>Quetiapine 25 mg HS</t>
        </is>
      </c>
      <c r="I112" s="8" t="n">
        <v>1</v>
      </c>
      <c r="J112" s="2" t="inlineStr">
        <is>
          <t>✅ คำตอบที่ถูกต้อง: ข้อ ก. เติม Halogen ที่ Carbon ตำแหน่ง 9 ทำให้ฤทธิ์ลดลง
💡 Background:
Anxiety/depression
🎯 ทำไมข้อนี้ถึงถูก:
เติม Halogen ที่ Carbon ตำแหน่ง 9 ทำให้ฤทธิ์ลดลง เป็นคำตอบที่ถูกต้องตาม ข้อ 5 (PLE_CC1_Key_Rx20_UBU.md)
🔍 ข้ออื่นผิดเพราะอะไร:
• ข้อ ข. (Diazepam 5 mg HS): Diazepam เป็นโครงสร้าง 1,4-benzodiazepine มาตรฐานที่มีหมู่คาร์บอนิล (C=O) ที่ตำแหน่งที่ 2 ซึ่งจำเป็นต่อการคงความแรงในการจับกับ BZD receptor
• ข้อ ค. (Zolpidem 10 mg HS): Zolpidem เป็นอนุพันธ์กลุ่ม imidazopyridine ซึ่งมีโครงสร้างทางเคมีที่แตกต่างจาก benzodiazepine core ring อย่างสิ้นเชิง
• ข้อ ง. (Nicotine gum 2 mg PRN): Nicotine gum เป็นผลิตภัณฑ์สารอัลคาลอยด์ประเภท pyridine-pyrrolidine ไม่มีความเกี่ยวข้องกับโครงสร้าง heterocyclic ring ของ benzodiazepines
• ข้อ จ. (Quetiapine 25 mg HS): Quetiapine เป็นอนุพันธ์ dibenzothiazepine ที่มี side chain จับกับตัวรับชนิดอื่นๆ ไม่จัดอยู่ในกลุ่มโครงสร้าง benzodiazepines
📖 Guideline อ้างอิง:
ข้อ 5 (PLE_CC1_Key_Rx20_UBU.md)
📌 จุดจำก่อนสอบ:
• Anxiety/depression: ศึกษากลไก, ข้อบ่งใช้, และผลข้างเคียงที่สำคัญ</t>
        </is>
      </c>
      <c r="K112" s="2" t="n"/>
      <c r="L112" s="2" t="inlineStr">
        <is>
          <t>Anxiety/depression</t>
        </is>
      </c>
      <c r="M112" s="2" t="inlineStr">
        <is>
          <t>Clinic</t>
        </is>
      </c>
      <c r="N112" s="2" t="inlineStr">
        <is>
          <t>ข้อ 5 (PLE_CC1_Key_Rx20_UBU.md)</t>
        </is>
      </c>
      <c r="O112" s="2" t="n"/>
      <c r="P112" s="2" t="n"/>
    </row>
    <row r="113" ht="13.2" customHeight="1" s="49">
      <c r="A113" s="8" t="inlineStr">
        <is>
          <t>111</t>
        </is>
      </c>
      <c r="B113" s="2" t="inlineStr">
        <is>
          <t>ผู้ป่วยจัดเป็น Insomnia ประเภทใด</t>
        </is>
      </c>
      <c r="C113" s="2" t="n"/>
      <c r="D113" s="2" t="inlineStr">
        <is>
          <t>Short term insomnia with difficulty falling asleep</t>
        </is>
      </c>
      <c r="E113" s="2" t="inlineStr">
        <is>
          <t>Short term insomnia with difficulty falling asleep and maintaining sleep</t>
        </is>
      </c>
      <c r="F113" s="2" t="inlineStr">
        <is>
          <t>Long term insomnia with difficulty falling asleep</t>
        </is>
      </c>
      <c r="G113" s="2" t="inlineStr">
        <is>
          <t>Long term insomnia with difficulty falling asleep and maintaining sleep</t>
        </is>
      </c>
      <c r="H113" s="2" t="inlineStr">
        <is>
          <t>Long term insomnia with difficulty maintaining sleep</t>
        </is>
      </c>
      <c r="I113" s="8" t="n">
        <v>2</v>
      </c>
      <c r="J113" s="2"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ตามเกณฑ์การวินิจฉัยสากล จึงไม่ถูกต้องที่จะระบุว่าเป็น chronic หรือ long term insomnia
• ข้อ จ. (Long term insomnia with difficulty maintaining sleep</t>
        </is>
      </c>
      <c r="K113" s="2" t="n"/>
      <c r="L113" s="2" t="inlineStr">
        <is>
          <t>Insomnia</t>
        </is>
      </c>
      <c r="M113" s="2" t="inlineStr">
        <is>
          <t>Clinic</t>
        </is>
      </c>
      <c r="N113" s="2" t="inlineStr">
        <is>
          <t>ข้อ 64 (PLE_CC1_Key_Rx20_UBU.md)</t>
        </is>
      </c>
      <c r="O113" s="2" t="n"/>
      <c r="P113" s="2" t="n"/>
    </row>
    <row r="114" ht="13.2" customHeight="1" s="49">
      <c r="A114" s="8" t="inlineStr">
        <is>
          <t>112</t>
        </is>
      </c>
      <c r="B114" s="2" t="inlineStr">
        <is>
          <t>สาเหตุใดเป็นสาเหตุหลักของการนอนไม่หลับมากที่สุด</t>
        </is>
      </c>
      <c r="C114" s="2" t="n"/>
      <c r="D114" s="2" t="inlineStr">
        <is>
          <t>พ่อเสียชีวิต</t>
        </is>
      </c>
      <c r="E114" s="2" t="inlineStr">
        <is>
          <t>แม่ป่วย</t>
        </is>
      </c>
      <c r="F114" s="2" t="inlineStr">
        <is>
          <t>ภรรยาเสียชีวิต</t>
        </is>
      </c>
      <c r="G114" s="2" t="inlineStr">
        <is>
          <t>กินยาลดความดันโลหิต</t>
        </is>
      </c>
      <c r="H114" s="2" t="inlineStr">
        <is>
          <t>กินยารักษาต่อมลูกหมากโต</t>
        </is>
      </c>
      <c r="I114" s="8" t="n">
        <v>3</v>
      </c>
      <c r="J114" s="2"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14" s="2" t="n"/>
      <c r="L114" s="2" t="inlineStr">
        <is>
          <t>Insomnia</t>
        </is>
      </c>
      <c r="M114" s="2" t="inlineStr">
        <is>
          <t>Clinic</t>
        </is>
      </c>
      <c r="N114" s="2" t="inlineStr">
        <is>
          <t>ข้อ 65 (PLE_CC1_Key_Rx20_UBU.md)</t>
        </is>
      </c>
      <c r="O114" s="2" t="n"/>
      <c r="P114" s="2" t="n"/>
    </row>
    <row r="115" ht="13.2" customHeight="1" s="49">
      <c r="A115" s="8" t="inlineStr">
        <is>
          <t>113</t>
        </is>
      </c>
      <c r="B115" s="2" t="inlineStr">
        <is>
          <t>ควรใช้ยาใดในผู้ป่วยรายนี้ มีตาราง Pharmacokinetics ของ Benzodiazepine มาดังนี้</t>
        </is>
      </c>
      <c r="C115" s="2" t="n"/>
      <c r="D115" s="2" t="inlineStr">
        <is>
          <t>Diazepam</t>
        </is>
      </c>
      <c r="E115" s="2" t="inlineStr">
        <is>
          <t>Lorazepam</t>
        </is>
      </c>
      <c r="F115" s="2" t="inlineStr">
        <is>
          <t>Alprazolam</t>
        </is>
      </c>
      <c r="G115" s="2" t="inlineStr">
        <is>
          <t>Triazolam</t>
        </is>
      </c>
      <c r="H115" s="2" t="inlineStr">
        <is>
          <t>Clonazepam</t>
        </is>
      </c>
      <c r="I115" s="8" t="n">
        <v>1</v>
      </c>
      <c r="J115" s="2"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15" s="2" t="n"/>
      <c r="L115" s="2" t="inlineStr">
        <is>
          <t>Anxiety/depression</t>
        </is>
      </c>
      <c r="M115" s="2" t="inlineStr">
        <is>
          <t>Clinic</t>
        </is>
      </c>
      <c r="N115" s="2" t="inlineStr">
        <is>
          <t>ข้อ 67 (PLE_CC1_Key_Rx20_UBU.md)</t>
        </is>
      </c>
      <c r="O115" s="2" t="n"/>
      <c r="P115" s="2" t="n"/>
    </row>
    <row r="116" ht="13.2" customHeight="1" s="49">
      <c r="A116" s="8" t="inlineStr">
        <is>
          <t>114</t>
        </is>
      </c>
      <c r="B116" s="2" t="inlineStr">
        <is>
          <t>ผู้ป่วยมีโรคซึมเศร้าร่วมด้วย ควรได้รับยาใด เพื่อรักษาอาการนอนไม่หลับและซึมเศร้า</t>
        </is>
      </c>
      <c r="C116" s="2" t="n"/>
      <c r="D116" s="2" t="inlineStr">
        <is>
          <t>Bupropion</t>
        </is>
      </c>
      <c r="E116" s="2" t="inlineStr">
        <is>
          <t>Mirtazapine</t>
        </is>
      </c>
      <c r="F116" s="2" t="inlineStr">
        <is>
          <t>Amitriptyline</t>
        </is>
      </c>
      <c r="G116" s="2" t="inlineStr">
        <is>
          <t>Venlafaxine</t>
        </is>
      </c>
      <c r="H116" s="2" t="inlineStr">
        <is>
          <t>Zolpidem</t>
        </is>
      </c>
      <c r="I116" s="8" t="n">
        <v>2</v>
      </c>
      <c r="J116" s="2"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16" s="2" t="n"/>
      <c r="L116" s="2" t="inlineStr">
        <is>
          <t>Anxiety/depression</t>
        </is>
      </c>
      <c r="M116" s="2" t="inlineStr">
        <is>
          <t>Clinic</t>
        </is>
      </c>
      <c r="N116" s="2" t="inlineStr">
        <is>
          <t>ข้อ 68 (PLE_CC1_Key_Rx20_UBU.md)</t>
        </is>
      </c>
      <c r="O116" s="2" t="n"/>
      <c r="P116" s="2" t="n"/>
    </row>
    <row r="117" ht="13.2" customHeight="1" s="49">
      <c r="A117" s="2" t="n">
        <v>115</v>
      </c>
      <c r="B117" s="2"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2" t="n"/>
      <c r="D117" s="2" t="inlineStr">
        <is>
          <t>แนะนำให้งดดื่มเครื่องดื่มแอลกอฮอล์ก่อนนอน</t>
        </is>
      </c>
      <c r="E117" s="2" t="inlineStr">
        <is>
          <t>เมื่อนอนไม่หลับภายใน 20 นาที ให้ลุกออกจากเตียงไปทำกิจกรรมผ่อนคลาย เมื่อรู้สึกง่วงจึงค่อยกลับมานอน</t>
        </is>
      </c>
      <c r="F117" s="2" t="inlineStr">
        <is>
          <t>แนะนำให้นอนหลับพักผ่อนในช่วงกลางวันชดเชยวันละ 2-3 ชั่วโมง</t>
        </is>
      </c>
      <c r="G117" s="2" t="inlineStr">
        <is>
          <t>เข้านอนและตื่นนอนให้ตรงเวลาเดิมสม่ำเสมอทุกวัน</t>
        </is>
      </c>
      <c r="H117" s="2" t="inlineStr">
        <is>
          <t>งดดื่มชา กาแฟ และเครื่องดื่มที่มีคาเฟอีน โดยเฉพาะในช่วงบ่ายและเย็น</t>
        </is>
      </c>
      <c r="I117" s="8" t="n">
        <v>3</v>
      </c>
      <c r="J117" s="2"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2" t="n"/>
      <c r="L117" s="2" t="inlineStr">
        <is>
          <t>Psychiatric</t>
        </is>
      </c>
      <c r="M117" s="2" t="inlineStr">
        <is>
          <t>Clinic</t>
        </is>
      </c>
      <c r="N117" s="2" t="inlineStr">
        <is>
          <t>PLE_CC1_2567_Key ข้อ 18</t>
        </is>
      </c>
      <c r="O117" s="2" t="n"/>
      <c r="P117" s="2" t="n"/>
    </row>
    <row r="118" ht="13.2" customHeight="1" s="49">
      <c r="A118" s="2" t="n">
        <v>116</v>
      </c>
      <c r="B118" s="2"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2" t="n"/>
      <c r="D118" s="2" t="inlineStr">
        <is>
          <t>จ่าย Lorazepam 1 mg รับประทานก่อนนอนทุกคืนต่อเนื่อง 1 เดือน</t>
        </is>
      </c>
      <c r="E118" s="2" t="inlineStr">
        <is>
          <t>ปรับสุขอนามัยการนอนหลับ (Sleep hygiene) งดแอลกอฮอล์/กาแฟ และอาจพิจารณา Melatonin ระยะสั้น</t>
        </is>
      </c>
      <c r="F118" s="2" t="inlineStr">
        <is>
          <t>แนะนำให้รับประทานยาเม็ดสารสกัดสมุนไพรใบขี้เหล็กก่อนนอน</t>
        </is>
      </c>
      <c r="G118" s="2" t="inlineStr">
        <is>
          <t>จ่ายยา Chlorpheniramine (CPM) 4 mg รับประทานก่อนนอนเป็นประจำเพื่อช่วยให้นอนหลับ</t>
        </is>
      </c>
      <c r="H118" s="2" t="inlineStr">
        <is>
          <t>ให้ดื่มแอลกอฮอล์เพิ่มปริมาณเป็น 2 แก้วก่อนนอนเพื่อให้หลับสนิทตลอดคืน</t>
        </is>
      </c>
      <c r="I118" s="8" t="n">
        <v>2</v>
      </c>
      <c r="J118" s="2"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2" t="n"/>
      <c r="L118" s="2" t="inlineStr">
        <is>
          <t>Psychiatric</t>
        </is>
      </c>
      <c r="M118" s="2" t="inlineStr">
        <is>
          <t>Clinic</t>
        </is>
      </c>
      <c r="N118" s="2" t="inlineStr">
        <is>
          <t>PLE_CC1_2567_Key ข้อ 20</t>
        </is>
      </c>
      <c r="O118" s="2" t="n"/>
      <c r="P118" s="2"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21.6" customHeight="1" s="49">
      <c r="A3" s="13" t="n">
        <v>1</v>
      </c>
      <c r="B3" s="2"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2" t="n"/>
      <c r="D3" s="2" t="inlineStr">
        <is>
          <t>Short-acting beta-2 agonist (SABA) เดี่ยวๆ (เช่น Salbutamol MDI)</t>
        </is>
      </c>
      <c r="E3" s="2" t="inlineStr">
        <is>
          <t>Inhaled corticosteroid + Formoterol (ICS-Formoterol ขนาดต่ำ)</t>
        </is>
      </c>
      <c r="F3" s="2" t="inlineStr">
        <is>
          <t>Oral Prednisolone 30 mg</t>
        </is>
      </c>
      <c r="G3" s="2" t="inlineStr">
        <is>
          <t>Ipratropium bromide MDI</t>
        </is>
      </c>
      <c r="H3" s="2" t="inlineStr">
        <is>
          <t>Theophylline sustained-release</t>
        </is>
      </c>
      <c r="I3" s="8" t="n">
        <v>2</v>
      </c>
      <c r="J3" s="2"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2" t="n"/>
      <c r="L3" s="2" t="inlineStr">
        <is>
          <t>Asthma</t>
        </is>
      </c>
      <c r="M3" s="2" t="inlineStr">
        <is>
          <t>1</t>
        </is>
      </c>
      <c r="N3" s="2" t="inlineStr">
        <is>
          <t>Clinic</t>
        </is>
      </c>
      <c r="O3" s="2" t="n"/>
      <c r="P3" s="2" t="n"/>
    </row>
    <row r="4" ht="13.2" customHeight="1" s="49">
      <c r="A4" s="8" t="n">
        <v>2</v>
      </c>
      <c r="B4"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2" t="n"/>
      <c r="D4" s="2" t="inlineStr">
        <is>
          <t>เพื่อให้สามารถดำเนินชีวิตได้ปกติ</t>
        </is>
      </c>
      <c r="E4" s="2" t="inlineStr">
        <is>
          <t>เพื่อให้ควบคุมอาการของโรคได้</t>
        </is>
      </c>
      <c r="F4" s="2" t="inlineStr">
        <is>
          <t>เพื่อหลีกเลี่ยงอาการไม่พึงประสงค์อันเนื่องมาจากยารับประทาน</t>
        </is>
      </c>
      <c r="G4" s="2" t="inlineStr">
        <is>
          <t>เพื่อป้องกันการเกิดอาการเรื้อรัง</t>
        </is>
      </c>
      <c r="H4" s="2" t="inlineStr">
        <is>
          <t>เพื่อป้องกันการทำลายเนื้อเยื่อปอด</t>
        </is>
      </c>
      <c r="I4" s="8" t="n">
        <v>5</v>
      </c>
      <c r="J4" s="2"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2" t="n"/>
      <c r="L4" s="2" t="inlineStr">
        <is>
          <t>Asthma</t>
        </is>
      </c>
      <c r="M4" s="2" t="inlineStr">
        <is>
          <t>1</t>
        </is>
      </c>
      <c r="N4" s="2" t="inlineStr">
        <is>
          <t>Clinic</t>
        </is>
      </c>
      <c r="O4" s="2" t="n"/>
      <c r="P4" s="2" t="n"/>
    </row>
    <row r="5" ht="13.2" customHeight="1" s="49">
      <c r="A5" s="8" t="n">
        <v>3</v>
      </c>
      <c r="B5"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2" t="n"/>
      <c r="D5" s="2" t="inlineStr">
        <is>
          <t>เดินขึ้นบันได 2 ชั้น</t>
        </is>
      </c>
      <c r="E5" s="2" t="inlineStr">
        <is>
          <t>อากาศร้อน</t>
        </is>
      </c>
      <c r="F5" s="2" t="inlineStr">
        <is>
          <t>ขนแมว</t>
        </is>
      </c>
      <c r="G5" s="2" t="inlineStr">
        <is>
          <t>ฝุ่น</t>
        </is>
      </c>
      <c r="H5" s="2" t="inlineStr">
        <is>
          <t>ควันบุหรี่</t>
        </is>
      </c>
      <c r="I5" s="8" t="n">
        <v>2</v>
      </c>
      <c r="J5" s="2"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2" t="n"/>
      <c r="L5" s="2" t="inlineStr">
        <is>
          <t>Asthma</t>
        </is>
      </c>
      <c r="M5" s="2" t="inlineStr">
        <is>
          <t>2</t>
        </is>
      </c>
      <c r="N5" s="2" t="inlineStr">
        <is>
          <t>Clinic</t>
        </is>
      </c>
      <c r="O5" s="2" t="n"/>
      <c r="P5" s="2" t="n"/>
    </row>
    <row r="6" ht="13.2" customHeight="1" s="49">
      <c r="A6" s="8" t="n">
        <v>4</v>
      </c>
      <c r="B6"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2" t="n"/>
      <c r="D6" s="2" t="inlineStr">
        <is>
          <t>ตัวยามีฤทธิ์เป็น long-acting beta 2 antagonist</t>
        </is>
      </c>
      <c r="E6" s="2" t="inlineStr">
        <is>
          <t>หากใช้ร่วมกับ inhaled steroid ให้พ่น steroid ก่อน</t>
        </is>
      </c>
      <c r="F6" s="2" t="inlineStr">
        <is>
          <t>ผู้ป่วยทุกรายควรพกติดตัวไว้ตลอดเวลาเพราะเป็นยาช่วยบรรเทาอาการ</t>
        </is>
      </c>
      <c r="G6" s="2" t="inlineStr">
        <is>
          <t>เวลาเกิด attack ให้พ่น 2-4 puffs ทุกหนึ่งชั่วโมงอย่างมากที่สุด 3 ครั้ง</t>
        </is>
      </c>
      <c r="H6" s="2" t="inlineStr">
        <is>
          <t>ที่ห้องฉุกเฉินเปลี่ยนไปให้เป็นรูปแบบยาฉีดให้ออกฤทธิ์เร็วและเพิ่ม bioavailability</t>
        </is>
      </c>
      <c r="I6" s="8" t="n">
        <v>3</v>
      </c>
      <c r="J6" s="2"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2" t="n"/>
      <c r="L6" s="2" t="inlineStr">
        <is>
          <t>Asthma</t>
        </is>
      </c>
      <c r="M6" s="2" t="inlineStr">
        <is>
          <t>3</t>
        </is>
      </c>
      <c r="N6" s="2" t="inlineStr">
        <is>
          <t>Clinic</t>
        </is>
      </c>
      <c r="O6" s="2" t="n"/>
      <c r="P6" s="2" t="n"/>
    </row>
    <row r="7" ht="13.2" customHeight="1" s="49">
      <c r="A7" s="8" t="n">
        <v>5</v>
      </c>
      <c r="B7" s="2"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2" t="n"/>
      <c r="D7" s="2" t="inlineStr">
        <is>
          <t>Inhaled formoterol ครั้งละ 3 puffs ก่อนนอน</t>
        </is>
      </c>
      <c r="E7" s="2" t="inlineStr">
        <is>
          <t>Zileuton ครั้งละ 1 เม็ด วันละ 4 ครั้ง</t>
        </is>
      </c>
      <c r="F7" s="2" t="inlineStr">
        <is>
          <t>Sustained-released theophylline ครั้งละ 1 เม็ด วันละ 2 ครั้ง</t>
        </is>
      </c>
      <c r="G7" s="2" t="inlineStr">
        <is>
          <t>Inhaled budesonide ครั้งละ 1 puffs วันละ 2 ครั้ง</t>
        </is>
      </c>
      <c r="H7" s="2" t="inlineStr">
        <is>
          <t>Ketotifen (1mg/tablet) ครั้งละ 1 เม็ด วันละ 2 ครั้ง</t>
        </is>
      </c>
      <c r="I7" s="8" t="n">
        <v>4</v>
      </c>
      <c r="J7" s="2"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2" t="n"/>
      <c r="L7" s="2" t="inlineStr">
        <is>
          <t>Asthma</t>
        </is>
      </c>
      <c r="M7" s="2" t="inlineStr">
        <is>
          <t>4</t>
        </is>
      </c>
      <c r="N7" s="2" t="inlineStr">
        <is>
          <t>Clinic</t>
        </is>
      </c>
      <c r="O7" s="2" t="n"/>
      <c r="P7" s="2" t="n"/>
    </row>
    <row r="8" ht="13.2" customHeight="1" s="49">
      <c r="A8" s="8" t="n">
        <v>6</v>
      </c>
      <c r="B8" s="2"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2" t="n"/>
      <c r="D8" s="2" t="inlineStr">
        <is>
          <t>Inhaled salmeterol DPI ครั้งละ 1 blister ทุก 12 ชม.</t>
        </is>
      </c>
      <c r="E8" s="2" t="inlineStr">
        <is>
          <t>Inhaled cromolyn MDI (1mg/puff) ครั้งละ 2 puff วันละ 3 ครั้ง</t>
        </is>
      </c>
      <c r="F8" s="2" t="inlineStr">
        <is>
          <t>Inhaled fluticasone + salmeterol DPI ครั้งละ 1 puff วันละ 2 ครั้ง</t>
        </is>
      </c>
      <c r="G8" s="2" t="inlineStr">
        <is>
          <t>Prednisolone (5 mg/tab) ครั้งละ 5 เม็ด หลังอาหาร เช้า เย็น</t>
        </is>
      </c>
      <c r="H8" s="2" t="inlineStr">
        <is>
          <t>Inhaled ipratropium MDI ครั้งละ 2 puff วันละ 3 ครั้ง</t>
        </is>
      </c>
      <c r="I8" s="8" t="n">
        <v>3</v>
      </c>
      <c r="J8" s="2"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2" t="n"/>
      <c r="L8" s="2" t="inlineStr">
        <is>
          <t>Asthma</t>
        </is>
      </c>
      <c r="M8" s="2" t="inlineStr">
        <is>
          <t>5</t>
        </is>
      </c>
      <c r="N8" s="2" t="inlineStr">
        <is>
          <t>Clinic</t>
        </is>
      </c>
      <c r="O8" s="2" t="n"/>
      <c r="P8" s="2" t="n"/>
    </row>
    <row r="9" ht="13.2" customHeight="1" s="49">
      <c r="A9" s="8" t="n">
        <v>7</v>
      </c>
      <c r="B9" s="2" t="inlineStr">
        <is>
          <t>การใช้น้ำกลั้วคอแล้วบ้วนทิ้งหลังพ่นยา steroid ป้องกันผลข้างเคียงใดได้มากที่สุด</t>
        </is>
      </c>
      <c r="C9" s="2" t="n"/>
      <c r="D9" s="2" t="inlineStr">
        <is>
          <t>Sore throat</t>
        </is>
      </c>
      <c r="E9" s="2" t="inlineStr">
        <is>
          <t>Pharyngitis</t>
        </is>
      </c>
      <c r="F9" s="2" t="inlineStr">
        <is>
          <t>Metallic taste</t>
        </is>
      </c>
      <c r="G9" s="2" t="inlineStr">
        <is>
          <t>Gingivitis</t>
        </is>
      </c>
      <c r="H9" s="2" t="inlineStr">
        <is>
          <t>Oral thrush</t>
        </is>
      </c>
      <c r="I9" s="8" t="n">
        <v>5</v>
      </c>
      <c r="J9" s="2"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2" t="n"/>
      <c r="L9" s="2" t="inlineStr">
        <is>
          <t>Asthma</t>
        </is>
      </c>
      <c r="M9" s="2" t="inlineStr">
        <is>
          <t>6</t>
        </is>
      </c>
      <c r="N9" s="2" t="inlineStr">
        <is>
          <t>Clinic</t>
        </is>
      </c>
      <c r="O9" s="2" t="n"/>
      <c r="P9" s="2" t="n"/>
    </row>
    <row r="10" ht="13.2" customHeight="1" s="49">
      <c r="A10" s="8" t="n">
        <v>8</v>
      </c>
      <c r="B10" s="2" t="inlineStr">
        <is>
          <t>ยาใดต่อไปนี้ไม่เกิดปฏิกิริยาเมื่อรับประทานร่วมกับ theophylline</t>
        </is>
      </c>
      <c r="C10" s="2" t="n"/>
      <c r="D10" s="2" t="inlineStr">
        <is>
          <t>Ciprofloxacin</t>
        </is>
      </c>
      <c r="E10" s="2" t="inlineStr">
        <is>
          <t>Fluvoxamine</t>
        </is>
      </c>
      <c r="F10" s="2" t="inlineStr">
        <is>
          <t>Cimetidine</t>
        </is>
      </c>
      <c r="G10" s="2" t="inlineStr">
        <is>
          <t>Amoxicillin</t>
        </is>
      </c>
      <c r="H10" s="2" t="inlineStr">
        <is>
          <t>Rifampicin</t>
        </is>
      </c>
      <c r="I10" s="8" t="n">
        <v>4</v>
      </c>
      <c r="J10" s="2"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2" t="n"/>
      <c r="L10" s="2" t="inlineStr">
        <is>
          <t>Asthma</t>
        </is>
      </c>
      <c r="M10" s="2" t="inlineStr">
        <is>
          <t>7</t>
        </is>
      </c>
      <c r="N10" s="2" t="inlineStr">
        <is>
          <t>Clinic</t>
        </is>
      </c>
      <c r="O10" s="2" t="n"/>
      <c r="P10" s="2" t="n"/>
    </row>
    <row r="11" ht="13.2" customHeight="1" s="49">
      <c r="A11" s="8" t="n">
        <v>9</v>
      </c>
      <c r="B11" s="2" t="inlineStr">
        <is>
          <t>นาง ก อายุ 35 ปี มาขอซื้อยา beclomethasone inhaler และ salbutamol evohaler จากร้านขายยาที่ท่านเป็นเจ้ากิจการ จากการซักประวัติเพิ่มเติมทราบว่าผู้ป่วยรายนี้เป็นโรคหืดมานานประมาณ 15 ปีแล้ว
ปัจจัยที่เป็นสิ่งกระตุ้นทำให้เกิดการจับหืด ได้แก่</t>
        </is>
      </c>
      <c r="C11" s="2" t="n"/>
      <c r="D11" s="2" t="inlineStr">
        <is>
          <t>ความเย็น</t>
        </is>
      </c>
      <c r="E11" s="2" t="inlineStr">
        <is>
          <t>ควันบุหรี่</t>
        </is>
      </c>
      <c r="F11" s="2" t="inlineStr">
        <is>
          <t>การออกกำลังกาย</t>
        </is>
      </c>
      <c r="G11" s="2" t="inlineStr">
        <is>
          <t>กรรมพันธุ์</t>
        </is>
      </c>
      <c r="H11" s="2" t="inlineStr">
        <is>
          <t>ถูกทุกข้อ</t>
        </is>
      </c>
      <c r="I11" s="8" t="n">
        <v>5</v>
      </c>
      <c r="J11" s="2" t="inlineStr">
        <is>
          <t>✅ คำตอบที่ถูกต้อง: ข้อ จ. ถูกทุกข้อ
💡 Background:
การบริบาลเภสัชกรรมในโรคระบบหายใจ (Asthma) ตามแนวทางเวชปฏิบัติ GINA และ GOLD Guidelines
🎯 ทำไมข้อนี้ถึงถูก:
ถูกทุกข้อ เป็นทางเลือกที่ถูกต้องและสอดคล้องกับแนวทางการรักษามาตรฐาน
🔍 ข้ออื่นผิดเพราะอะไร:
• ข้อ ก. (ความเย็น): ความเย็นเป็นตัวกระตุ้นทางกายภาพ (physical trigger) แต่ยังไม่ใช่คำตอบที่สมบูรณ์ที่สุดเนื่องจากควันบุหรี่และการออกกำลังกายก็เป็นตัวกระตุ้นที่สำคัญเช่นกัน
• ข้อ ข. (ควันบุหรี่): ควันบุหรี่เป็นสารระคายเคือง (irritant trigger) ต่อเยื่อบุหลอดลม แต่ยังมีปัจจัยกระตุ้นสำคัญอื่นๆ ร่วมด้วยในตัวเลือก
• ข้อ ค. (การออกกำลังกาย): การออกกำลังกายทำให้เกิด hyperventilation และทางเดินหายใจแห้งเย็น (EIB) แต่ยังไม่ใช่คำตอบที่ครอบคลุมปัจจัยทั้งหมด
• ข้อ ง. (กรรมพันธุ์): กรรมพันธุ์ (genetics) เป็นปัจจัยเสี่ยงภายในของโฮสต์ (host predisposition) ร่วมกับสิ่งกระตุ้นจากสิ่งแวดล้อมที่ทำให้เกิดอาการกำเริบ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1" s="2" t="n"/>
      <c r="L11" s="2" t="inlineStr">
        <is>
          <t>Asthma</t>
        </is>
      </c>
      <c r="M11" s="2" t="inlineStr">
        <is>
          <t>8</t>
        </is>
      </c>
      <c r="N11" s="2" t="inlineStr">
        <is>
          <t>Clinic</t>
        </is>
      </c>
      <c r="O11" s="2" t="n"/>
      <c r="P11" s="2" t="n"/>
    </row>
    <row r="12" ht="13.2" customHeight="1" s="49">
      <c r="A12" s="8" t="n">
        <v>10</v>
      </c>
      <c r="B12" s="2" t="inlineStr">
        <is>
          <t>ลักษณะอาการของผู้ที่เป็นโรคหอบหืด คือ</t>
        </is>
      </c>
      <c r="C12" s="2" t="n"/>
      <c r="D12" s="2" t="inlineStr">
        <is>
          <t>หายใจมีเสียงหวีด, หายใจขัด, ไอ</t>
        </is>
      </c>
      <c r="E12" s="2" t="inlineStr">
        <is>
          <t>แน่นจมูก, ไอมีเสมหะ, มีน้ำมูกใส</t>
        </is>
      </c>
      <c r="F12" s="2" t="inlineStr">
        <is>
          <t>หายใจถี่, ไอมีเสียงก้อง, หายใจขัด</t>
        </is>
      </c>
      <c r="G12" s="2" t="inlineStr">
        <is>
          <t>ไอแห้งๆ, เจ็บหน้าอก, หายใจขัด</t>
        </is>
      </c>
      <c r="H12" s="2" t="inlineStr">
        <is>
          <t>ไอแห้งๆ, หายใจไม่ออก, มีน้ำมูกข้น</t>
        </is>
      </c>
      <c r="I12" s="8" t="n">
        <v>1</v>
      </c>
      <c r="J12" s="2"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2" t="n"/>
      <c r="L12" s="2" t="inlineStr">
        <is>
          <t>Asthma</t>
        </is>
      </c>
      <c r="M12" s="2" t="inlineStr">
        <is>
          <t>9</t>
        </is>
      </c>
      <c r="N12" s="2" t="inlineStr">
        <is>
          <t>Clinic</t>
        </is>
      </c>
      <c r="O12" s="2" t="n"/>
      <c r="P12" s="2" t="n"/>
    </row>
    <row r="13" ht="13.2" customHeight="1" s="49">
      <c r="A13" s="8" t="n">
        <v>11</v>
      </c>
      <c r="B13" s="2" t="inlineStr">
        <is>
          <t>พยาธิสภาพของหลอดลมในผู้ป่วยที่เป็นโรคหอบหืด ได้แก่</t>
        </is>
      </c>
      <c r="C13" s="2" t="n"/>
      <c r="D13" s="2" t="inlineStr">
        <is>
          <t>มีการอักเสบเรื้อรังของถุงลมในปอด ทำให้ถุงลมไวต่อสิ่งกระตุ้นมากกว่าปกติ ซึ่งจะเป็นแบบ reversible</t>
        </is>
      </c>
      <c r="E13" s="2" t="inlineStr">
        <is>
          <t>มีการอักเสบเรื้อรังของถุงลมในปอด ทำให้ถุงลมไวต่อสิ่งกระตุ้นมากกว่าปกติ ซึ่งจะเป็นแบบ irreversible</t>
        </is>
      </c>
      <c r="F13" s="2" t="inlineStr">
        <is>
          <t>มีการอักเสบเรื้อรังของหลอดลม ทำให้หลอดลมไวต่อสิ่งกระตุ้นมากกว่าปกติ ซึ่งจะเป็นแบบ reversible</t>
        </is>
      </c>
      <c r="G13" s="2" t="inlineStr">
        <is>
          <t>มีการอักเสบเรื้อรังของหลอดลม ทำให้หลอดลมไวต่อสิ่งกระตุ้นมากกว่าปกติ ซึ่งจะเป็นแบบ irreversible</t>
        </is>
      </c>
      <c r="H13" s="2" t="inlineStr">
        <is>
          <t>มีการอักเสบแบบเฉียบพลันของหลอดลม ทำให้หลอดลมไวต่อสิ่งกระตุ้นมากกว่าปกติ ซึ่งจะเป็นแบบ irreversible</t>
        </is>
      </c>
      <c r="I13" s="8" t="n">
        <v>3</v>
      </c>
      <c r="J13" s="2"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2" t="n"/>
      <c r="L13" s="2" t="inlineStr">
        <is>
          <t>Asthma</t>
        </is>
      </c>
      <c r="M13" s="2" t="inlineStr">
        <is>
          <t>10</t>
        </is>
      </c>
      <c r="N13" s="2" t="inlineStr">
        <is>
          <t>Clinic</t>
        </is>
      </c>
      <c r="O13" s="2" t="n"/>
      <c r="P13" s="2" t="n"/>
    </row>
    <row r="14" ht="13.2" customHeight="1" s="49">
      <c r="A14" s="8" t="n">
        <v>12</v>
      </c>
      <c r="B14" s="2" t="inlineStr">
        <is>
          <t>ข้อใดเป็นกลไกที่ถูกต้องของการเกิดโรคหอบหืด</t>
        </is>
      </c>
      <c r="C14" s="2" t="n"/>
      <c r="D14" s="2" t="inlineStr">
        <is>
          <t>Allergen กระตุ้นการสร้าง IgE ทำให้เกิด early-phaser allergic reaction</t>
        </is>
      </c>
      <c r="E14" s="2" t="inlineStr">
        <is>
          <t>Allergen กระตุ้นการหลั่ง IgE ทำให้เกิด late-phase allergic reaction</t>
        </is>
      </c>
      <c r="F14" s="2" t="inlineStr">
        <is>
          <t>Allergen จับกับ IgE บน mast cell ทำให้เกิดการหลั่ง mediators นำไปสู่ early-phase reaction</t>
        </is>
      </c>
      <c r="G14" s="2" t="inlineStr">
        <is>
          <t>Allergen จับกับ IgE บน mast cell ทำให้เกิดการหลั่ง mediators นำไปสู่ late-phase reaction</t>
        </is>
      </c>
      <c r="H14" s="2" t="inlineStr">
        <is>
          <t>Allergen form complex กับ IgE ฝังตัวบนเนื้อเยื่อของหลอดลม และกระตุ้นให้เกิดการอักเสบ</t>
        </is>
      </c>
      <c r="I14" s="8" t="n">
        <v>3</v>
      </c>
      <c r="J14" s="2"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2" t="n"/>
      <c r="L14" s="2" t="inlineStr">
        <is>
          <t>Asthma</t>
        </is>
      </c>
      <c r="M14" s="2" t="inlineStr">
        <is>
          <t>11</t>
        </is>
      </c>
      <c r="N14" s="2" t="inlineStr">
        <is>
          <t>Clinic</t>
        </is>
      </c>
      <c r="O14" s="2" t="n"/>
      <c r="P14" s="2" t="n"/>
    </row>
    <row r="15" ht="13.2" customHeight="1" s="49">
      <c r="A15" s="8" t="n">
        <v>13</v>
      </c>
      <c r="B15" s="2" t="inlineStr">
        <is>
          <t>ท่านจะแนะนำการใช้ยาพ่น beclomethasone inhaler ให้แก่ นาง ก อย่างไรบ้าง</t>
        </is>
      </c>
      <c r="C15" s="2" t="n"/>
      <c r="D15" s="2" t="inlineStr">
        <is>
          <t>หลังการพ่นยาควรบ้วนปากทุกครั้ง</t>
        </is>
      </c>
      <c r="E15" s="2" t="inlineStr">
        <is>
          <t>ไม่ควรใช้ยาร่วมกับ spacer</t>
        </is>
      </c>
      <c r="F15" s="2" t="inlineStr">
        <is>
          <t>ใช้เฉพาะเวลาที่มีการจับหืด</t>
        </is>
      </c>
      <c r="G15" s="2" t="inlineStr">
        <is>
          <t>ยาออกฤทธิ์โดยการขยายหลอดลม</t>
        </is>
      </c>
      <c r="H15" s="2" t="inlineStr">
        <is>
          <t>ถูกทุกข้อ</t>
        </is>
      </c>
      <c r="I15" s="8" t="n">
        <v>1</v>
      </c>
      <c r="J15" s="2"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2" t="n"/>
      <c r="L15" s="2" t="inlineStr">
        <is>
          <t>Asthma</t>
        </is>
      </c>
      <c r="M15" s="2" t="inlineStr">
        <is>
          <t>12</t>
        </is>
      </c>
      <c r="N15" s="2" t="inlineStr">
        <is>
          <t>Clinic</t>
        </is>
      </c>
      <c r="O15" s="2" t="n"/>
      <c r="P15" s="2" t="n"/>
    </row>
    <row r="16" ht="13.2" customHeight="1" s="49">
      <c r="A16" s="8" t="n">
        <v>14</v>
      </c>
      <c r="B16" s="2" t="inlineStr">
        <is>
          <t>อาการข้างเคียงที่อาจเกิดขึ้นจากการใช้ยาพ่น beclomethasone inhaler ได้แก่</t>
        </is>
      </c>
      <c r="C16" s="2" t="n"/>
      <c r="D16" s="2" t="inlineStr">
        <is>
          <t>เชื้อราในช่องปาก, เสียงแหบ</t>
        </is>
      </c>
      <c r="E16" s="2" t="inlineStr">
        <is>
          <t>คลื่นไส้, อาเจียน</t>
        </is>
      </c>
      <c r="F16" s="2" t="inlineStr">
        <is>
          <t>เวียนศีรษะ, ใจสั่น</t>
        </is>
      </c>
      <c r="G16" s="2" t="inlineStr">
        <is>
          <t>มือสั่น, นอนไม่หลับ</t>
        </is>
      </c>
      <c r="H16" s="2" t="inlineStr">
        <is>
          <t>ถูกทุกข้อ</t>
        </is>
      </c>
      <c r="I16" s="8" t="n">
        <v>1</v>
      </c>
      <c r="J16" s="2"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2" t="n"/>
      <c r="L16" s="2" t="inlineStr">
        <is>
          <t>Asthma</t>
        </is>
      </c>
      <c r="M16" s="2" t="inlineStr">
        <is>
          <t>13</t>
        </is>
      </c>
      <c r="N16" s="2" t="inlineStr">
        <is>
          <t>Clinic</t>
        </is>
      </c>
      <c r="O16" s="2" t="n"/>
      <c r="P16" s="2" t="n"/>
    </row>
    <row r="17" ht="13.2" customHeight="1" s="49">
      <c r="A17" s="8" t="n">
        <v>15</v>
      </c>
      <c r="B17" s="2" t="inlineStr">
        <is>
          <t>ยาในกลุ่มใดต่อไปนี้ใช้เป็นยาสำหรับควบคุมอาการหอบหืด</t>
        </is>
      </c>
      <c r="C17" s="2" t="n"/>
      <c r="D17" s="2" t="inlineStr">
        <is>
          <t>Glucocorticoid, ketotifen, short-acting beta-2 agonists</t>
        </is>
      </c>
      <c r="E17" s="2" t="inlineStr">
        <is>
          <t>leukotriene antagonist, cromolyn, anticholinergic</t>
        </is>
      </c>
      <c r="F17" s="2" t="inlineStr">
        <is>
          <t>Cromolyn, glucocorticoid, leukotriene antagonist</t>
        </is>
      </c>
      <c r="G17" s="2" t="inlineStr">
        <is>
          <t>short-acting beta-2 agonist</t>
        </is>
      </c>
      <c r="H17" s="2" t="inlineStr">
        <is>
          <t>ถูกทุกข้อ</t>
        </is>
      </c>
      <c r="I17" s="8" t="n">
        <v>2</v>
      </c>
      <c r="J17" s="2"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2" t="n"/>
      <c r="L17" s="2" t="inlineStr">
        <is>
          <t>Asthma</t>
        </is>
      </c>
      <c r="M17" s="2" t="inlineStr">
        <is>
          <t>14</t>
        </is>
      </c>
      <c r="N17" s="2" t="inlineStr">
        <is>
          <t>Clinic</t>
        </is>
      </c>
      <c r="O17" s="2" t="n"/>
      <c r="P17" s="2" t="n"/>
    </row>
    <row r="18" ht="13.2" customHeight="1" s="49">
      <c r="A18" s="8" t="n">
        <v>16</v>
      </c>
      <c r="B18"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2" t="n"/>
      <c r="D18" s="2" t="inlineStr">
        <is>
          <t>สิ่งกระตุ้น (triggers) ต่าง ๆ เช่น เสียง แสง ความร้อน เป็นต้น</t>
        </is>
      </c>
      <c r="E18" s="2" t="inlineStr">
        <is>
          <t>การตอบสนองต่อสิ่งเร้าหรือระบบภูมิคุ้มกันร่างกายที่มากเกินไป</t>
        </is>
      </c>
      <c r="F18" s="2" t="inlineStr">
        <is>
          <t>เป็นอาการร่วมเมื่อผู้ป่วยเกิดอาการใช้</t>
        </is>
      </c>
      <c r="G18" s="2" t="inlineStr">
        <is>
          <t>ความผิดปกติของปอด</t>
        </is>
      </c>
      <c r="H18" s="2" t="inlineStr">
        <is>
          <t>การออกกำลังกาย</t>
        </is>
      </c>
      <c r="I18" s="8" t="n">
        <v>2</v>
      </c>
      <c r="J18" s="2"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2" t="n"/>
      <c r="L18" s="2" t="inlineStr">
        <is>
          <t>Asthma</t>
        </is>
      </c>
      <c r="M18" s="2" t="inlineStr">
        <is>
          <t>15</t>
        </is>
      </c>
      <c r="N18" s="2" t="inlineStr">
        <is>
          <t>Clinic</t>
        </is>
      </c>
      <c r="O18" s="2" t="n"/>
      <c r="P18" s="2" t="n"/>
    </row>
    <row r="19" ht="13.2" customHeight="1" s="49">
      <c r="A19" s="8" t="n">
        <v>17</v>
      </c>
      <c r="B19" s="2"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2" t="n"/>
      <c r="D19" s="2" t="inlineStr">
        <is>
          <t>CK</t>
        </is>
      </c>
      <c r="E19" s="2" t="inlineStr">
        <is>
          <t>MCHC</t>
        </is>
      </c>
      <c r="F19" s="2" t="inlineStr">
        <is>
          <t>GFR</t>
        </is>
      </c>
      <c r="G19" s="2" t="inlineStr">
        <is>
          <t>PaO2</t>
        </is>
      </c>
      <c r="H19" s="2" t="inlineStr">
        <is>
          <t>PEF</t>
        </is>
      </c>
      <c r="I19" s="8" t="n">
        <v>5</v>
      </c>
      <c r="J19" s="2"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2" t="n"/>
      <c r="L19" s="2" t="inlineStr">
        <is>
          <t>Asthma</t>
        </is>
      </c>
      <c r="M19" s="2" t="inlineStr">
        <is>
          <t>16</t>
        </is>
      </c>
      <c r="N19" s="2" t="inlineStr">
        <is>
          <t>Clinic</t>
        </is>
      </c>
      <c r="O19" s="2" t="n"/>
      <c r="P19" s="2" t="n"/>
    </row>
    <row r="20" ht="13.2" customHeight="1" s="49">
      <c r="A20" s="8" t="n">
        <v>18</v>
      </c>
      <c r="B20" s="2" t="inlineStr">
        <is>
          <t>ข้อใดคือข้อดีจากการใช้ยา beta 2 - selective agonist</t>
        </is>
      </c>
      <c r="C20" s="2" t="n"/>
      <c r="D20" s="2" t="inlineStr">
        <is>
          <t>ลดอาการข้างเคียงต่อระบบประสาท</t>
        </is>
      </c>
      <c r="E20" s="2" t="inlineStr">
        <is>
          <t>ลดอาการข้างเคียงต่อหัวใจ</t>
        </is>
      </c>
      <c r="F20" s="2" t="inlineStr">
        <is>
          <t>ลดอาการข้างเคียงทางผิวหนัง</t>
        </is>
      </c>
      <c r="G20" s="2" t="inlineStr">
        <is>
          <t>พิษบตับน้อย</t>
        </is>
      </c>
      <c r="H20" s="2" t="inlineStr">
        <is>
          <t>พิษต่อไตน้อย</t>
        </is>
      </c>
      <c r="I20" s="8" t="n">
        <v>2</v>
      </c>
      <c r="J20" s="2"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2" t="n"/>
      <c r="L20" s="2" t="inlineStr">
        <is>
          <t>Asthma</t>
        </is>
      </c>
      <c r="M20" s="2" t="inlineStr">
        <is>
          <t>17</t>
        </is>
      </c>
      <c r="N20" s="2" t="inlineStr">
        <is>
          <t>Clinic</t>
        </is>
      </c>
      <c r="O20" s="2" t="n"/>
      <c r="P20" s="2" t="n"/>
    </row>
    <row r="21" ht="13.2" customHeight="1" s="49">
      <c r="A21" s="8" t="n">
        <v>19</v>
      </c>
      <c r="B21" s="2" t="inlineStr">
        <is>
          <t>ข้อใดคือคำแนะนำการใช้ยา salbutamol inhaler ในผู้ป่วยรายนี้</t>
        </is>
      </c>
      <c r="C21" s="2" t="n"/>
      <c r="D21" s="2" t="inlineStr">
        <is>
          <t>พ่น 1-2 puff ก่อนนอน</t>
        </is>
      </c>
      <c r="E21" s="2" t="inlineStr">
        <is>
          <t>เมื่อมีอาการกำเริบพ่น 1-2 puff</t>
        </is>
      </c>
      <c r="F21" s="2" t="inlineStr">
        <is>
          <t>สามารถพ่นหลังรับประทานอาหารทันทีได้</t>
        </is>
      </c>
      <c r="G21" s="2" t="inlineStr">
        <is>
          <t>พ่น 1-2 puff ก่อนและหลังออกกำลังกาย</t>
        </is>
      </c>
      <c r="H21" s="2" t="inlineStr">
        <is>
          <t>เพื่อป้องกันการกำเริบพ่น 1-2 puff ก่อนออกกำลังกายอย่างน้อย 30 นาที</t>
        </is>
      </c>
      <c r="I21" s="8" t="n">
        <v>2</v>
      </c>
      <c r="J21" s="2"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2" t="n"/>
      <c r="L21" s="2" t="inlineStr">
        <is>
          <t>Asthma</t>
        </is>
      </c>
      <c r="M21" s="2" t="inlineStr">
        <is>
          <t>18</t>
        </is>
      </c>
      <c r="N21" s="2" t="inlineStr">
        <is>
          <t>Clinic</t>
        </is>
      </c>
      <c r="O21" s="2" t="n"/>
      <c r="P21" s="2" t="n"/>
    </row>
    <row r="22" ht="13.2" customHeight="1" s="49">
      <c r="A22" s="8" t="n">
        <v>20</v>
      </c>
      <c r="B22" s="2" t="inlineStr">
        <is>
          <t>ถ้าเภสัชกรต้องการสืบค้นแนวทางการรักษาโรคหอบหืดจะค้นจากแหล่งใด</t>
        </is>
      </c>
      <c r="C22" s="2" t="n"/>
      <c r="D22" s="2" t="inlineStr">
        <is>
          <t>JNC 7</t>
        </is>
      </c>
      <c r="E22" s="2" t="inlineStr">
        <is>
          <t>GINA</t>
        </is>
      </c>
      <c r="F22" s="2" t="inlineStr">
        <is>
          <t>GOLD</t>
        </is>
      </c>
      <c r="G22" s="2" t="inlineStr">
        <is>
          <t>NCEP III</t>
        </is>
      </c>
      <c r="H22" s="2" t="inlineStr">
        <is>
          <t>Stanford</t>
        </is>
      </c>
      <c r="I22" s="8" t="n">
        <v>2</v>
      </c>
      <c r="J22" s="2"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2" t="n"/>
      <c r="L22" s="2" t="inlineStr">
        <is>
          <t>Asthma</t>
        </is>
      </c>
      <c r="M22" s="2" t="inlineStr">
        <is>
          <t>19</t>
        </is>
      </c>
      <c r="N22" s="2" t="inlineStr">
        <is>
          <t>Clinic</t>
        </is>
      </c>
      <c r="O22" s="2" t="n"/>
      <c r="P22" s="2" t="n"/>
    </row>
    <row r="23" ht="13.2" customHeight="1" s="49">
      <c r="A23" s="8" t="n">
        <v>21</v>
      </c>
      <c r="B23" s="2" t="inlineStr">
        <is>
          <t>ข้อใดกล่าวถูกต้องเกี่ยวกับวิธีการเก็บรักษายา salbutamol MDI</t>
        </is>
      </c>
      <c r="C23" s="2" t="n"/>
      <c r="D23" s="2" t="inlineStr">
        <is>
          <t>เก็บไว้ที่อุณหภูมิห้อง</t>
        </is>
      </c>
      <c r="E23" s="2" t="inlineStr">
        <is>
          <t>เมื่อเปิดใช้แล้วต้องใช้ให้หมดภายใน 7 วัน</t>
        </is>
      </c>
      <c r="F23" s="2" t="inlineStr">
        <is>
          <t>เมื่อเปิดใช้แล้วสามารถเก็บไว้ได้ 14 วัน</t>
        </is>
      </c>
      <c r="G23" s="2" t="inlineStr">
        <is>
          <t>เก็บในลักษณะหงายหรือปากขวดชี้ขึ้น</t>
        </is>
      </c>
      <c r="H23" s="2" t="inlineStr">
        <is>
          <t>เก็บในตู้เย็นที่อุณหภูมิ 2-8 °C</t>
        </is>
      </c>
      <c r="I23" s="8" t="n">
        <v>1</v>
      </c>
      <c r="J23" s="2"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2" t="n"/>
      <c r="L23" s="2" t="inlineStr">
        <is>
          <t>Asthma</t>
        </is>
      </c>
      <c r="M23" s="2" t="inlineStr">
        <is>
          <t>20</t>
        </is>
      </c>
      <c r="N23" s="2" t="inlineStr">
        <is>
          <t>Clinic</t>
        </is>
      </c>
      <c r="O23" s="2" t="n"/>
      <c r="P23" s="2" t="n"/>
    </row>
    <row r="24" ht="13.2" customHeight="1" s="49">
      <c r="A24" s="8" t="n">
        <v>22</v>
      </c>
      <c r="B24" s="2" t="inlineStr">
        <is>
          <t>ผู้ป่วยใช้ยาแล้วเกิดคราบฝ้าขาวที่ลิ้น ซึ่งเป็นผลจากการใช้ยาในข้อใด</t>
        </is>
      </c>
      <c r="C24" s="2" t="n"/>
      <c r="D24" s="2" t="inlineStr">
        <is>
          <t>Salbutamol inhaler</t>
        </is>
      </c>
      <c r="E24" s="2" t="inlineStr">
        <is>
          <t>Budesonide inhaler</t>
        </is>
      </c>
      <c r="F24" s="2" t="inlineStr">
        <is>
          <t>Amoxicillin</t>
        </is>
      </c>
      <c r="G24" s="2" t="inlineStr">
        <is>
          <t>Loratadine</t>
        </is>
      </c>
      <c r="H24" s="2" t="inlineStr">
        <is>
          <t>Salbutamol syrup</t>
        </is>
      </c>
      <c r="I24" s="8" t="n">
        <v>2</v>
      </c>
      <c r="J24" s="2"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2" t="n"/>
      <c r="L24" s="2" t="inlineStr">
        <is>
          <t>Asthma</t>
        </is>
      </c>
      <c r="M24" s="2" t="inlineStr">
        <is>
          <t>21</t>
        </is>
      </c>
      <c r="N24" s="2" t="inlineStr">
        <is>
          <t>Clinic</t>
        </is>
      </c>
      <c r="O24" s="2" t="n"/>
      <c r="P24" s="2" t="n"/>
    </row>
    <row r="25" ht="13.2" customHeight="1" s="49">
      <c r="A25" s="8" t="n">
        <v>23</v>
      </c>
      <c r="B25" s="2"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2" t="n"/>
      <c r="D25" s="2" t="inlineStr">
        <is>
          <t>Bronchoconstriction</t>
        </is>
      </c>
      <c r="E25" s="2" t="inlineStr">
        <is>
          <t>Hypokalemia</t>
        </is>
      </c>
      <c r="F25" s="2" t="inlineStr">
        <is>
          <t>Constipation</t>
        </is>
      </c>
      <c r="G25" s="2" t="inlineStr">
        <is>
          <t>Blurred vision</t>
        </is>
      </c>
      <c r="H25" s="2" t="inlineStr">
        <is>
          <t>Hypotension</t>
        </is>
      </c>
      <c r="I25" s="8" t="n">
        <v>2</v>
      </c>
      <c r="J25" s="2"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2" t="n"/>
      <c r="L25" s="2" t="inlineStr">
        <is>
          <t>Asthma</t>
        </is>
      </c>
      <c r="M25" s="2" t="inlineStr">
        <is>
          <t>22</t>
        </is>
      </c>
      <c r="N25" s="2" t="inlineStr">
        <is>
          <t>Clinic</t>
        </is>
      </c>
      <c r="O25" s="2" t="n"/>
      <c r="P25" s="2" t="n"/>
    </row>
    <row r="26" ht="13.2" customHeight="1" s="49">
      <c r="A26" s="8" t="n">
        <v>24</v>
      </c>
      <c r="B26" s="2" t="inlineStr">
        <is>
          <t>ข้อใดไม่ใช่ปัจจัยเสี่ยงต่อการเกิด COPD</t>
        </is>
      </c>
      <c r="C26" s="2" t="n"/>
      <c r="D26" s="2" t="inlineStr">
        <is>
          <t>ผู้ป่วยสูงอายุ</t>
        </is>
      </c>
      <c r="E26" s="2" t="inlineStr">
        <is>
          <t>มีประวัติสูบบุหรี่</t>
        </is>
      </c>
      <c r="F26" s="2" t="inlineStr">
        <is>
          <t>ทำงานในโรงงานถลุงเหล็ก</t>
        </is>
      </c>
      <c r="G26" s="2" t="inlineStr">
        <is>
          <t>การขาดสาร alpha-1 antitrypsin</t>
        </is>
      </c>
      <c r="H26" s="2" t="inlineStr">
        <is>
          <t>มีภาวะ airway hyper-responsiveness</t>
        </is>
      </c>
      <c r="I26" s="8" t="n">
        <v>5</v>
      </c>
      <c r="J26" s="2"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2" t="n"/>
      <c r="L26" s="2" t="inlineStr">
        <is>
          <t>Asthma</t>
        </is>
      </c>
      <c r="M26" s="2" t="inlineStr">
        <is>
          <t>23</t>
        </is>
      </c>
      <c r="N26" s="2" t="inlineStr">
        <is>
          <t>Clinic</t>
        </is>
      </c>
      <c r="O26" s="2" t="n"/>
      <c r="P26" s="2" t="n"/>
    </row>
    <row r="27" ht="13.2" customHeight="1" s="49">
      <c r="A27" s="8" t="n">
        <v>25</v>
      </c>
      <c r="B27" s="2" t="inlineStr">
        <is>
          <t>ข้อใดต่อไปนี้กล่าวถูก</t>
        </is>
      </c>
      <c r="C27" s="2" t="n"/>
      <c r="D27" s="2" t="inlineStr">
        <is>
          <t>โรค COPD พบบ่อยในผู้ป่วยทุกเพศทุกวัย</t>
        </is>
      </c>
      <c r="E27" s="2" t="inlineStr">
        <is>
          <t>ยาหลักที่ใช้ใน COPD คือ ยาพ่น corticosteroid</t>
        </is>
      </c>
      <c r="F27" s="2" t="inlineStr">
        <is>
          <t>ใช้ peak flow meter ในการแบ่งความรุนแรงของ COPD</t>
        </is>
      </c>
      <c r="G27" s="2" t="inlineStr">
        <is>
          <t>สามารถใช้ oral หรือ inhale glucocorticosteroid เพื่อลดภาวะ exacerbation ในผู้ป่วย COPD ได้</t>
        </is>
      </c>
      <c r="H27" s="2" t="inlineStr">
        <is>
          <t>สาเหตุหลักที่ทำให้เกิด asthma คือการสูบบุหรี่</t>
        </is>
      </c>
      <c r="I27" s="8" t="n">
        <v>3</v>
      </c>
      <c r="J27" s="2"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2" t="n"/>
      <c r="L27" s="2" t="inlineStr">
        <is>
          <t>Asthma</t>
        </is>
      </c>
      <c r="M27" s="2" t="inlineStr">
        <is>
          <t>24</t>
        </is>
      </c>
      <c r="N27" s="2" t="inlineStr">
        <is>
          <t>Clinic</t>
        </is>
      </c>
      <c r="O27" s="2" t="n"/>
      <c r="P27" s="2" t="n"/>
    </row>
    <row r="28" ht="13.2" customHeight="1" s="49">
      <c r="A28" s="8" t="n">
        <v>26</v>
      </c>
      <c r="B28" s="2" t="inlineStr">
        <is>
          <t>เครื่องมือใดต่อไปนี้ใช้ตรวจสมรรถภาพปอด เพื่อใช้ในการวินิจฉัยโรค COPD</t>
        </is>
      </c>
      <c r="C28" s="2" t="n"/>
      <c r="D28" s="2" t="inlineStr">
        <is>
          <t>Peak flow meter</t>
        </is>
      </c>
      <c r="E28" s="2" t="inlineStr">
        <is>
          <t>Computed tomography</t>
        </is>
      </c>
      <c r="F28" s="2" t="inlineStr">
        <is>
          <t>Spirometer</t>
        </is>
      </c>
      <c r="G28" s="2" t="inlineStr">
        <is>
          <t>Chest x-ray</t>
        </is>
      </c>
      <c r="H28" s="2" t="inlineStr">
        <is>
          <t>MRI</t>
        </is>
      </c>
      <c r="I28" s="8" t="n">
        <v>3</v>
      </c>
      <c r="J28" s="2"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2" t="n"/>
      <c r="L28" s="2" t="inlineStr">
        <is>
          <t>COPD</t>
        </is>
      </c>
      <c r="M28" s="2" t="inlineStr">
        <is>
          <t>25</t>
        </is>
      </c>
      <c r="N28" s="2" t="inlineStr">
        <is>
          <t>Clinic</t>
        </is>
      </c>
      <c r="O28" s="2" t="n"/>
      <c r="P28" s="2" t="n"/>
    </row>
    <row r="29" ht="13.2" customHeight="1" s="49">
      <c r="A29" s="8" t="n">
        <v>27</v>
      </c>
      <c r="B29"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2" t="n"/>
      <c r="D29" s="2" t="inlineStr">
        <is>
          <t>Hydroxyzine</t>
        </is>
      </c>
      <c r="E29" s="2" t="inlineStr">
        <is>
          <t>Ephedrine Intranasal</t>
        </is>
      </c>
      <c r="F29" s="2" t="inlineStr">
        <is>
          <t>Prednisolone</t>
        </is>
      </c>
      <c r="G29" s="2" t="inlineStr">
        <is>
          <t>Pseudoephedrine</t>
        </is>
      </c>
      <c r="H29" s="2" t="inlineStr">
        <is>
          <t>Loratadine + pseudoephedrine</t>
        </is>
      </c>
      <c r="I29" s="8" t="n">
        <v>5</v>
      </c>
      <c r="J29" s="2"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2" t="n"/>
      <c r="L29" s="2" t="inlineStr">
        <is>
          <t>Asthma</t>
        </is>
      </c>
      <c r="M29" s="2" t="inlineStr">
        <is>
          <t>26</t>
        </is>
      </c>
      <c r="N29" s="2" t="inlineStr">
        <is>
          <t>Clinic</t>
        </is>
      </c>
      <c r="O29" s="2" t="n"/>
      <c r="P29" s="2" t="n"/>
    </row>
    <row r="30" ht="13.2" customHeight="1" s="49">
      <c r="A30" s="8" t="n">
        <v>28</v>
      </c>
      <c r="B30" s="2"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2" t="n"/>
      <c r="D30" s="2" t="inlineStr">
        <is>
          <t>จ่ายยา</t>
        </is>
      </c>
      <c r="E30" s="2" t="inlineStr">
        <is>
          <t>ไม่จ่ายยา เนื่องจากเป็นยาอันตราย</t>
        </is>
      </c>
      <c r="F30" s="2" t="inlineStr">
        <is>
          <t>ไม่จ่ายยา เนื่องจากเป็นยาควบคุมพิเศษ</t>
        </is>
      </c>
      <c r="G30" s="2" t="inlineStr">
        <is>
          <t>จ่ายยา แต่จ่ายปริมาณน้อยกว่า 5 เม็ด</t>
        </is>
      </c>
      <c r="H30" s="2" t="inlineStr">
        <is>
          <t>จ่ายยา แล้วกำชับว่า เป็นความลับ</t>
        </is>
      </c>
      <c r="I30" s="8" t="n">
        <v>3</v>
      </c>
      <c r="J30" s="2"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2" t="n"/>
      <c r="L30" s="2" t="inlineStr">
        <is>
          <t>Asthma</t>
        </is>
      </c>
      <c r="M30" s="2" t="inlineStr">
        <is>
          <t>27</t>
        </is>
      </c>
      <c r="N30" s="2" t="inlineStr">
        <is>
          <t>Clinic</t>
        </is>
      </c>
      <c r="O30" s="2" t="n"/>
      <c r="P30" s="2" t="n"/>
    </row>
    <row r="31" ht="13.2" customHeight="1" s="49">
      <c r="A31" s="8" t="n">
        <v>29</v>
      </c>
      <c r="B31" s="2" t="inlineStr">
        <is>
          <t>ข้อใดเป็นกลไกการออกฤทธิ์ของยา prednisolone</t>
        </is>
      </c>
      <c r="C31" s="2" t="n"/>
      <c r="D31" s="2" t="inlineStr">
        <is>
          <t>ยับยั้งการทำงานของเอนไซม์ xanthine oxidase</t>
        </is>
      </c>
      <c r="E31" s="2" t="inlineStr">
        <is>
          <t>ยับยั้งการทำงานของเอนไซม์ cyclooxygenase</t>
        </is>
      </c>
      <c r="F31" s="2" t="inlineStr">
        <is>
          <t>ยับยั้งการทำงานของเอนไซม์ phospholipase</t>
        </is>
      </c>
      <c r="G31" s="2" t="inlineStr">
        <is>
          <t>ยับยั้งการทำงานของเอนไซม์ 5- lipo-oxygenase</t>
        </is>
      </c>
      <c r="H31" s="2" t="inlineStr">
        <is>
          <t>ยับยั้งการทำงานของเอนไซม์ esterase</t>
        </is>
      </c>
      <c r="I31" s="8" t="n">
        <v>3</v>
      </c>
      <c r="J31" s="2"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2" t="n"/>
      <c r="L31" s="2" t="inlineStr">
        <is>
          <t>Asthma</t>
        </is>
      </c>
      <c r="M31" s="2" t="inlineStr">
        <is>
          <t>28</t>
        </is>
      </c>
      <c r="N31" s="2" t="inlineStr">
        <is>
          <t>Clinic</t>
        </is>
      </c>
      <c r="O31" s="2" t="n"/>
      <c r="P31" s="2" t="n"/>
    </row>
    <row r="32" ht="13.2" customHeight="1" s="49">
      <c r="A32" s="8" t="n">
        <v>30</v>
      </c>
      <c r="B32" s="2"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2" t="n"/>
      <c r="D32" s="2" t="inlineStr">
        <is>
          <t>กรรมพันธุ์</t>
        </is>
      </c>
      <c r="E32" s="2" t="inlineStr">
        <is>
          <t>ขนสัตว์ ไรฝุ่น</t>
        </is>
      </c>
      <c r="F32" s="2" t="inlineStr">
        <is>
          <t>การรับประทานยาบางประเภท เช่น NSAIDs</t>
        </is>
      </c>
      <c r="G32" s="2" t="inlineStr">
        <is>
          <t>การออกกำลังกาย</t>
        </is>
      </c>
      <c r="H32" s="2" t="inlineStr">
        <is>
          <t>การดื่มกาแฟ</t>
        </is>
      </c>
      <c r="I32" s="8" t="n">
        <v>5</v>
      </c>
      <c r="J32" s="2"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2" t="n"/>
      <c r="L32" s="2" t="inlineStr">
        <is>
          <t>Asthma</t>
        </is>
      </c>
      <c r="M32" s="2" t="inlineStr">
        <is>
          <t>29</t>
        </is>
      </c>
      <c r="N32" s="2" t="inlineStr">
        <is>
          <t>Clinic</t>
        </is>
      </c>
      <c r="O32" s="2" t="n"/>
      <c r="P32" s="2" t="n"/>
    </row>
    <row r="33" ht="13.2" customHeight="1" s="49">
      <c r="A33" s="8" t="n">
        <v>31</v>
      </c>
      <c r="B33" s="2" t="inlineStr">
        <is>
          <t>ผลทางห้องปฏิบัติการที่แสดงว่าผู้ป่วยเป็นโรคหอบหืด คือ</t>
        </is>
      </c>
      <c r="C33" s="2" t="n"/>
      <c r="D33" s="2" t="inlineStr">
        <is>
          <t>FEV1 (post bronchodilator) มากกว่า 12%</t>
        </is>
      </c>
      <c r="E33" s="2" t="inlineStr">
        <is>
          <t>PEF (post bronchodilator) มากกว่า 25%</t>
        </is>
      </c>
      <c r="F33" s="2" t="inlineStr">
        <is>
          <t>ค่า PaO2 น้อยกว่า 80%</t>
        </is>
      </c>
      <c r="G33" s="2" t="inlineStr">
        <is>
          <t>ข้อ ก. และ ข. ถูก</t>
        </is>
      </c>
      <c r="H33" s="2" t="inlineStr">
        <is>
          <t>ถูกทุกข้อ</t>
        </is>
      </c>
      <c r="I33" s="8" t="n">
        <v>1</v>
      </c>
      <c r="J33" s="2"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2" t="n"/>
      <c r="L33" s="2" t="inlineStr">
        <is>
          <t>Asthma</t>
        </is>
      </c>
      <c r="M33" s="2" t="inlineStr">
        <is>
          <t>30</t>
        </is>
      </c>
      <c r="N33" s="2" t="inlineStr">
        <is>
          <t>Clinic</t>
        </is>
      </c>
      <c r="O33" s="2" t="n"/>
      <c r="P33" s="2" t="n"/>
    </row>
    <row r="34" ht="13.2" customHeight="1" s="49">
      <c r="A34" s="8" t="n">
        <v>32</v>
      </c>
      <c r="B34" s="2" t="inlineStr">
        <is>
          <t>เราควรแนะนำผู้ป่วยเมื่อมีการใช้ยาพ่น Budecort อย่างไร</t>
        </is>
      </c>
      <c r="C34" s="2" t="n"/>
      <c r="D34" s="2" t="inlineStr">
        <is>
          <t>หลีกเลี่ยงการใช้ยาร่วมกับ spacer</t>
        </is>
      </c>
      <c r="E34" s="2" t="inlineStr">
        <is>
          <t>หากมีการใช้ยาพร้อมกันกับยาพ่น Ventolin ให้พ่นยาตัวนี้ก่อนพ่น Ventolin</t>
        </is>
      </c>
      <c r="F34" s="2" t="inlineStr">
        <is>
          <t>ยาออกฤทธิ์โดยการขยายหลอดลม</t>
        </is>
      </c>
      <c r="G34" s="2" t="inlineStr">
        <is>
          <t>ให้บ้วนปาก กลั้วคอทุกครั้งหลังจากใช้ยา</t>
        </is>
      </c>
      <c r="H34" s="2" t="inlineStr">
        <is>
          <t>เก็บหลอดยาไว้ในตู้เย็น</t>
        </is>
      </c>
      <c r="I34" s="8" t="n">
        <v>4</v>
      </c>
      <c r="J34" s="2"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2" t="n"/>
      <c r="L34" s="2" t="inlineStr">
        <is>
          <t>Asthma</t>
        </is>
      </c>
      <c r="M34" s="2" t="inlineStr">
        <is>
          <t>31</t>
        </is>
      </c>
      <c r="N34" s="2" t="inlineStr">
        <is>
          <t>Clinic</t>
        </is>
      </c>
      <c r="O34" s="2" t="n"/>
      <c r="P34" s="2" t="n"/>
    </row>
    <row r="35" ht="13.2" customHeight="1" s="49">
      <c r="A35" s="8" t="n">
        <v>33</v>
      </c>
      <c r="B35" s="2" t="inlineStr">
        <is>
          <t>เกี่ยวกับ Ventolin ข้อใดผิด</t>
        </is>
      </c>
      <c r="C35" s="2" t="n"/>
      <c r="D35" s="2" t="inlineStr">
        <is>
          <t>ประกอบด้วยยา albuterol ซึ่งเป็น beta2 agonist ชนิดออกฤทธิ์สั้น</t>
        </is>
      </c>
      <c r="E35" s="2" t="inlineStr">
        <is>
          <t>ในผู้ป่วยรายนี้ใช้เพื่อบรรเทาอาการหอบหืดที่เกิดขึ้นเป็นครั้งคราวเท่านั้น</t>
        </is>
      </c>
      <c r="F35" s="2" t="inlineStr">
        <is>
          <t>อาการข้างเคียงที่อาจพบ คือ มือสั่น ปากแห้ง เหนื่อย หัวใจเต้นช้า</t>
        </is>
      </c>
      <c r="G35" s="2" t="inlineStr">
        <is>
          <t>กลไกของยาคือ กระตุ้นการสร้าง adenylate cyclase เพิ่มการสร้าง cyclic AMP</t>
        </is>
      </c>
      <c r="H35" s="2" t="inlineStr">
        <is>
          <t>Tiotropium Respimat 2.5 mcg 2 puffs OD</t>
        </is>
      </c>
      <c r="I35" s="8" t="n">
        <v>3</v>
      </c>
      <c r="J35" s="2"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2" t="n"/>
      <c r="L35" s="2" t="inlineStr">
        <is>
          <t>Asthma</t>
        </is>
      </c>
      <c r="M35" s="2" t="inlineStr">
        <is>
          <t>32</t>
        </is>
      </c>
      <c r="N35" s="2" t="inlineStr">
        <is>
          <t>Clinic</t>
        </is>
      </c>
      <c r="O35" s="2" t="n"/>
      <c r="P35" s="2" t="n"/>
    </row>
    <row r="36" ht="13.2" customHeight="1" s="49">
      <c r="A36" s="8" t="n">
        <v>34</v>
      </c>
      <c r="B36" s="2"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2" t="n"/>
      <c r="D36" s="2" t="inlineStr">
        <is>
          <t>Inhaled ipratropium MDI</t>
        </is>
      </c>
      <c r="E36" s="2" t="inlineStr">
        <is>
          <t>Inhaled cromolin MDI</t>
        </is>
      </c>
      <c r="F36" s="2" t="inlineStr">
        <is>
          <t>Oral glucocorticosteroid</t>
        </is>
      </c>
      <c r="G36" s="2" t="inlineStr">
        <is>
          <t>Inhaled salmeterol MDI</t>
        </is>
      </c>
      <c r="H36" s="2" t="inlineStr">
        <is>
          <t>Symbicort turbuhaler</t>
        </is>
      </c>
      <c r="I36" s="8" t="n">
        <v>4</v>
      </c>
      <c r="J36" s="2"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2" t="n"/>
      <c r="L36" s="2" t="inlineStr">
        <is>
          <t>Asthma</t>
        </is>
      </c>
      <c r="M36" s="2" t="inlineStr">
        <is>
          <t>33</t>
        </is>
      </c>
      <c r="N36" s="2" t="inlineStr">
        <is>
          <t>Clinic</t>
        </is>
      </c>
      <c r="O36" s="2" t="n"/>
      <c r="P36" s="2" t="n"/>
    </row>
    <row r="37" ht="13.2" customHeight="1" s="49">
      <c r="A37" s="8" t="n">
        <v>35</v>
      </c>
      <c r="B37" s="2" t="inlineStr">
        <is>
          <t>เกี่ยวกับยา theophylline ข้อใดไม่ถูกต้อง</t>
        </is>
      </c>
      <c r="C37" s="2" t="n"/>
      <c r="D37" s="2" t="inlineStr">
        <is>
          <t>มีฤทธิ์ขยายหลอดลมและยังแก้อักเสบได้ด้วย</t>
        </is>
      </c>
      <c r="E37" s="2" t="inlineStr">
        <is>
          <t>มีช่วงการรักษาที่แคบ (therapeutic range = 5-20 mg/L)</t>
        </is>
      </c>
      <c r="F37" s="2" t="inlineStr">
        <is>
          <t>อาการไม่พึงประสงค์ที่พบได้คือ ไม่สบายท้อง คลื่นไส้ อาเจียน และอาจเกิด arrhythmia ได้</t>
        </is>
      </c>
      <c r="G37" s="2" t="inlineStr">
        <is>
          <t>ระดับยา theophylline อาจเพิ่มสูงได้หากใช้ร่วมกับยากันชักพวก phenytoin, phenobarbital, carbamazepine</t>
        </is>
      </c>
      <c r="H37" s="2" t="inlineStr">
        <is>
          <t>Oral contraceptive สามารถเพิ่ม level ของยา Theophylline ในเลือดได้</t>
        </is>
      </c>
      <c r="I37" s="8" t="n">
        <v>4</v>
      </c>
      <c r="J37" s="2"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2" t="n"/>
      <c r="L37" s="2" t="inlineStr">
        <is>
          <t>Asthma</t>
        </is>
      </c>
      <c r="M37" s="2" t="inlineStr">
        <is>
          <t>34</t>
        </is>
      </c>
      <c r="N37" s="2" t="inlineStr">
        <is>
          <t>Clinic</t>
        </is>
      </c>
      <c r="O37" s="2" t="n"/>
      <c r="P37" s="2" t="n"/>
    </row>
    <row r="38" ht="13.2" customHeight="1" s="49">
      <c r="A38" s="8" t="n">
        <v>36</v>
      </c>
      <c r="B38" s="2" t="inlineStr">
        <is>
          <t>ยาเหล่านี้มีข้อบ่งใช้สำหรับควบคุมอาการของโรคหอบหืด ยกเว้น</t>
        </is>
      </c>
      <c r="C38" s="2" t="n"/>
      <c r="D38" s="2" t="inlineStr">
        <is>
          <t>Systemic glucocorticosteroid</t>
        </is>
      </c>
      <c r="E38" s="2" t="inlineStr">
        <is>
          <t>Long acting anticholinergics</t>
        </is>
      </c>
      <c r="F38" s="2" t="inlineStr">
        <is>
          <t>Methyl xanthine</t>
        </is>
      </c>
      <c r="G38" s="2" t="inlineStr">
        <is>
          <t>Long acting inhaled beta2 agonist</t>
        </is>
      </c>
      <c r="H38" s="2" t="inlineStr">
        <is>
          <t>Short acting beta2 agonist</t>
        </is>
      </c>
      <c r="I38" s="8" t="n">
        <v>5</v>
      </c>
      <c r="J38" s="2"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2" t="n"/>
      <c r="L38" s="2" t="inlineStr">
        <is>
          <t>Asthma</t>
        </is>
      </c>
      <c r="M38" s="2" t="inlineStr">
        <is>
          <t>35</t>
        </is>
      </c>
      <c r="N38" s="2" t="inlineStr">
        <is>
          <t>Clinic</t>
        </is>
      </c>
      <c r="O38" s="2" t="n"/>
      <c r="P38" s="2" t="n"/>
    </row>
    <row r="39" ht="13.2" customHeight="1" s="49">
      <c r="A39" s="8" t="n">
        <v>37</v>
      </c>
      <c r="B39"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2" t="n"/>
      <c r="D39" s="2" t="inlineStr">
        <is>
          <t>ความคลาดเคลื่อนที่เกิดจากการไม่ระบุวิธีใช้ให้ชัดเจน</t>
        </is>
      </c>
      <c r="E39" s="2" t="inlineStr">
        <is>
          <t>ความคลาดเคลื่อนจากการจ่ายยาผิดชนิด</t>
        </is>
      </c>
      <c r="F39" s="2" t="inlineStr">
        <is>
          <t>ความคลาดเคลื่อนที่เกิดจากไม่มียาในบัญชียาของโรงพยาบาล</t>
        </is>
      </c>
      <c r="G39" s="2" t="inlineStr">
        <is>
          <t>ความคลาดเคลื่อนจากการจ่ายยาผิดความแรง</t>
        </is>
      </c>
      <c r="H39" s="2" t="inlineStr">
        <is>
          <t>ความคลาดเคลื่อนจากการจ่ายยา ผิดความแรง และผิดวิธีใช้</t>
        </is>
      </c>
      <c r="I39" s="8" t="n">
        <v>2</v>
      </c>
      <c r="J39" s="2"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2" t="n"/>
      <c r="L39" s="2" t="inlineStr">
        <is>
          <t>Asthma</t>
        </is>
      </c>
      <c r="M39" s="2" t="inlineStr">
        <is>
          <t>36</t>
        </is>
      </c>
      <c r="N39" s="2" t="inlineStr">
        <is>
          <t>Clinic</t>
        </is>
      </c>
      <c r="O39" s="2" t="n"/>
      <c r="P39" s="2" t="n"/>
    </row>
    <row r="40" ht="13.2" customHeight="1" s="49">
      <c r="A40" s="8" t="n">
        <v>38</v>
      </c>
      <c r="B40"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2" t="n"/>
      <c r="D40" s="2" t="inlineStr">
        <is>
          <t>ให้พ่นยาเข้าทางจมูก</t>
        </is>
      </c>
      <c r="E40" s="2" t="inlineStr">
        <is>
          <t>ยานี้เหมาะสำหรับรักษาอาการเฉียบพลัน</t>
        </is>
      </c>
      <c r="F40" s="2" t="inlineStr">
        <is>
          <t>หลังจากพ่นครั้งแรก ต้องรออย่างน้อย 10 นาที ก่อนที่จะพ่นครั้งที่สอง</t>
        </is>
      </c>
      <c r="G40" s="2" t="inlineStr">
        <is>
          <t>เนื่องจากยา-1 ขวด สามารถพ่นได้ 200 ครั้ง จึงสามารถใช้ยานี้ได้นานประมาณ 25 วัน</t>
        </is>
      </c>
      <c r="H40" s="2" t="inlineStr">
        <is>
          <t>ยานี้เป็นยารักษาอาการอักเสบของหลอดลม จึงควรใช้เป็นประจำติดต่อกัน</t>
        </is>
      </c>
      <c r="I40" s="8" t="n">
        <v>4</v>
      </c>
      <c r="J40" s="2"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2" t="n"/>
      <c r="L40" s="2" t="inlineStr">
        <is>
          <t>Asthma</t>
        </is>
      </c>
      <c r="M40" s="2" t="inlineStr">
        <is>
          <t>37</t>
        </is>
      </c>
      <c r="N40" s="2" t="inlineStr">
        <is>
          <t>Clinic</t>
        </is>
      </c>
      <c r="O40" s="2" t="n"/>
      <c r="P40" s="2" t="n"/>
    </row>
    <row r="41" ht="13.2" customHeight="1" s="49">
      <c r="A41" s="8" t="n">
        <v>39</v>
      </c>
      <c r="B41"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2" t="n"/>
      <c r="D41" s="2" t="inlineStr">
        <is>
          <t>ป้องกันเชื้อราในช่องปาก</t>
        </is>
      </c>
      <c r="E41" s="2" t="inlineStr">
        <is>
          <t>ลดความเสี่ยงของการเกิดเสียงแหบแห้ง</t>
        </is>
      </c>
      <c r="F41" s="2" t="inlineStr">
        <is>
          <t>ลดโอกาสการเกิดความดันในลูกตาสูง</t>
        </is>
      </c>
      <c r="G41" s="2" t="inlineStr">
        <is>
          <t>ลดโอกาสการเกิดหัวใจเต้นเร็ว</t>
        </is>
      </c>
      <c r="H41" s="2" t="inlineStr">
        <is>
          <t>ลดโอกาสการเกิดอาการมือสั่น</t>
        </is>
      </c>
      <c r="I41" s="8" t="n">
        <v>1</v>
      </c>
      <c r="J41" s="2"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2" t="n"/>
      <c r="L41" s="2" t="inlineStr">
        <is>
          <t>Asthma</t>
        </is>
      </c>
      <c r="M41" s="2" t="inlineStr">
        <is>
          <t>38</t>
        </is>
      </c>
      <c r="N41" s="2" t="inlineStr">
        <is>
          <t>Clinic</t>
        </is>
      </c>
      <c r="O41" s="2" t="n"/>
      <c r="P41" s="2" t="n"/>
    </row>
    <row r="42" ht="13.2" customHeight="1" s="49">
      <c r="A42" s="8" t="n">
        <v>40</v>
      </c>
      <c r="B42" s="2"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2" t="n"/>
      <c r="D42" s="2" t="inlineStr">
        <is>
          <t>ควรเริ่มการรักษาด้วยยาสเตียรอยด์ชนิดพ่น</t>
        </is>
      </c>
      <c r="E42" s="2" t="inlineStr">
        <is>
          <t>ควรเริ่มการรักษาด้วยยาขยายหลอดลมชนิด beta-agonist</t>
        </is>
      </c>
      <c r="F42" s="2" t="inlineStr">
        <is>
          <t>ควรเริ่มการรักษาด้วยยาขยายหลอดลมชนิด anticholinergic</t>
        </is>
      </c>
      <c r="G42" s="2" t="inlineStr">
        <is>
          <t>ผู้ป่วยทุกรายควรได้รับยาสเตียรอยด์ชนิดพ่น สำหรับควบคุมอาการ</t>
        </is>
      </c>
      <c r="H42" s="2" t="inlineStr">
        <is>
          <t>ผู้ป่วยทุกคนต้องได้รับยาสเตียรอยด์ชนิดกิน</t>
        </is>
      </c>
      <c r="I42" s="8" t="n">
        <v>1</v>
      </c>
      <c r="J42" s="2"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2" t="n"/>
      <c r="L42" s="2" t="inlineStr">
        <is>
          <t>Asthma</t>
        </is>
      </c>
      <c r="M42" s="2" t="inlineStr">
        <is>
          <t>39</t>
        </is>
      </c>
      <c r="N42" s="2" t="inlineStr">
        <is>
          <t>Clinic</t>
        </is>
      </c>
      <c r="O42" s="2" t="n"/>
      <c r="P42" s="2" t="n"/>
    </row>
    <row r="43" ht="13.2" customHeight="1" s="49">
      <c r="A43" s="8" t="n">
        <v>41</v>
      </c>
      <c r="B43" s="2" t="inlineStr">
        <is>
          <t>ข้อใดกล่าวผิดเกี่ยวกับ salmeterol</t>
        </is>
      </c>
      <c r="C43" s="2" t="n"/>
      <c r="D43" s="2" t="inlineStr">
        <is>
          <t>Salmeterol มีข้อบ่งใช้ในการจับหืดที่เกิดขึ้นเฉียบพลัน</t>
        </is>
      </c>
      <c r="E43" s="2" t="inlineStr">
        <is>
          <t>กลไกการออกฤทธิ์คือกระตุ้นเอนไซม์ adenylate cyclase</t>
        </is>
      </c>
      <c r="F43" s="2" t="inlineStr">
        <is>
          <t>สามารถใช้กับผู้ป่วยที่มีอาการ nocturnal asthma มากกว่า 1 ครั้ง/สัปดาห์</t>
        </is>
      </c>
      <c r="G43" s="2" t="inlineStr">
        <is>
          <t>การใช้ยานี้นาน ๆ ทำให้การตอบสนองต่อยาลดลง (tachyphylaxis)</t>
        </is>
      </c>
      <c r="H43" s="2" t="inlineStr">
        <is>
          <t>หากไม่มี salmeterol สามารถใช้ albuterol แทนได้</t>
        </is>
      </c>
      <c r="I43" s="8" t="n">
        <v>1</v>
      </c>
      <c r="J43" s="2"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2" t="n"/>
      <c r="L43" s="2" t="inlineStr">
        <is>
          <t>Asthma</t>
        </is>
      </c>
      <c r="M43" s="2" t="inlineStr">
        <is>
          <t>40</t>
        </is>
      </c>
      <c r="N43" s="2" t="inlineStr">
        <is>
          <t>Clinic</t>
        </is>
      </c>
      <c r="O43" s="2" t="n"/>
      <c r="P43" s="2" t="n"/>
    </row>
    <row r="44" ht="13.2" customHeight="1" s="49">
      <c r="A44" s="8" t="n">
        <v>42</v>
      </c>
      <c r="B44" s="2" t="inlineStr">
        <is>
          <t>ข้อใดคือกลไกการออกฤทธิ์ของ ipratropium MDI</t>
        </is>
      </c>
      <c r="C44" s="2" t="n"/>
      <c r="D44" s="2" t="inlineStr">
        <is>
          <t>Selective beta2 - adrenergic receptor agonist</t>
        </is>
      </c>
      <c r="E44" s="2" t="inlineStr">
        <is>
          <t>Phosphodiesterase enzyme inhibitor</t>
        </is>
      </c>
      <c r="F44" s="2" t="inlineStr">
        <is>
          <t>Muscarinic cholinergic receptor antagonist</t>
        </is>
      </c>
      <c r="G44" s="2" t="inlineStr">
        <is>
          <t>Immunosuppressive agent</t>
        </is>
      </c>
      <c r="H44" s="2" t="inlineStr">
        <is>
          <t>Lipoxygenase enzyme inhibitor</t>
        </is>
      </c>
      <c r="I44" s="8" t="n">
        <v>3</v>
      </c>
      <c r="J44" s="2"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2" t="n"/>
      <c r="L44" s="2" t="inlineStr">
        <is>
          <t>COPD</t>
        </is>
      </c>
      <c r="M44" s="2" t="inlineStr">
        <is>
          <t>41</t>
        </is>
      </c>
      <c r="N44" s="2" t="inlineStr">
        <is>
          <t>Clinic</t>
        </is>
      </c>
      <c r="O44" s="2" t="n"/>
      <c r="P44" s="2" t="n"/>
    </row>
    <row r="45" ht="13.2" customHeight="1" s="49">
      <c r="A45" s="8" t="n">
        <v>43</v>
      </c>
      <c r="B45" s="2"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2" t="n"/>
      <c r="D45" s="2" t="inlineStr">
        <is>
          <t>Sinusitis</t>
        </is>
      </c>
      <c r="E45" s="2" t="inlineStr">
        <is>
          <t>Allergic rhinitis</t>
        </is>
      </c>
      <c r="F45" s="2" t="inlineStr">
        <is>
          <t>Cystitis</t>
        </is>
      </c>
      <c r="G45" s="2" t="inlineStr">
        <is>
          <t>Common cold</t>
        </is>
      </c>
      <c r="H45" s="2" t="inlineStr">
        <is>
          <t>Bronchitis</t>
        </is>
      </c>
      <c r="I45" s="8" t="n">
        <v>2</v>
      </c>
      <c r="J45" s="2"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2" t="n"/>
      <c r="L45" s="2" t="inlineStr">
        <is>
          <t>Asthma</t>
        </is>
      </c>
      <c r="M45" s="2" t="inlineStr">
        <is>
          <t>42</t>
        </is>
      </c>
      <c r="N45" s="2" t="inlineStr">
        <is>
          <t>Clinic</t>
        </is>
      </c>
      <c r="O45" s="2" t="n"/>
      <c r="P45" s="2" t="n"/>
    </row>
    <row r="46" ht="13.2" customHeight="1" s="49">
      <c r="A46" s="8" t="n">
        <v>44</v>
      </c>
      <c r="B46" s="2"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2" t="n"/>
      <c r="D46" s="2" t="inlineStr">
        <is>
          <t>เนื่องจากจัดเป็นยาควบคุมพิเศษ</t>
        </is>
      </c>
      <c r="E46" s="2" t="inlineStr">
        <is>
          <t>เนื่องจากจัดเป็นยาที่ลงทะเบียนแบบมีเงื่อนไขต้องติดตามการใช้ในโรงพยาบาล</t>
        </is>
      </c>
      <c r="F46" s="2" t="inlineStr">
        <is>
          <t>เนื่องจากจัดเป็นยาเสพติดให้โทษ ประเภท 2</t>
        </is>
      </c>
      <c r="G46" s="2" t="inlineStr">
        <is>
          <t>เนื่องจากจัดเป็นวัตถุออกฤทธิ์ต่อจิตประสาท</t>
        </is>
      </c>
      <c r="H46" s="2" t="inlineStr">
        <is>
          <t>เนื่องจากจัดเป็นยาอันตราย</t>
        </is>
      </c>
      <c r="I46" s="8" t="n">
        <v>4</v>
      </c>
      <c r="J46" s="2"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2" t="n"/>
      <c r="L46" s="2" t="inlineStr">
        <is>
          <t>Asthma</t>
        </is>
      </c>
      <c r="M46" s="2" t="inlineStr">
        <is>
          <t>43</t>
        </is>
      </c>
      <c r="N46" s="2" t="inlineStr">
        <is>
          <t>Clinic</t>
        </is>
      </c>
      <c r="O46" s="2" t="n"/>
      <c r="P46" s="2" t="n"/>
    </row>
    <row r="47" ht="13.2" customHeight="1" s="49">
      <c r="A47" s="8" t="n">
        <v>45</v>
      </c>
      <c r="B47" s="2"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2" t="n"/>
      <c r="D47" s="2" t="inlineStr">
        <is>
          <t>เพื่อป้องกันปัญหาการดื้อยา</t>
        </is>
      </c>
      <c r="E47" s="2" t="inlineStr">
        <is>
          <t>เพื่อป้องกันการเกิด hypertension</t>
        </is>
      </c>
      <c r="F47" s="2" t="inlineStr">
        <is>
          <t>เพื่อป้องกันการเกิด hyperglycemia</t>
        </is>
      </c>
      <c r="G47" s="2" t="inlineStr">
        <is>
          <t>เพื่อป้องกันการเกิด rebound congestion</t>
        </is>
      </c>
      <c r="H47" s="2" t="inlineStr">
        <is>
          <t>เพื่อไม่ให้เกิดปัญหา insomnia</t>
        </is>
      </c>
      <c r="I47" s="8" t="n">
        <v>4</v>
      </c>
      <c r="J47" s="2"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2" t="n"/>
      <c r="L47" s="2" t="inlineStr">
        <is>
          <t>Asthma</t>
        </is>
      </c>
      <c r="M47" s="2" t="inlineStr">
        <is>
          <t>44</t>
        </is>
      </c>
      <c r="N47" s="2" t="inlineStr">
        <is>
          <t>Clinic</t>
        </is>
      </c>
      <c r="O47" s="2" t="n"/>
      <c r="P47" s="2" t="n"/>
    </row>
    <row r="48" ht="13.2" customHeight="1" s="49">
      <c r="A48" s="8" t="n">
        <v>46</v>
      </c>
      <c r="B48" s="2"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2" t="n"/>
      <c r="D48" s="2" t="inlineStr">
        <is>
          <t>ฟ้าทลายโจร</t>
        </is>
      </c>
      <c r="E48" s="2" t="inlineStr">
        <is>
          <t>ไพล</t>
        </is>
      </c>
      <c r="F48" s="2" t="inlineStr">
        <is>
          <t>ขิง</t>
        </is>
      </c>
      <c r="G48" s="2" t="inlineStr">
        <is>
          <t>ชุมเห็ดเทศ</t>
        </is>
      </c>
      <c r="H48" s="2" t="inlineStr">
        <is>
          <t>เสลดพังพอน</t>
        </is>
      </c>
      <c r="I48" s="8" t="n">
        <v>3</v>
      </c>
      <c r="J48" s="2"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2" t="n"/>
      <c r="L48" s="2" t="inlineStr">
        <is>
          <t>Asthma</t>
        </is>
      </c>
      <c r="M48" s="2" t="inlineStr">
        <is>
          <t>45</t>
        </is>
      </c>
      <c r="N48" s="2" t="inlineStr">
        <is>
          <t>Clinic</t>
        </is>
      </c>
      <c r="O48" s="2" t="n"/>
      <c r="P48" s="2" t="n"/>
    </row>
    <row r="49" ht="13.2" customHeight="1" s="49">
      <c r="A49" s="8" t="n">
        <v>47</v>
      </c>
      <c r="B49" s="2" t="inlineStr">
        <is>
          <t>สมุนไพรแก้ไออื่นๆ นอกจากสมุนไพรข้อข้างต้น
สมุนไพรข้อใดที่มีสรรพคุณช่วยบรรเทาอาการไอ ขับเสมหะ</t>
        </is>
      </c>
      <c r="C49" s="2" t="n"/>
      <c r="D49" s="2" t="inlineStr">
        <is>
          <t>ข่า</t>
        </is>
      </c>
      <c r="E49" s="2" t="inlineStr">
        <is>
          <t>ตะไคร้</t>
        </is>
      </c>
      <c r="F49" s="2" t="inlineStr">
        <is>
          <t>ดีปลี</t>
        </is>
      </c>
      <c r="G49" s="2" t="inlineStr">
        <is>
          <t>กระเทียม</t>
        </is>
      </c>
      <c r="H49" s="2" t="inlineStr">
        <is>
          <t>กะเพรา</t>
        </is>
      </c>
      <c r="I49" s="8" t="n">
        <v>3</v>
      </c>
      <c r="J49" s="2"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2" t="n"/>
      <c r="L49" s="2" t="inlineStr">
        <is>
          <t>Asthma</t>
        </is>
      </c>
      <c r="M49" s="2" t="inlineStr">
        <is>
          <t>46</t>
        </is>
      </c>
      <c r="N49" s="2" t="inlineStr">
        <is>
          <t>Clinic</t>
        </is>
      </c>
      <c r="O49" s="2" t="n"/>
      <c r="P49" s="2" t="n"/>
    </row>
    <row r="50" ht="13.2" customHeight="1" s="49">
      <c r="A50" s="8" t="n">
        <v>48</v>
      </c>
      <c r="B50" s="2" t="inlineStr">
        <is>
          <t>ข้อใดไม่ใช่อาการข้างเคียงของการใช้ยา salbutamol</t>
        </is>
      </c>
      <c r="C50" s="2" t="n"/>
      <c r="D50" s="2" t="inlineStr">
        <is>
          <t>ใจสั่น</t>
        </is>
      </c>
      <c r="E50" s="2" t="inlineStr">
        <is>
          <t>ปัสสาวะคั่ง</t>
        </is>
      </c>
      <c r="F50" s="2" t="inlineStr">
        <is>
          <t>ปากแห้ง</t>
        </is>
      </c>
      <c r="G50" s="2" t="inlineStr">
        <is>
          <t>รับรสผิดปกติ</t>
        </is>
      </c>
      <c r="H50" s="2" t="inlineStr">
        <is>
          <t>ปวดศีรษะ</t>
        </is>
      </c>
      <c r="I50" s="8" t="n">
        <v>2</v>
      </c>
      <c r="J50" s="2"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2" t="n"/>
      <c r="L50" s="2" t="inlineStr">
        <is>
          <t>Asthma</t>
        </is>
      </c>
      <c r="M50" s="2" t="inlineStr">
        <is>
          <t>47</t>
        </is>
      </c>
      <c r="N50" s="2" t="inlineStr">
        <is>
          <t>Clinic</t>
        </is>
      </c>
      <c r="O50" s="2" t="n"/>
      <c r="P50" s="2" t="n"/>
    </row>
    <row r="51" ht="13.2" customHeight="1" s="49">
      <c r="A51" s="8" t="n">
        <v>49</v>
      </c>
      <c r="B51" s="2" t="inlineStr">
        <is>
          <t>การใช้ salbutamol ข้อใดถูกต้อง</t>
        </is>
      </c>
      <c r="C51" s="2" t="n"/>
      <c r="D51" s="2" t="inlineStr">
        <is>
          <t>ใช้ปากอมให้สนิท</t>
        </is>
      </c>
      <c r="E51" s="2" t="inlineStr">
        <is>
          <t>หายใจเข้าทางจมูก</t>
        </is>
      </c>
      <c r="F51" s="2" t="inlineStr">
        <is>
          <t>หายใจออกทันที</t>
        </is>
      </c>
      <c r="G51" s="2" t="inlineStr">
        <is>
          <t>บ้วนปากทันที</t>
        </is>
      </c>
      <c r="H51" s="2" t="inlineStr">
        <is>
          <t>ไม่ต้องเขย่าขวด</t>
        </is>
      </c>
      <c r="I51" s="8" t="n">
        <v>1</v>
      </c>
      <c r="J51" s="2"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2" t="n"/>
      <c r="L51" s="2" t="inlineStr">
        <is>
          <t>Asthma</t>
        </is>
      </c>
      <c r="M51" s="2" t="inlineStr">
        <is>
          <t>48</t>
        </is>
      </c>
      <c r="N51" s="2" t="inlineStr">
        <is>
          <t>Clinic</t>
        </is>
      </c>
      <c r="O51" s="2" t="n"/>
      <c r="P51" s="2" t="n"/>
    </row>
    <row r="52" ht="13.2" customHeight="1" s="49">
      <c r="A52" s="8" t="n">
        <v>50</v>
      </c>
      <c r="B52" s="2" t="inlineStr">
        <is>
          <t>ข้อใดไม่ถูกต้องเกี่ยวกับ seretide accuhaler</t>
        </is>
      </c>
      <c r="C52" s="2" t="n"/>
      <c r="D52" s="2" t="inlineStr">
        <is>
          <t>พกพาสะดวก</t>
        </is>
      </c>
      <c r="E52" s="2" t="inlineStr">
        <is>
          <t>ไม่มี propellant</t>
        </is>
      </c>
      <c r="F52" s="2" t="inlineStr">
        <is>
          <t>ปล่อย 1 dose สูดได้หลายที</t>
        </is>
      </c>
      <c r="G52" s="2" t="inlineStr">
        <is>
          <t>ไม่อาศัยความสัมพันธ์ระหว่างแรงกดและการหายใจ</t>
        </is>
      </c>
      <c r="H52" s="2" t="inlineStr">
        <is>
          <t>ใช้ meter dose valve ในการปล่อยตัวยา</t>
        </is>
      </c>
      <c r="I52" s="8" t="n">
        <v>5</v>
      </c>
      <c r="J52" s="2"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2" t="n"/>
      <c r="L52" s="2" t="inlineStr">
        <is>
          <t>Asthma</t>
        </is>
      </c>
      <c r="M52" s="2" t="inlineStr">
        <is>
          <t>49</t>
        </is>
      </c>
      <c r="N52" s="2" t="inlineStr">
        <is>
          <t>Clinic</t>
        </is>
      </c>
      <c r="O52" s="2" t="n"/>
      <c r="P52" s="2" t="n"/>
    </row>
    <row r="53" ht="13.2" customHeight="1" s="49">
      <c r="A53" s="8" t="n">
        <v>51</v>
      </c>
      <c r="B53" s="2" t="inlineStr">
        <is>
          <t>เมื่อใดที่ต้องหยุดใช้ seretide accuhaler ชั่วคราว</t>
        </is>
      </c>
      <c r="C53" s="2" t="n"/>
      <c r="D53" s="2" t="inlineStr">
        <is>
          <t>อายุมากกว่า 65 ปี</t>
        </is>
      </c>
      <c r="E53" s="2" t="inlineStr">
        <is>
          <t>ไตผิดปกติ</t>
        </is>
      </c>
      <c r="F53" s="2" t="inlineStr">
        <is>
          <t>ตับผิดปกติ</t>
        </is>
      </c>
      <c r="G53" s="2" t="inlineStr">
        <is>
          <t>ปอดติดเชื้อ</t>
        </is>
      </c>
      <c r="H53" s="2" t="inlineStr">
        <is>
          <t>ระคายเคืองปาก</t>
        </is>
      </c>
      <c r="I53" s="8" t="n">
        <v>4</v>
      </c>
      <c r="J53" s="2"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2" t="n"/>
      <c r="L53" s="2" t="inlineStr">
        <is>
          <t>Asthma</t>
        </is>
      </c>
      <c r="M53" s="2" t="inlineStr">
        <is>
          <t>50</t>
        </is>
      </c>
      <c r="N53" s="2" t="inlineStr">
        <is>
          <t>Clinic</t>
        </is>
      </c>
      <c r="O53" s="2" t="n"/>
      <c r="P53" s="2" t="n"/>
    </row>
    <row r="54" ht="13.2" customHeight="1" s="49">
      <c r="A54" s="8" t="n">
        <v>52</v>
      </c>
      <c r="B54" s="2"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2" t="n"/>
      <c r="D54" s="2" t="inlineStr">
        <is>
          <t>ใจสั่น</t>
        </is>
      </c>
      <c r="E54" s="2" t="inlineStr">
        <is>
          <t>ปวดท้อง</t>
        </is>
      </c>
      <c r="F54" s="2" t="inlineStr">
        <is>
          <t>ชัก</t>
        </is>
      </c>
      <c r="G54" s="2" t="inlineStr">
        <is>
          <t>คลื่นไส้ อาเจียน</t>
        </is>
      </c>
      <c r="H54" s="2" t="inlineStr">
        <is>
          <t>มองเห็นภาพซ้อน</t>
        </is>
      </c>
      <c r="I54" s="8" t="n">
        <v>2</v>
      </c>
      <c r="J54" s="2"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2" t="n"/>
      <c r="L54" s="2" t="inlineStr">
        <is>
          <t>Asthma</t>
        </is>
      </c>
      <c r="M54" s="2" t="inlineStr">
        <is>
          <t>51</t>
        </is>
      </c>
      <c r="N54" s="2" t="inlineStr">
        <is>
          <t>Clinic</t>
        </is>
      </c>
      <c r="O54" s="2" t="n"/>
      <c r="P54" s="2" t="n"/>
    </row>
    <row r="55" ht="13.2" customHeight="1" s="49">
      <c r="A55" s="8" t="n">
        <v>53</v>
      </c>
      <c r="B55" s="2"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2" t="n"/>
      <c r="D55" s="2" t="inlineStr">
        <is>
          <t>Clarithromycin</t>
        </is>
      </c>
      <c r="E55" s="2" t="inlineStr">
        <is>
          <t>Carbocysteine</t>
        </is>
      </c>
      <c r="F55" s="2" t="inlineStr">
        <is>
          <t>Ipratropium</t>
        </is>
      </c>
      <c r="G55" s="2" t="inlineStr">
        <is>
          <t>Montelukast</t>
        </is>
      </c>
      <c r="H55" s="2" t="inlineStr">
        <is>
          <t>Prednisolone</t>
        </is>
      </c>
      <c r="I55" s="8" t="n">
        <v>1</v>
      </c>
      <c r="J55" s="2"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2" t="n"/>
      <c r="L55" s="2" t="inlineStr">
        <is>
          <t>Asthma</t>
        </is>
      </c>
      <c r="M55" s="2" t="inlineStr">
        <is>
          <t>52</t>
        </is>
      </c>
      <c r="N55" s="2" t="inlineStr">
        <is>
          <t>Clinic</t>
        </is>
      </c>
      <c r="O55" s="2" t="n"/>
      <c r="P55" s="2" t="n"/>
    </row>
    <row r="56" ht="13.2" customHeight="1" s="49">
      <c r="A56" s="8" t="n">
        <v>54</v>
      </c>
      <c r="B56" s="2"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2" t="n"/>
      <c r="D56" s="2" t="inlineStr">
        <is>
          <t>High dose ICS และ as needed SABA</t>
        </is>
      </c>
      <c r="E56" s="2" t="inlineStr">
        <is>
          <t>Low dose ICS+ LABA และ as need SABA</t>
        </is>
      </c>
      <c r="F56" s="2" t="inlineStr">
        <is>
          <t>Medium dose ICS-formoterol maintenance and reliever</t>
        </is>
      </c>
      <c r="G56" s="2" t="inlineStr">
        <is>
          <t>Low dose ICS-formoterol maintenance and reliever</t>
        </is>
      </c>
      <c r="H56" s="2" t="inlineStr"/>
      <c r="I56" s="8" t="n">
        <v>1</v>
      </c>
      <c r="J56" s="2"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2" t="n"/>
      <c r="L56" s="2" t="inlineStr">
        <is>
          <t>Asthma</t>
        </is>
      </c>
      <c r="M56" s="2" t="inlineStr">
        <is>
          <t>55</t>
        </is>
      </c>
      <c r="N56" s="2" t="inlineStr">
        <is>
          <t>COPD / Asthma</t>
        </is>
      </c>
      <c r="O56" s="2" t="n"/>
      <c r="P56" s="2" t="n"/>
      <c r="Q56" s="2" t="n"/>
    </row>
    <row r="57" ht="13.2" customHeight="1" s="49">
      <c r="A57" s="8" t="n">
        <v>55</v>
      </c>
      <c r="B57" s="2" t="inlineStr">
        <is>
          <t>การใช้ LAMA ในคนไข้ asthma มีประโยชน์อย่างไร</t>
        </is>
      </c>
      <c r="C57" s="2" t="n"/>
      <c r="D57" s="2" t="inlineStr">
        <is>
          <t>เพิ่ม compliance</t>
        </is>
      </c>
      <c r="E57" s="2" t="inlineStr">
        <is>
          <t>ลดสารคัดหลั่ง</t>
        </is>
      </c>
      <c r="F57" s="2" t="inlineStr">
        <is>
          <t>เพิ่ม lung function</t>
        </is>
      </c>
      <c r="G57" s="2" t="inlineStr">
        <is>
          <t>ลด asthma symptoms</t>
        </is>
      </c>
      <c r="H57" s="2" t="inlineStr">
        <is>
          <t>ลดการใช้ SABA</t>
        </is>
      </c>
      <c r="I57" s="8" t="n">
        <v>1</v>
      </c>
      <c r="J57" s="2"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2" t="n"/>
      <c r="L57" s="2" t="inlineStr">
        <is>
          <t>Asthma</t>
        </is>
      </c>
      <c r="M57" s="2" t="inlineStr">
        <is>
          <t>56</t>
        </is>
      </c>
      <c r="N57" s="2" t="inlineStr">
        <is>
          <t>COPD / Asthma</t>
        </is>
      </c>
      <c r="O57" s="2" t="n"/>
      <c r="P57" s="2" t="n"/>
      <c r="Q57" s="2" t="n"/>
    </row>
    <row r="58" ht="13.2" customHeight="1" s="49">
      <c r="A58" s="8" t="n">
        <v>56</v>
      </c>
      <c r="B58" s="2"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2" t="n"/>
      <c r="D58" s="2" t="inlineStr">
        <is>
          <t>Well control</t>
        </is>
      </c>
      <c r="E58" s="2" t="inlineStr">
        <is>
          <t>Partial control</t>
        </is>
      </c>
      <c r="F58" s="2" t="inlineStr">
        <is>
          <t>uncontrolled</t>
        </is>
      </c>
      <c r="G58" s="2" t="inlineStr">
        <is>
          <t>Poor control</t>
        </is>
      </c>
      <c r="H58" s="2" t="inlineStr">
        <is>
          <t>Severe uncontrolled</t>
        </is>
      </c>
      <c r="I58" s="8" t="n">
        <v>1</v>
      </c>
      <c r="J58" s="2"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ไม่ใช่คำจำกัดความมาตรฐานตามแนวทางเวชปฏิบัติสากลของ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2" t="n"/>
      <c r="L58" s="2" t="inlineStr">
        <is>
          <t>Asthma</t>
        </is>
      </c>
      <c r="M58" s="2" t="inlineStr">
        <is>
          <t>57</t>
        </is>
      </c>
      <c r="N58" s="2" t="inlineStr">
        <is>
          <t>COPD / Asthma</t>
        </is>
      </c>
      <c r="O58" s="2" t="n"/>
      <c r="P58" s="2" t="n"/>
    </row>
    <row r="59" ht="13.2" customHeight="1" s="49">
      <c r="A59" s="8" t="n">
        <v>57</v>
      </c>
      <c r="B59" s="2" t="inlineStr">
        <is>
          <t>ต่อจาก56 non pharmaco asthma ตัวเลือก</t>
        </is>
      </c>
      <c r="C59" s="2" t="n"/>
      <c r="D59" s="2" t="inlineStr">
        <is>
          <t>หลีกเลี่ยงสิ่งที่ทำให้แพ้</t>
        </is>
      </c>
      <c r="E59" s="2" t="inlineStr">
        <is>
          <t>ออกกำลังกายหักโหมในที่อากาศเย็น</t>
        </is>
      </c>
      <c r="F59" s="2" t="inlineStr">
        <is>
          <t>ใช้พรมปูพื้นและเลี้ยงสัตว์เลี้ยงในห้องนอน</t>
        </is>
      </c>
      <c r="G59" s="2" t="inlineStr">
        <is>
          <t>เปิดหน้าต่างรับควันบุหรี่และมลภาวะ</t>
        </is>
      </c>
      <c r="H59" s="2" t="inlineStr">
        <is>
          <t>ใช้น้ำหอมและสเปรย์ปรับอากาศกลิ่นฉุนในห้องนอน</t>
        </is>
      </c>
      <c r="I59" s="8" t="n">
        <v>1</v>
      </c>
      <c r="J59" s="2"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2" t="n"/>
      <c r="L59" s="2" t="inlineStr">
        <is>
          <t>Asthma</t>
        </is>
      </c>
      <c r="M59" s="2" t="inlineStr">
        <is>
          <t>58</t>
        </is>
      </c>
      <c r="N59" s="2" t="inlineStr">
        <is>
          <t>COPD / Asthma</t>
        </is>
      </c>
      <c r="O59" s="2" t="n"/>
      <c r="P59" s="2" t="n"/>
    </row>
    <row r="60" ht="13.2" customHeight="1" s="49">
      <c r="A60" s="8" t="n">
        <v>58</v>
      </c>
      <c r="B60" s="2" t="inlineStr">
        <is>
          <t>Copd ออกstage กับgrade FEV = 35 FEV/FVC = 65% ตัวเลือก</t>
        </is>
      </c>
      <c r="C60" s="2" t="n"/>
      <c r="D60" s="2" t="inlineStr">
        <is>
          <t>GOLD 3 (Severe airflow limitation)</t>
        </is>
      </c>
      <c r="E60" s="2" t="inlineStr">
        <is>
          <t>GOLD 1 (Mild airflow limitation)</t>
        </is>
      </c>
      <c r="F60" s="2" t="inlineStr">
        <is>
          <t>GOLD 2 (Moderate airflow limitation)</t>
        </is>
      </c>
      <c r="G60" s="2" t="inlineStr">
        <is>
          <t>GOLD 4 (Very severe airflow limitation)</t>
        </is>
      </c>
      <c r="H60" s="2" t="inlineStr">
        <is>
          <t>Unclassified</t>
        </is>
      </c>
      <c r="I60" s="8" t="n">
        <v>1</v>
      </c>
      <c r="J60" s="2"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2" t="n"/>
      <c r="L60" s="2" t="inlineStr">
        <is>
          <t>COPD</t>
        </is>
      </c>
      <c r="M60" s="2" t="inlineStr">
        <is>
          <t>59</t>
        </is>
      </c>
      <c r="N60" s="2" t="inlineStr">
        <is>
          <t>COPD / Asthma</t>
        </is>
      </c>
      <c r="O60" s="2" t="n"/>
      <c r="P60" s="2" t="n"/>
    </row>
    <row r="61" ht="13.2" customHeight="1" s="49">
      <c r="A61" s="8" t="n">
        <v>59</v>
      </c>
      <c r="B61" s="2"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2" t="n"/>
      <c r="D61" s="2" t="inlineStr">
        <is>
          <t>Azithromycin</t>
        </is>
      </c>
      <c r="E61" s="2" t="inlineStr">
        <is>
          <t>Ciprofloxacin</t>
        </is>
      </c>
      <c r="F61" s="2" t="inlineStr">
        <is>
          <t>Doxycycline</t>
        </is>
      </c>
      <c r="G61" s="2" t="inlineStr">
        <is>
          <t>Amoxicillin/Clavulanate</t>
        </is>
      </c>
      <c r="H61" s="2" t="inlineStr">
        <is>
          <t>Levofloxacin</t>
        </is>
      </c>
      <c r="I61" s="8" t="n">
        <v>1</v>
      </c>
      <c r="J61" s="2"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2" t="n"/>
      <c r="L61" s="2" t="inlineStr">
        <is>
          <t>COPD</t>
        </is>
      </c>
      <c r="M61" s="2" t="inlineStr">
        <is>
          <t>60</t>
        </is>
      </c>
      <c r="N61" s="2" t="inlineStr">
        <is>
          <t>COPD / Asthma</t>
        </is>
      </c>
      <c r="O61" s="2" t="n"/>
      <c r="P61" s="2" t="n"/>
      <c r="Q61" s="2" t="n"/>
    </row>
    <row r="62" ht="13.2" customHeight="1" s="49">
      <c r="A62" s="8" t="n">
        <v>60</v>
      </c>
      <c r="B62" s="2" t="inlineStr">
        <is>
          <t>สารช่วยในข้อใดช่วยให้ผงยา tiotropium bromide เปียกง่ายขึ้น (wetting agent) เมื่อผงยาสัมผัสกับของเหลวในทางเดินหายใจ</t>
        </is>
      </c>
      <c r="C62" s="2" t="n"/>
      <c r="D62" s="2" t="inlineStr">
        <is>
          <t>Alginic acid</t>
        </is>
      </c>
      <c r="E62" s="2" t="inlineStr">
        <is>
          <t>Citric acid</t>
        </is>
      </c>
      <c r="F62" s="2" t="inlineStr">
        <is>
          <t>Lecithin</t>
        </is>
      </c>
      <c r="G62" s="2" t="inlineStr">
        <is>
          <t>Calcium stearate</t>
        </is>
      </c>
      <c r="H62" s="2" t="inlineStr">
        <is>
          <t>Titanium dioxide</t>
        </is>
      </c>
      <c r="I62" s="8" t="n">
        <v>1</v>
      </c>
      <c r="J62" s="2"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2" t="n"/>
      <c r="L62" s="2" t="inlineStr">
        <is>
          <t>COPD</t>
        </is>
      </c>
      <c r="M62" s="2" t="inlineStr">
        <is>
          <t>61</t>
        </is>
      </c>
      <c r="N62" s="2" t="inlineStr">
        <is>
          <t>COPD / Asthma</t>
        </is>
      </c>
      <c r="O62" s="2" t="n"/>
      <c r="P62" s="2" t="n"/>
      <c r="Q62" s="2" t="n"/>
    </row>
    <row r="63" ht="13.2" customHeight="1" s="49">
      <c r="A63" s="8" t="n">
        <v>61</v>
      </c>
      <c r="B63" s="2" t="inlineStr">
        <is>
          <t>ผู้ป่วย COPD มีอาการหอบเหนื่อยรุนแรงเฉียบพลัน ยาพ่นสูดในข้อใดเหมาะสมในการบรรเทาอาการกำเริบเฉียบพลัน</t>
        </is>
      </c>
      <c r="C63" s="2" t="n"/>
      <c r="D63" s="2" t="inlineStr">
        <is>
          <t>Ipratropium/Fenoterol MDI</t>
        </is>
      </c>
      <c r="E63" s="2" t="inlineStr">
        <is>
          <t>Montelukast 10 mg HS</t>
        </is>
      </c>
      <c r="F63" s="2" t="inlineStr">
        <is>
          <t>Theophylline 200 mg BID</t>
        </is>
      </c>
      <c r="G63" s="2" t="inlineStr">
        <is>
          <t>Prednisolone 40 mg OD x 5 days</t>
        </is>
      </c>
      <c r="H63" s="2" t="inlineStr">
        <is>
          <t>N-acetylcysteine 600 mg OD</t>
        </is>
      </c>
      <c r="I63" s="8" t="n">
        <v>1</v>
      </c>
      <c r="J63" s="2"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2" t="n"/>
      <c r="L63" s="2" t="inlineStr">
        <is>
          <t>COPD</t>
        </is>
      </c>
      <c r="M63" s="2" t="inlineStr">
        <is>
          <t>62</t>
        </is>
      </c>
      <c r="N63" s="2" t="inlineStr">
        <is>
          <t>COPD / Asthma</t>
        </is>
      </c>
      <c r="O63" s="2" t="n"/>
      <c r="P63" s="2" t="n"/>
    </row>
    <row r="64" ht="13.2" customHeight="1" s="49">
      <c r="A64" s="8" t="n">
        <v>62</v>
      </c>
      <c r="B64" s="2" t="inlineStr">
        <is>
          <t>การแพ้ยาในลักษณะใดเป็นภาวะที่รุนแรงถึงแก่ชีวิตและห้ามทำ rechallenge ยาแก่ผู้ป่วยโดยเด็ดขาด</t>
        </is>
      </c>
      <c r="C64" s="2" t="n"/>
      <c r="D64" s="2" t="inlineStr">
        <is>
          <t>Toxic epidermal necrolysis (TEN)</t>
        </is>
      </c>
      <c r="E64" s="2" t="inlineStr">
        <is>
          <t>Maculopapular rash</t>
        </is>
      </c>
      <c r="F64" s="2" t="inlineStr">
        <is>
          <t>Macular rash</t>
        </is>
      </c>
      <c r="G64" s="2" t="inlineStr">
        <is>
          <t>Acneiform drug eruption</t>
        </is>
      </c>
      <c r="H64" s="2" t="inlineStr">
        <is>
          <t>Urticaria เล็กน้อย</t>
        </is>
      </c>
      <c r="I64" s="8" t="n">
        <v>1</v>
      </c>
      <c r="J64" s="2"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2" t="n"/>
      <c r="L64" s="2" t="inlineStr">
        <is>
          <t>Asthma</t>
        </is>
      </c>
      <c r="M64" s="2" t="inlineStr">
        <is>
          <t>63</t>
        </is>
      </c>
      <c r="N64" s="2" t="inlineStr">
        <is>
          <t>COPD / Asthma</t>
        </is>
      </c>
      <c r="O64" s="2" t="n"/>
      <c r="P64" s="2" t="n"/>
      <c r="Q64" s="2" t="n"/>
    </row>
    <row r="65" ht="13.2" customHeight="1" s="49">
      <c r="A65" s="8" t="n">
        <v>63</v>
      </c>
      <c r="B65" s="2" t="inlineStr">
        <is>
          <t>ข้อใดคืออาการไม่พึงประสงค์ที่พบบ่อย หากผู้ป่วยใช้ salbutamol MDI บ่อยหรือเกินปริมาณที่แนะนำ</t>
        </is>
      </c>
      <c r="C65" s="2" t="n"/>
      <c r="D65" s="2" t="inlineStr">
        <is>
          <t>Tachycardia and Tremor</t>
        </is>
      </c>
      <c r="E65" s="2" t="inlineStr">
        <is>
          <t>Drowsiness</t>
        </is>
      </c>
      <c r="F65" s="2" t="inlineStr">
        <is>
          <t>Hyperkalemia</t>
        </is>
      </c>
      <c r="G65" s="2" t="inlineStr">
        <is>
          <t>Hypermagnesemia</t>
        </is>
      </c>
      <c r="H65" s="2" t="inlineStr">
        <is>
          <t>Metabolic alkalosis</t>
        </is>
      </c>
      <c r="I65" s="8" t="n">
        <v>1</v>
      </c>
      <c r="J65" s="2"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2" t="n"/>
      <c r="L65" s="2" t="inlineStr">
        <is>
          <t>Asthma</t>
        </is>
      </c>
      <c r="M65" s="2" t="inlineStr">
        <is>
          <t>64</t>
        </is>
      </c>
      <c r="N65" s="2" t="inlineStr">
        <is>
          <t>COPD / Asthma</t>
        </is>
      </c>
      <c r="O65" s="2" t="n"/>
      <c r="P65" s="2" t="n"/>
      <c r="Q65" s="2" t="n"/>
    </row>
    <row r="66" ht="13.2" customHeight="1" s="49">
      <c r="A66" s="8" t="n">
        <v>64</v>
      </c>
      <c r="B66" s="2" t="inlineStr">
        <is>
          <t>Salbutamol เป็น chiral molecule ที่ประกอบด้วย (R)-salbutamol และ (S)-salbutamol ในอัตราส่วน 50:50 สารผสมในลักษณะนี้เรียกว่าอะไร</t>
        </is>
      </c>
      <c r="C66" s="2" t="n"/>
      <c r="D66" s="2" t="inlineStr">
        <is>
          <t>Racemic mixture</t>
        </is>
      </c>
      <c r="E66" s="2" t="inlineStr">
        <is>
          <t>Cis/Trans mixture</t>
        </is>
      </c>
      <c r="F66" s="2" t="inlineStr">
        <is>
          <t>Conformational mixture</t>
        </is>
      </c>
      <c r="G66" s="2" t="inlineStr">
        <is>
          <t>Diastereomeric mixture</t>
        </is>
      </c>
      <c r="H66" s="2" t="inlineStr">
        <is>
          <t>Meso compound</t>
        </is>
      </c>
      <c r="I66" s="8" t="n">
        <v>1</v>
      </c>
      <c r="J66" s="2"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2" t="n"/>
      <c r="L66" s="2" t="inlineStr">
        <is>
          <t>Asthma</t>
        </is>
      </c>
      <c r="M66" s="2" t="inlineStr">
        <is>
          <t>65</t>
        </is>
      </c>
      <c r="N66" s="2" t="inlineStr">
        <is>
          <t>COPD / Asthma</t>
        </is>
      </c>
      <c r="O66" s="2" t="n"/>
      <c r="P66" s="2" t="n"/>
      <c r="Q66" s="2" t="n"/>
    </row>
    <row r="67" ht="13.2" customHeight="1" s="49">
      <c r="A67" s="8" t="n">
        <v>65</v>
      </c>
      <c r="B67" s="2" t="inlineStr">
        <is>
          <t>COPD ข้อใดไม่ใช่สาเหตุ เฉลยข้อสอบ PLE-CC1 ครั้งที่12/2564 วันที่ 1-2 : MUPY 50 เฉลยข้อสอบ PLE-CC1 ครั้งที่12/2564 วันที่ 1-2 : MUPY 50</t>
        </is>
      </c>
      <c r="C67" s="2" t="n"/>
      <c r="D67" s="2" t="inlineStr">
        <is>
          <t>การรับประทานอาหารที่มีไขมันสูง</t>
        </is>
      </c>
      <c r="E67" s="2" t="inlineStr">
        <is>
          <t>การสูบบุหรี่ (Cigarette smoking)</t>
        </is>
      </c>
      <c r="F67" s="2" t="inlineStr">
        <is>
          <t>มลพิษทางอากาศและควันจากการเผาไหม้ (Air pollution)</t>
        </is>
      </c>
      <c r="G67" s="2" t="inlineStr">
        <is>
          <t>ภาวะพร่อง Alpha-1 antitrypsin deficiency</t>
        </is>
      </c>
      <c r="H67" s="2" t="inlineStr">
        <is>
          <t>การสัมผัสฝุ่นและสารเคมีในที่ทำงาน (Occupational dust)</t>
        </is>
      </c>
      <c r="I67" s="8" t="n">
        <v>1</v>
      </c>
      <c r="J67" s="2"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2" t="n"/>
      <c r="L67" s="2" t="inlineStr">
        <is>
          <t>COPD</t>
        </is>
      </c>
      <c r="M67" s="2" t="inlineStr">
        <is>
          <t>66</t>
        </is>
      </c>
      <c r="N67" s="2" t="inlineStr">
        <is>
          <t>COPD / Asthma</t>
        </is>
      </c>
      <c r="O67" s="2" t="n"/>
      <c r="P67" s="2" t="n"/>
    </row>
    <row r="68" ht="13.2" customHeight="1" s="49">
      <c r="A68" s="8" t="n">
        <v>66</v>
      </c>
      <c r="B68" s="2" t="inlineStr">
        <is>
          <t>ข้อไม่ใช่ปัจจัยเสี่ยงกำเริบของ COPD</t>
        </is>
      </c>
      <c r="C68" s="2" t="n"/>
      <c r="D68" s="2" t="inlineStr">
        <is>
          <t>การใช้ยาพ่นจมูกแก้แพ้</t>
        </is>
      </c>
      <c r="E68" s="2" t="inlineStr">
        <is>
          <t>การติดเชื้อในระบบทางเดินหายใจ (Respiratory tract infection)</t>
        </is>
      </c>
      <c r="F68" s="2" t="inlineStr">
        <is>
          <t>มลภาวะทางอากาศและฝุ่นละอองขนาดเล็ก (PM2.5)</t>
        </is>
      </c>
      <c r="G68" s="2" t="inlineStr">
        <is>
          <t>การหยุดยาพ่นขยายหลอดลมควบคุมอาการกะทันหัน</t>
        </is>
      </c>
      <c r="H68" s="2" t="inlineStr">
        <is>
          <t>การสัมผัสควันบุหรี่มือสอง</t>
        </is>
      </c>
      <c r="I68" s="8" t="n">
        <v>1</v>
      </c>
      <c r="J68" s="2"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2" t="n"/>
      <c r="L68" s="2" t="inlineStr">
        <is>
          <t>COPD</t>
        </is>
      </c>
      <c r="M68" s="2" t="inlineStr">
        <is>
          <t>67</t>
        </is>
      </c>
      <c r="N68" s="2" t="inlineStr">
        <is>
          <t>COPD / Asthma</t>
        </is>
      </c>
      <c r="O68" s="2" t="n"/>
      <c r="P68" s="2" t="n"/>
    </row>
    <row r="69" ht="13.2" customHeight="1" s="49">
      <c r="A69" s="8" t="n">
        <v>67</v>
      </c>
      <c r="B69" s="2" t="inlineStr">
        <is>
          <t>ข้อใดเป็นผลข้างเคียงของ salbutamol</t>
        </is>
      </c>
      <c r="C69" s="2" t="n"/>
      <c r="D69" s="2" t="inlineStr">
        <is>
          <t>Tremor (มือสั่น)</t>
        </is>
      </c>
      <c r="E69" s="2" t="inlineStr">
        <is>
          <t>Bradycardia (หัวใจเต้นช้า)</t>
        </is>
      </c>
      <c r="F69" s="2" t="inlineStr">
        <is>
          <t>Diarrhea (ท้องเสีย)</t>
        </is>
      </c>
      <c r="G69" s="2" t="inlineStr">
        <is>
          <t>Hypotension (ความดันต่ำ)</t>
        </is>
      </c>
      <c r="H69" s="2" t="inlineStr">
        <is>
          <t>Constipation (ท้องผูก)</t>
        </is>
      </c>
      <c r="I69" s="8" t="n">
        <v>1</v>
      </c>
      <c r="J69" s="2"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2" t="n"/>
      <c r="L69" s="2" t="inlineStr">
        <is>
          <t>Asthma</t>
        </is>
      </c>
      <c r="M69" s="2" t="inlineStr">
        <is>
          <t>68</t>
        </is>
      </c>
      <c r="N69" s="2" t="inlineStr">
        <is>
          <t>COPD / Asthma</t>
        </is>
      </c>
      <c r="O69" s="2" t="n"/>
      <c r="P69" s="2" t="n"/>
    </row>
    <row r="70" ht="13.2" customHeight="1" s="49">
      <c r="A70" s="8" t="n">
        <v>68</v>
      </c>
      <c r="B70" s="2" t="inlineStr">
        <is>
          <t>ข้อใดเป็นส่วนประกอบที่สำคัญที่สุดในการขับดันตัวยาออกมาในรูปแบบ aerosol inhalations (MDI)</t>
        </is>
      </c>
      <c r="C70" s="2" t="n"/>
      <c r="D70" s="2" t="inlineStr">
        <is>
          <t>Propellant</t>
        </is>
      </c>
      <c r="E70" s="2" t="inlineStr">
        <is>
          <t>Glidant</t>
        </is>
      </c>
      <c r="F70" s="2" t="inlineStr">
        <is>
          <t>Cosolvent</t>
        </is>
      </c>
      <c r="G70" s="2" t="inlineStr">
        <is>
          <t>Antioxidant</t>
        </is>
      </c>
      <c r="H70" s="2" t="inlineStr">
        <is>
          <t>Wetting agent</t>
        </is>
      </c>
      <c r="I70" s="8" t="n">
        <v>1</v>
      </c>
      <c r="J70" s="2"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2" t="n"/>
      <c r="L70" s="2" t="inlineStr">
        <is>
          <t>Asthma</t>
        </is>
      </c>
      <c r="M70" s="2" t="inlineStr">
        <is>
          <t>68</t>
        </is>
      </c>
      <c r="N70" s="2" t="inlineStr">
        <is>
          <t>Clinic</t>
        </is>
      </c>
      <c r="O70" s="2" t="n"/>
      <c r="P70" s="2" t="n"/>
    </row>
    <row r="71" ht="13.2" customHeight="1" s="49">
      <c r="A71" s="8" t="n">
        <v>69</v>
      </c>
      <c r="B71" s="2"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2" t="n"/>
      <c r="D71" s="2" t="inlineStr">
        <is>
          <t>1 ถึง 5 ไมโครเมตร</t>
        </is>
      </c>
      <c r="E71" s="2" t="inlineStr">
        <is>
          <t>5 ถึง 30 ไมโครเมตร</t>
        </is>
      </c>
      <c r="F71" s="2" t="inlineStr">
        <is>
          <t>31 ถึง 49 ไมโครเมตร</t>
        </is>
      </c>
      <c r="G71" s="2" t="inlineStr">
        <is>
          <t>50 ถึง 100 ไมโครเมตร</t>
        </is>
      </c>
      <c r="H71" s="2" t="inlineStr">
        <is>
          <t>มากกว่า 100 ไมโครเมตร</t>
        </is>
      </c>
      <c r="I71" s="8" t="n">
        <v>1</v>
      </c>
      <c r="J71" s="2"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2" t="n"/>
      <c r="L71" s="2" t="inlineStr">
        <is>
          <t>Asthma</t>
        </is>
      </c>
      <c r="M71" s="2" t="inlineStr">
        <is>
          <t>69</t>
        </is>
      </c>
      <c r="N71" s="2" t="inlineStr">
        <is>
          <t>Clinic</t>
        </is>
      </c>
      <c r="O71" s="2" t="n"/>
      <c r="P71" s="2" t="n"/>
    </row>
    <row r="72" ht="13.2" customHeight="1" s="49">
      <c r="A72" s="8" t="n">
        <v>70</v>
      </c>
      <c r="B72" s="2"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2" t="n"/>
      <c r="D72" s="2" t="inlineStr">
        <is>
          <t>Salmeterol monotherapy</t>
        </is>
      </c>
      <c r="E72" s="2" t="inlineStr">
        <is>
          <t>Inhaled Budesonide</t>
        </is>
      </c>
      <c r="F72" s="2" t="inlineStr">
        <is>
          <t>Inhaled Fluticasone</t>
        </is>
      </c>
      <c r="G72" s="2" t="inlineStr">
        <is>
          <t>Montelukast</t>
        </is>
      </c>
      <c r="H72" s="2" t="inlineStr">
        <is>
          <t>Budesonide/Formoterol</t>
        </is>
      </c>
      <c r="I72" s="8" t="n">
        <v>1</v>
      </c>
      <c r="J72" s="2"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2" t="n"/>
      <c r="L72" s="2" t="inlineStr">
        <is>
          <t>Asthma</t>
        </is>
      </c>
      <c r="M72" s="2" t="inlineStr">
        <is>
          <t>70</t>
        </is>
      </c>
      <c r="N72" s="2" t="inlineStr">
        <is>
          <t>Clinic</t>
        </is>
      </c>
      <c r="O72" s="2" t="n"/>
      <c r="P72" s="2" t="n"/>
    </row>
    <row r="73" ht="13.2" customHeight="1" s="49">
      <c r="A73" s="8" t="n">
        <v>71</v>
      </c>
      <c r="B73" s="2"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2" t="n"/>
      <c r="D73" s="2" t="inlineStr">
        <is>
          <t>2 ng/L</t>
        </is>
      </c>
      <c r="E73" s="2" t="inlineStr">
        <is>
          <t>0.2 ng/L</t>
        </is>
      </c>
      <c r="F73" s="2" t="inlineStr">
        <is>
          <t>10 ng/L</t>
        </is>
      </c>
      <c r="G73" s="2" t="inlineStr">
        <is>
          <t>18 ng/L</t>
        </is>
      </c>
      <c r="H73" s="2" t="inlineStr">
        <is>
          <t>20 ng/L</t>
        </is>
      </c>
      <c r="I73" s="8" t="n">
        <v>1</v>
      </c>
      <c r="J73" s="2"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2" t="n"/>
      <c r="L73" s="2" t="inlineStr">
        <is>
          <t>Asthma</t>
        </is>
      </c>
      <c r="M73" s="2" t="inlineStr">
        <is>
          <t>71</t>
        </is>
      </c>
      <c r="N73" s="2" t="inlineStr">
        <is>
          <t>Clinic</t>
        </is>
      </c>
      <c r="O73" s="2" t="n"/>
      <c r="P73" s="2" t="n"/>
    </row>
    <row r="74" ht="13.2" customHeight="1" s="49">
      <c r="A74" s="8" t="n">
        <v>72</v>
      </c>
      <c r="B74" s="2"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2" t="n"/>
      <c r="D74" s="2" t="inlineStr">
        <is>
          <t>Sputum culture</t>
        </is>
      </c>
      <c r="E74" s="2" t="inlineStr">
        <is>
          <t>Physical Examination</t>
        </is>
      </c>
      <c r="F74" s="2" t="inlineStr">
        <is>
          <t>Complete blood count</t>
        </is>
      </c>
      <c r="G74" s="2" t="inlineStr">
        <is>
          <t>Peak flow meter</t>
        </is>
      </c>
      <c r="H74" s="2" t="inlineStr">
        <is>
          <t>Lung function Spirometry</t>
        </is>
      </c>
      <c r="I74" s="8" t="n">
        <v>5</v>
      </c>
      <c r="J74" s="2"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2" t="n"/>
      <c r="L74" s="2" t="inlineStr">
        <is>
          <t>Asthma</t>
        </is>
      </c>
      <c r="M74" s="2" t="inlineStr">
        <is>
          <t>72</t>
        </is>
      </c>
      <c r="N74" s="2" t="inlineStr">
        <is>
          <t>Clinic</t>
        </is>
      </c>
      <c r="O74" s="2" t="n"/>
      <c r="P74" s="2" t="n"/>
    </row>
    <row r="75" ht="13.2" customHeight="1" s="49">
      <c r="A75" s="8" t="n">
        <v>73</v>
      </c>
      <c r="B75" s="2" t="inlineStr">
        <is>
          <t>ข้อใดคือเกณฑ์ในการวินิจฉัยที่จำเป็นที่สุดในการแยกโรคของผู้ป่วยปอดอักเสบ</t>
        </is>
      </c>
      <c r="C75" s="2" t="n"/>
      <c r="D75" s="2" t="inlineStr">
        <is>
          <t>Blood Culture</t>
        </is>
      </c>
      <c r="E75" s="2" t="inlineStr">
        <is>
          <t>Sputum Culture</t>
        </is>
      </c>
      <c r="F75" s="2" t="inlineStr">
        <is>
          <t>Chest-X Ray</t>
        </is>
      </c>
      <c r="G75" s="2" t="inlineStr">
        <is>
          <t>Serology</t>
        </is>
      </c>
      <c r="H75" s="2" t="inlineStr">
        <is>
          <t>Arterial blood gas</t>
        </is>
      </c>
      <c r="I75" s="8" t="n">
        <v>3</v>
      </c>
      <c r="J75" s="2"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2" t="n"/>
      <c r="L75" s="2" t="inlineStr">
        <is>
          <t>Asthma</t>
        </is>
      </c>
      <c r="M75" s="2" t="inlineStr">
        <is>
          <t>73</t>
        </is>
      </c>
      <c r="N75" s="2" t="inlineStr">
        <is>
          <t>Clinic</t>
        </is>
      </c>
      <c r="O75" s="2" t="n"/>
      <c r="P75" s="2" t="n"/>
    </row>
    <row r="76" ht="13.2" customHeight="1" s="49">
      <c r="A76" s="8" t="n">
        <v>74</v>
      </c>
      <c r="B76" s="2" t="inlineStr">
        <is>
          <t>จากโครงสร้างของ salbutamol ที่กำหนดให้ หมู่ฟังก์ชั่นใดที่ทำให้ salbutamol ออกฤทธิ์จำเพาะต่อ β receptor</t>
        </is>
      </c>
      <c r="C76" s="2" t="n"/>
      <c r="D76" s="2" t="inlineStr">
        <is>
          <t>A – hydroxyl group</t>
        </is>
      </c>
      <c r="E76" s="2" t="inlineStr">
        <is>
          <t>B – methanol group</t>
        </is>
      </c>
      <c r="F76" s="2" t="inlineStr">
        <is>
          <t>C – aromatic ring</t>
        </is>
      </c>
      <c r="G76" s="2" t="inlineStr">
        <is>
          <t>D – hydroxyl group</t>
        </is>
      </c>
      <c r="H76" s="2" t="inlineStr">
        <is>
          <t>E – tert-butyl group</t>
        </is>
      </c>
      <c r="I76" s="8" t="n">
        <v>5</v>
      </c>
      <c r="J76" s="2"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2" t="n"/>
      <c r="L76" s="2" t="inlineStr">
        <is>
          <t>Asthma</t>
        </is>
      </c>
      <c r="M76" s="2" t="inlineStr">
        <is>
          <t>74</t>
        </is>
      </c>
      <c r="N76" s="2" t="inlineStr">
        <is>
          <t>Clinic</t>
        </is>
      </c>
      <c r="O76" s="2" t="n"/>
      <c r="P76" s="2" t="n"/>
    </row>
    <row r="77" ht="13.2" customHeight="1" s="49">
      <c r="A77" s="8" t="n">
        <v>75</v>
      </c>
      <c r="B77" s="2" t="inlineStr">
        <is>
          <t>ยาพ่นสูด ในรูปแบบ β2-selective adrenergic receptor agonists MDI (metered dose inhalers) ควรมีลักษณะ แบบใด</t>
        </is>
      </c>
      <c r="C77" s="2" t="n"/>
      <c r="D77" s="2" t="inlineStr">
        <is>
          <t>ขนาดอนุภาคของตัวยาควรอยู่ระหว่าง 1-3 μm</t>
        </is>
      </c>
      <c r="E77" s="2" t="inlineStr">
        <is>
          <t>ขนาดอนุภาคอยู่ระหว่าง 5-10 μm</t>
        </is>
      </c>
      <c r="F77" s="2" t="inlineStr">
        <is>
          <t>ตัวยาหวังผลให้ไปจับกับ receptor ที่ทางเดินหายใจส่วนปลาย</t>
        </is>
      </c>
      <c r="G77" s="2" t="inlineStr">
        <is>
          <t>ใช้ lactose เพื่อปรับปรุงรสชาติ</t>
        </is>
      </c>
      <c r="H77" s="2" t="inlineStr">
        <is>
          <t>นิยมใช้ chlorofluorocarbon เป็นตัวสารขับดัน</t>
        </is>
      </c>
      <c r="I77" s="8" t="n">
        <v>1</v>
      </c>
      <c r="J77" s="2"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2" t="n"/>
      <c r="L77" s="2" t="inlineStr">
        <is>
          <t>Asthma</t>
        </is>
      </c>
      <c r="M77" s="2" t="inlineStr">
        <is>
          <t>75</t>
        </is>
      </c>
      <c r="N77" s="2" t="inlineStr">
        <is>
          <t>Clinic</t>
        </is>
      </c>
      <c r="O77" s="2" t="n"/>
      <c r="P77" s="2" t="n"/>
    </row>
    <row r="78" ht="13.2" customHeight="1" s="49">
      <c r="A78" s="8" t="n">
        <v>76</v>
      </c>
      <c r="B78" s="2" t="inlineStr">
        <is>
          <t>ข้อใดคือข้อแนะนำของการใช้ Salbutamol MDI</t>
        </is>
      </c>
      <c r="C78" s="2" t="n"/>
      <c r="D78" s="2" t="inlineStr">
        <is>
          <t>หายใจออกทางปาก ช้า ลึก</t>
        </is>
      </c>
      <c r="E78" s="2" t="inlineStr">
        <is>
          <t>หายใจออกทางปาก เร็ว ลึก</t>
        </is>
      </c>
      <c r="F78" s="2" t="inlineStr">
        <is>
          <t>หายใจเข้าทางปาก ช้า ลึก</t>
        </is>
      </c>
      <c r="G78" s="2" t="inlineStr">
        <is>
          <t>หายใจเข้าทางปาก เร็ว ลึก</t>
        </is>
      </c>
      <c r="H78" s="2" t="inlineStr">
        <is>
          <t>หายใจเข้าทางปาก เร็ว แรง ลึก</t>
        </is>
      </c>
      <c r="I78" s="8" t="n">
        <v>3</v>
      </c>
      <c r="J78" s="2"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2" t="n"/>
      <c r="L78" s="2" t="inlineStr">
        <is>
          <t>Asthma</t>
        </is>
      </c>
      <c r="M78" s="2" t="inlineStr">
        <is>
          <t>76</t>
        </is>
      </c>
      <c r="N78" s="2" t="inlineStr">
        <is>
          <t>Clinic</t>
        </is>
      </c>
      <c r="O78" s="2" t="n"/>
      <c r="P78" s="2" t="n"/>
    </row>
    <row r="79" ht="13.2" customHeight="1" s="49">
      <c r="A79" s="8" t="n">
        <v>77</v>
      </c>
      <c r="B79" s="2" t="inlineStr">
        <is>
          <t>ในการตั้งตำหรับ Dry powder inhaler (DPI) ข้อใดต่อไปนี้ไม่ถูกต้อง</t>
        </is>
      </c>
      <c r="C79" s="2" t="n"/>
      <c r="D79" s="2" t="inlineStr">
        <is>
          <t>ขนาดอนุภาคตัวยาอยู่ระหว่าง 1-5 ไมครอน</t>
        </is>
      </c>
      <c r="E79" s="2" t="inlineStr">
        <is>
          <t>รูปแบบยาเป็นสารละลาย หรือ ยาแขวนตะกอน</t>
        </is>
      </c>
      <c r="F79" s="2" t="inlineStr">
        <is>
          <t>ไม่จำเป็นต้องใช้สารขับดัน</t>
        </is>
      </c>
      <c r="G79" s="2" t="inlineStr">
        <is>
          <t>ตัวยาเป็นลักษณะผงแห้ง</t>
        </is>
      </c>
      <c r="H79" s="2" t="inlineStr">
        <is>
          <t>ตัวยาสำคัญมีสมบัติละลายน้ำหรือไม่ละลายน้ำก็ได้</t>
        </is>
      </c>
      <c r="I79" s="8" t="n">
        <v>2</v>
      </c>
      <c r="J79" s="2"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2" t="n"/>
      <c r="L79" s="2" t="inlineStr">
        <is>
          <t>Asthma</t>
        </is>
      </c>
      <c r="M79" s="2" t="inlineStr">
        <is>
          <t>77</t>
        </is>
      </c>
      <c r="N79" s="2" t="inlineStr">
        <is>
          <t>Clinic</t>
        </is>
      </c>
      <c r="O79" s="2" t="n"/>
      <c r="P79" s="2" t="n"/>
    </row>
    <row r="80" ht="13.2" customHeight="1" s="49">
      <c r="A80" s="8" t="n">
        <v>78</v>
      </c>
      <c r="B80" s="2" t="inlineStr">
        <is>
          <t>ข้อใดกล่าวถึงลักษณะของ Metered dose inhaler (MDI) ได้ถูกต้อง</t>
        </is>
      </c>
      <c r="C80" s="2" t="n"/>
      <c r="D80" s="2" t="inlineStr">
        <is>
          <t>ขนาดอนุภาคที่เหมาะสมคือ 1-10 ไมครอน</t>
        </is>
      </c>
      <c r="E80" s="2" t="inlineStr">
        <is>
          <t>นิยมใช้สารขับดันเป็น Chloroflurocarbon (CFC)</t>
        </is>
      </c>
      <c r="F80" s="2" t="inlineStr">
        <is>
          <t>ยาจะผสมกับแก๊สเหลวในลักษณะเป็นสารละลาย หรือ ยาแขวนตะกอน</t>
        </is>
      </c>
      <c r="G80" s="2" t="inlineStr">
        <is>
          <t>นิยมเติม Lactose เข้าไปเพื่อปรับปรุงรสชาติขณะพ่นสูด</t>
        </is>
      </c>
      <c r="H80" s="2" t="inlineStr">
        <is>
          <t>ยาจะถูกฉีดพ่นออกทาง mouthpiece</t>
        </is>
      </c>
      <c r="I80" s="8" t="n">
        <v>3</v>
      </c>
      <c r="J80" s="2"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2" t="n"/>
      <c r="L80" s="2" t="inlineStr">
        <is>
          <t>Asthma</t>
        </is>
      </c>
      <c r="M80" s="2" t="inlineStr">
        <is>
          <t>78</t>
        </is>
      </c>
      <c r="N80" s="2" t="inlineStr">
        <is>
          <t>Clinic</t>
        </is>
      </c>
      <c r="O80" s="2" t="n"/>
      <c r="P80" s="2" t="n"/>
    </row>
    <row r="81" ht="13.2" customHeight="1" s="49">
      <c r="A81" s="8" t="n">
        <v>79</v>
      </c>
      <c r="B81" s="2" t="inlineStr">
        <is>
          <t>หัวข้อใดกล่าวถูกต้องเกี่ยวกับการนำส่งยาทางปอด</t>
        </is>
      </c>
      <c r="C81" s="2" t="n"/>
      <c r="D81" s="2" t="inlineStr">
        <is>
          <t>ขนาดยาที่ใช้ต่ำว่าขนาดรับประทาน</t>
        </is>
      </c>
      <c r="E81" s="2" t="inlineStr">
        <is>
          <t>ยาบางส่วนถูก first pass-metabolism</t>
        </is>
      </c>
      <c r="F81" s="2" t="inlineStr">
        <is>
          <t>อาจทำให้เกิดผลข้างเคียง หรืออาการไม่พึงประสงค์จากการใช้ยา เพราะตัวยาเกาะที่เนื้อเยื่อโดยตรง</t>
        </is>
      </c>
      <c r="G81" s="2" t="inlineStr">
        <is>
          <t>ยาพ่นสูดแบบ DPI จำเป็นต้องกลั้นหายใจขณะใช้ยา เพราะใช้หลักการ Inspiratory flow rate</t>
        </is>
      </c>
      <c r="H81" s="2" t="inlineStr">
        <is>
          <t>ถูกทุกข้อ</t>
        </is>
      </c>
      <c r="I81" s="8" t="n">
        <v>1</v>
      </c>
      <c r="J81" s="2"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2" t="n"/>
      <c r="L81" s="2" t="inlineStr">
        <is>
          <t>Asthma</t>
        </is>
      </c>
      <c r="M81" s="2" t="inlineStr">
        <is>
          <t>79</t>
        </is>
      </c>
      <c r="N81" s="2" t="inlineStr">
        <is>
          <t>Clinic</t>
        </is>
      </c>
      <c r="O81" s="2" t="n"/>
      <c r="P81" s="2" t="n"/>
    </row>
    <row r="82" ht="13.2" customHeight="1" s="49">
      <c r="A82" s="8" t="n">
        <v>80</v>
      </c>
      <c r="B82" s="2" t="inlineStr">
        <is>
          <t>การตรวจร่างกายในผู้ป่วย chronic obstructive pulmonary disease (COPD) จะพบผลตรวจดังนี้
ยกเว้น</t>
        </is>
      </c>
      <c r="C82" s="2" t="n"/>
      <c r="D82" s="2" t="inlineStr">
        <is>
          <t>หายใจเหนื่อยอย่างเรื้อรังและความรุนแรงของอาการเหนื่อยมากขึ้นเรื่อยๆ</t>
        </is>
      </c>
      <c r="E82" s="2" t="inlineStr">
        <is>
          <t>มีอาการไอแบบเรื้อรัง</t>
        </is>
      </c>
      <c r="F82" s="2" t="inlineStr">
        <is>
          <t>ค่า FEV1/FVC เพิ่มขึ้น</t>
        </is>
      </c>
      <c r="G82" s="2" t="inlineStr">
        <is>
          <t>ค่า FEV1/FVC ลดลง</t>
        </is>
      </c>
      <c r="H82" s="2" t="inlineStr">
        <is>
          <t>ค่า FEV1 ลดลง 22</t>
        </is>
      </c>
      <c r="I82" s="8" t="n">
        <v>3</v>
      </c>
      <c r="J82" s="2" t="inlineStr">
        <is>
          <t>✅ คำตอบที่ถูกต้อง: ข้อ ค. ค่า FEV1/FVC เพิ่มขึ้น
💡 Background:
ข้อสอบความรู้ทางวิชาชีพเภสัชกรรม (</t>
        </is>
      </c>
      <c r="K82" s="2" t="n"/>
      <c r="L82" s="2" t="inlineStr">
        <is>
          <t>Asthma/COPD</t>
        </is>
      </c>
      <c r="M82" s="2" t="inlineStr">
        <is>
          <t>Clinic</t>
        </is>
      </c>
      <c r="N82" s="2" t="inlineStr">
        <is>
          <t>ข้อสอบ ม.รังสิต ข้อ 15</t>
        </is>
      </c>
      <c r="O82" s="2" t="n"/>
      <c r="P82" s="2" t="n"/>
    </row>
    <row r="83" ht="13.2" customHeight="1" s="49">
      <c r="A83" s="8" t="n">
        <v>81</v>
      </c>
      <c r="B83" s="2" t="inlineStr">
        <is>
          <t>ผู้ป่วยในข้อใดต่อไปนี้ที่มีโอกาสเป็น chronic obstructive pulmonary disease (COPD)</t>
        </is>
      </c>
      <c r="C83" s="2" t="n"/>
      <c r="D83" s="2" t="inlineStr">
        <is>
          <t>นาย ก สูบบุหรี่วันละ 25 มวน เป็นเวลา 7 ปี</t>
        </is>
      </c>
      <c r="E83" s="2" t="inlineStr">
        <is>
          <t>นาย ข สูบบุหรี่วันละ 2 ซอง เป็นเวลา 15 ปี</t>
        </is>
      </c>
      <c r="F83" s="2" t="inlineStr">
        <is>
          <t>นาย ค สูบบุหรี่วันละ 1 ซอง เป็นเวลา 10 ปี</t>
        </is>
      </c>
      <c r="G83" s="2" t="inlineStr">
        <is>
          <t>นาย ง สูบบุหรี่วันละ 15 มวน เป็นเวลา 5 ปี</t>
        </is>
      </c>
      <c r="H83" s="2" t="inlineStr">
        <is>
          <t>นาย จ สูบบุหรี่วันละ 3 ซอง เป็นเวลา 6 ปี</t>
        </is>
      </c>
      <c r="I83" s="8" t="n">
        <v>2</v>
      </c>
      <c r="J83" s="2" t="inlineStr">
        <is>
          <t>✅ คำตอบที่ถูกต้อง: ข้อ ข. นาย ข สูบบุหรี่วันละ 2 ซอง เป็นเวลา 15 ปี
💡 Background:
ข้อสอบความรู้ทางวิชาชีพเภสัชกรรม (</t>
        </is>
      </c>
      <c r="K83" s="2" t="n"/>
      <c r="L83" s="2" t="inlineStr">
        <is>
          <t>Asthma/COPD</t>
        </is>
      </c>
      <c r="M83" s="2" t="inlineStr">
        <is>
          <t>Clinic</t>
        </is>
      </c>
      <c r="N83" s="2" t="inlineStr">
        <is>
          <t>ข้อสอบ ม.รังสิต ข้อ 16</t>
        </is>
      </c>
      <c r="O83" s="2" t="n"/>
      <c r="P83" s="2" t="n"/>
    </row>
    <row r="84" ht="13.2" customHeight="1" s="49">
      <c r="A84" s="8" t="n">
        <v>82</v>
      </c>
      <c r="B84" s="2" t="inlineStr">
        <is>
          <t>เบื้องต้นสันนิษฐานว่าผู้ป่วยเป็น COPD จากสาเหตุต่อไปนี้ ยกเว้น</t>
        </is>
      </c>
      <c r="C84" s="2" t="n"/>
      <c r="D84" s="2" t="inlineStr">
        <is>
          <t>สูบบุหรี่วันละ 25 มวน ตั้งแต่อายุ 35 ปี</t>
        </is>
      </c>
      <c r="E84" s="2" t="inlineStr">
        <is>
          <t>ภรรยาสูบบุหรี่ด้วย</t>
        </is>
      </c>
      <c r="F84" s="2" t="inlineStr">
        <is>
          <t>ดื่มสุรา</t>
        </is>
      </c>
      <c r="G84" s="2" t="inlineStr">
        <is>
          <t>เป็นโรคความดันโลหิตสูง</t>
        </is>
      </c>
      <c r="H84" s="2" t="inlineStr">
        <is>
          <t>ค และ ง</t>
        </is>
      </c>
      <c r="I84" s="8" t="n">
        <v>5</v>
      </c>
      <c r="J84" s="2" t="inlineStr">
        <is>
          <t>✅ คำตอบที่ถูกต้อง: ข้อ จ. ค และ ง
💡 Background:
ข้อสอบความรู้ทางวิชาชีพเภสัชกรรม (</t>
        </is>
      </c>
      <c r="K84" s="2" t="n"/>
      <c r="L84" s="2" t="inlineStr">
        <is>
          <t>Asthma/COPD</t>
        </is>
      </c>
      <c r="M84" s="2" t="inlineStr">
        <is>
          <t>Clinic</t>
        </is>
      </c>
      <c r="N84" s="2" t="inlineStr">
        <is>
          <t>ข้อสอบ ม.รังสิต ข้อ 17</t>
        </is>
      </c>
      <c r="O84" s="2" t="n"/>
      <c r="P84" s="2" t="n"/>
    </row>
    <row r="85" ht="13.2" customHeight="1" s="49">
      <c r="A85" s="8" t="n">
        <v>83</v>
      </c>
      <c r="B85" s="2" t="inlineStr">
        <is>
          <t>ผู้ป่วยรายนี้ควรได้รับการรักษาด้วยยาเริ่มแรก (first-choice) ด้วยวิธีใดถึงจะเหมาะสมที่สุด</t>
        </is>
      </c>
      <c r="C85" s="2" t="n"/>
      <c r="D85" s="2" t="inlineStr">
        <is>
          <t>LABA or LAMA</t>
        </is>
      </c>
      <c r="E85" s="2" t="inlineStr">
        <is>
          <t>LABA and LAMA</t>
        </is>
      </c>
      <c r="F85" s="2" t="inlineStr">
        <is>
          <t>SABA and/or SAMA theophylline</t>
        </is>
      </c>
      <c r="G85" s="2" t="inlineStr">
        <is>
          <t>ข และ ค</t>
        </is>
      </c>
      <c r="H85" s="2" t="inlineStr">
        <is>
          <t>ก, ข และ ค 24</t>
        </is>
      </c>
      <c r="I85" s="8" t="n">
        <v>1</v>
      </c>
      <c r="J85" s="2" t="inlineStr">
        <is>
          <t>✅ คำตอบที่ถูกต้อง: ข้อ ก. LABA or LAMA
💡 Background:
ข้อสอบความรู้ทางวิชาชีพเภสัชกรรม (</t>
        </is>
      </c>
      <c r="K85" s="2" t="n"/>
      <c r="L85" s="2" t="inlineStr">
        <is>
          <t>Asthma/COPD</t>
        </is>
      </c>
      <c r="M85" s="2" t="inlineStr">
        <is>
          <t>Clinic</t>
        </is>
      </c>
      <c r="N85" s="2" t="inlineStr">
        <is>
          <t>ข้อสอบ ม.รังสิต ข้อ 18</t>
        </is>
      </c>
      <c r="O85" s="2" t="n"/>
      <c r="P85" s="2" t="n"/>
    </row>
    <row r="86" ht="13.2" customHeight="1" s="49">
      <c r="A86" s="8" t="n">
        <v>84</v>
      </c>
      <c r="B86" s="2" t="inlineStr">
        <is>
          <t>จากข้อ 18 ยาใดเหมาะสมที่สุดที่ผู้ป่วยรายนี้ควรได้รับ</t>
        </is>
      </c>
      <c r="C86" s="2" t="n"/>
      <c r="D86" s="2" t="inlineStr">
        <is>
          <t>Salbutamol+Terbutaline</t>
        </is>
      </c>
      <c r="E86" s="2" t="inlineStr">
        <is>
          <t>Salbutamol+Budesonide</t>
        </is>
      </c>
      <c r="F86" s="2" t="inlineStr">
        <is>
          <t>Salmeterol+Tiotropium</t>
        </is>
      </c>
      <c r="G86" s="2" t="inlineStr">
        <is>
          <t>Salmeterol or Tiotropium</t>
        </is>
      </c>
      <c r="H86" s="2" t="inlineStr">
        <is>
          <t>ค และ ง</t>
        </is>
      </c>
      <c r="I86" s="8" t="n">
        <v>4</v>
      </c>
      <c r="J86" s="2" t="inlineStr">
        <is>
          <t>✅ คำตอบที่ถูกต้อง: ข้อ ง. Salmeterol or Tiotropium
💡 Background:
ข้อสอบความรู้ทางวิชาชีพเภสัชกรรม (</t>
        </is>
      </c>
      <c r="K86" s="2" t="n"/>
      <c r="L86" s="2" t="inlineStr">
        <is>
          <t>Asthma/COPD</t>
        </is>
      </c>
      <c r="M86" s="2" t="inlineStr">
        <is>
          <t>Clinic</t>
        </is>
      </c>
      <c r="N86" s="2" t="inlineStr">
        <is>
          <t>ข้อสอบ ม.รังสิต ข้อ 19</t>
        </is>
      </c>
      <c r="O86" s="2" t="n"/>
      <c r="P86" s="2" t="n"/>
    </row>
    <row r="87" ht="13.2" customHeight="1" s="49">
      <c r="A87" s="8" t="n">
        <v>85</v>
      </c>
      <c r="B87" s="2" t="inlineStr">
        <is>
          <t>สองอาทิตย์ต่อมาผู้ป่วยกลับมาพบแพทย์ด้วยอาการที่ยังควบคุมไม่ค่อยได้ เมื่อดูผลทางห้องปฏิบัติการ
พบว่าทุกอย่างเหมือนกับครั้งก่อนที่ผู้ป่วยมาตรวจ แพทย์จึงตัดสินใจให้ผู้ป่วยปรับเปลี่ยนการใช้ยาใหม่
แพทย์จะต้องปรับเปลี่ยนการใช้ยาอย่างไร</t>
        </is>
      </c>
      <c r="C87" s="2" t="n"/>
      <c r="D87" s="2" t="inlineStr">
        <is>
          <t>จ่าย salbutamol เพิ่ม</t>
        </is>
      </c>
      <c r="E87" s="2" t="inlineStr">
        <is>
          <t>จ่าย ICS เพิ่ม</t>
        </is>
      </c>
      <c r="F87" s="2" t="inlineStr">
        <is>
          <t>จ่าย salmeterol + tiotropium 2 ตัวคู่กัน</t>
        </is>
      </c>
      <c r="G87" s="2" t="inlineStr">
        <is>
          <t>จ่าย theophylline เพิ่ม</t>
        </is>
      </c>
      <c r="H87" s="2" t="inlineStr">
        <is>
          <t>ค และ ง</t>
        </is>
      </c>
      <c r="I87" s="8" t="n">
        <v>3</v>
      </c>
      <c r="J87" s="2" t="inlineStr">
        <is>
          <t>✅ คำตอบที่ถูกต้อง: ข้อ ค. จ่าย salmeterol + tiotropium 2 ตัวคู่กัน
💡 Background:
ข้อสอบความรู้ทางวิชาชีพเภสัชกรรม (</t>
        </is>
      </c>
      <c r="K87" s="2" t="n"/>
      <c r="L87" s="2" t="inlineStr">
        <is>
          <t>Asthma/COPD</t>
        </is>
      </c>
      <c r="M87" s="2" t="inlineStr">
        <is>
          <t>Clinic</t>
        </is>
      </c>
      <c r="N87" s="2" t="inlineStr">
        <is>
          <t>ข้อสอบ ม.รังสิต ข้อ 20</t>
        </is>
      </c>
      <c r="O87" s="2" t="n"/>
      <c r="P87" s="2" t="n"/>
    </row>
    <row r="88" ht="13.2" customHeight="1" s="49">
      <c r="A88" s="8" t="n">
        <v>86</v>
      </c>
      <c r="B88" s="2" t="inlineStr">
        <is>
          <t>ข้อใดคือคำแนะนำในการใช้ยาพ่น corticosteroid DPI</t>
        </is>
      </c>
      <c r="C88" s="2" t="n"/>
      <c r="D88" s="2" t="inlineStr">
        <is>
          <t>เขย่าขวดก่อนใช้</t>
        </is>
      </c>
      <c r="E88" s="2" t="inlineStr">
        <is>
          <t>เงยหน้าขึ้นสูงขณะพ่นยา</t>
        </is>
      </c>
      <c r="F88" s="2" t="inlineStr">
        <is>
          <t>หลังพ่นยา ให้กลั้วปาก และคอด้วยน้ าแล้วบ้วนทิ้ง</t>
        </is>
      </c>
      <c r="G88" s="2" t="inlineStr">
        <is>
          <t>หลังพ่นยา ให้ดื่มน้ าตามมากๆ</t>
        </is>
      </c>
      <c r="H88" s="2" t="inlineStr">
        <is>
          <t>หลังพ่นยา ให้ล้างน้ าทำความสะอาดเครื่องพ่นยาทุกครั้ง</t>
        </is>
      </c>
      <c r="I88" s="8" t="n">
        <v>3</v>
      </c>
      <c r="J88" s="2" t="inlineStr">
        <is>
          <t>✅ คำตอบที่ถูกต้อง: ข้อ ค. หลังพ่นยา ให้กลั้วปาก และคอด้วยน้ าแล้วบ้วนทิ้ง
💡 Background:
ข้อสอบความรู้ทางวิชาชีพเภสัชกรรม (</t>
        </is>
      </c>
      <c r="K88" s="2" t="n"/>
      <c r="L88" s="2" t="inlineStr">
        <is>
          <t>Asthma/COPD</t>
        </is>
      </c>
      <c r="M88" s="2" t="inlineStr">
        <is>
          <t>Clinic</t>
        </is>
      </c>
      <c r="N88" s="2" t="inlineStr">
        <is>
          <t>ข้อสอบ ม.รังสิต ข้อ 21</t>
        </is>
      </c>
      <c r="O88" s="2" t="n"/>
      <c r="P88" s="2" t="n"/>
    </row>
    <row r="89" ht="13.2" customHeight="1" s="49">
      <c r="A89" s="8" t="n">
        <v>87</v>
      </c>
      <c r="B89" s="2" t="inlineStr">
        <is>
          <t>หมู่ฟังก์ชันใดบนโครงสร้างของ corticosteroid ที่ไม่จำเป็นต่อการจับกับ glucocorticoid receptor</t>
        </is>
      </c>
      <c r="C89" s="2" t="n"/>
      <c r="D89" s="2" t="inlineStr">
        <is>
          <t>3-carbonyl</t>
        </is>
      </c>
      <c r="E89" s="2" t="inlineStr">
        <is>
          <t>Double bond ตำแหน่งที่ 4-5</t>
        </is>
      </c>
      <c r="F89" s="2" t="inlineStr">
        <is>
          <t>9-methyl</t>
        </is>
      </c>
      <c r="G89" s="2" t="inlineStr">
        <is>
          <t>O-atom ตำแหน่งที่ 11 25</t>
        </is>
      </c>
      <c r="H89" s="2" t="inlineStr">
        <is>
          <t>17-beta ketone-side chain</t>
        </is>
      </c>
      <c r="I89" s="8" t="n">
        <v>3</v>
      </c>
      <c r="J89" s="2" t="inlineStr">
        <is>
          <t>✅ คำตอบที่ถูกต้อง: ข้อ ค. 9-methyl
💡 Background:
ข้อสอบความรู้ทางวิชาชีพเภสัชกรรม (</t>
        </is>
      </c>
      <c r="K89" s="2" t="n"/>
      <c r="L89" s="2" t="inlineStr">
        <is>
          <t>Asthma/COPD</t>
        </is>
      </c>
      <c r="M89" s="2" t="inlineStr">
        <is>
          <t>Clinic</t>
        </is>
      </c>
      <c r="N89" s="2" t="inlineStr">
        <is>
          <t>ข้อสอบ ม.รังสิต ข้อ 22</t>
        </is>
      </c>
      <c r="O89" s="2" t="n"/>
      <c r="P89" s="2" t="n"/>
    </row>
    <row r="90" ht="13.2" customHeight="1" s="49">
      <c r="A90" s="8" t="n">
        <v>88</v>
      </c>
      <c r="B90" s="2" t="inlineStr">
        <is>
          <t>เทคนิคทางโครมาโตรกราฟีใดต่อไปนี้สามารถแยกความแตกต่างระหว่าง theophylline และ
caffeine ได้
caffeine                                     theophylline</t>
        </is>
      </c>
      <c r="C90" s="2" t="n"/>
      <c r="D90" s="2" t="inlineStr">
        <is>
          <t>Chiral chromatography</t>
        </is>
      </c>
      <c r="E90" s="2" t="inlineStr">
        <is>
          <t>Countercurrent chromatography</t>
        </is>
      </c>
      <c r="F90" s="2" t="inlineStr">
        <is>
          <t>Ion exchange chromatography</t>
        </is>
      </c>
      <c r="G90" s="2" t="inlineStr">
        <is>
          <t>Reverse phase chromatography</t>
        </is>
      </c>
      <c r="H90" s="2" t="inlineStr">
        <is>
          <t>Size exclusion chromatography</t>
        </is>
      </c>
      <c r="I90" s="8" t="n">
        <v>4</v>
      </c>
      <c r="J90" s="2" t="inlineStr">
        <is>
          <t>✅ คำตอบที่ถูกต้อง: ข้อ ง. Reverse phase chromatography
💡 Background:
ข้อสอบความรู้ทางวิชาชีพเภสัชกรรม (</t>
        </is>
      </c>
      <c r="K90" s="2" t="n"/>
      <c r="L90" s="2" t="inlineStr">
        <is>
          <t>Asthma/COPD</t>
        </is>
      </c>
      <c r="M90" s="2" t="inlineStr">
        <is>
          <t>Clinic</t>
        </is>
      </c>
      <c r="N90" s="2" t="inlineStr">
        <is>
          <t>ข้อสอบ ม.รังสิต ข้อ 23</t>
        </is>
      </c>
      <c r="O90" s="2" t="n"/>
      <c r="P90" s="2" t="n"/>
    </row>
    <row r="91" ht="13.2" customHeight="1" s="49">
      <c r="A91" s="8" t="n">
        <v>89</v>
      </c>
      <c r="B91" s="2" t="inlineStr">
        <is>
          <t>ข้อใดต่อไปนี้ ที่ไม่ถูกต้องเกี่ยวกับการวินิจฉัยโรคข้างต้น</t>
        </is>
      </c>
      <c r="C91" s="2" t="n"/>
      <c r="D91" s="2" t="inlineStr">
        <is>
          <t>มีอาการไอเรื้อรัง</t>
        </is>
      </c>
      <c r="E91" s="2" t="inlineStr">
        <is>
          <t>มีประวัติการสูบบุหรี่</t>
        </is>
      </c>
      <c r="F91" s="2" t="inlineStr">
        <is>
          <t>ใช้ GOLD guideline ในการประเมินความรุนแรง</t>
        </is>
      </c>
      <c r="G91" s="2" t="inlineStr">
        <is>
          <t>มีการตอบสนองภายหลังการใช้ยาขยายหลอดลม น้อยกว่า ร้อยละ 12</t>
        </is>
      </c>
      <c r="H91" s="2" t="inlineStr">
        <is>
          <t>หลังการใช้ยาขยายหลอดลม จะมีค่า FEV1/FVC เพิ่มขึ้น 26</t>
        </is>
      </c>
      <c r="I91" s="8" t="n">
        <v>5</v>
      </c>
      <c r="J91" s="2" t="inlineStr">
        <is>
          <t>✅ คำตอบที่ถูกต้อง: ข้อ จ. หลังการใช้ยาขยายหลอดลม จะมีค่า FEV1/FVC เพิ่มขึ้น 26
💡 Background:
ข้อสอบความรู้ทางวิชาชีพเภสัชกรรม (</t>
        </is>
      </c>
      <c r="K91" s="2" t="n"/>
      <c r="L91" s="2" t="inlineStr">
        <is>
          <t>Asthma/COPD</t>
        </is>
      </c>
      <c r="M91" s="2" t="inlineStr">
        <is>
          <t>Clinic</t>
        </is>
      </c>
      <c r="N91" s="2" t="inlineStr">
        <is>
          <t>ข้อสอบ ม.รังสิต ข้อ 24</t>
        </is>
      </c>
      <c r="O91" s="2" t="n"/>
      <c r="P91" s="2" t="n"/>
    </row>
    <row r="92" ht="13.2" customHeight="1" s="49">
      <c r="A92" s="8" t="n">
        <v>90</v>
      </c>
      <c r="B92" s="2" t="inlineStr">
        <is>
          <t>ข้อใดเป็นผลข้างเคียงของยาพ่น salbutamol</t>
        </is>
      </c>
      <c r="C92" s="2" t="n"/>
      <c r="D92" s="2" t="inlineStr">
        <is>
          <t>ใจสั่น</t>
        </is>
      </c>
      <c r="E92" s="2" t="inlineStr">
        <is>
          <t>Hyperkalemia</t>
        </is>
      </c>
      <c r="F92" s="2" t="inlineStr">
        <is>
          <t>Bradycardia</t>
        </is>
      </c>
      <c r="G92" s="2" t="inlineStr">
        <is>
          <t>Oral trush</t>
        </is>
      </c>
      <c r="H92" s="2" t="inlineStr">
        <is>
          <t>Osteoporosis</t>
        </is>
      </c>
      <c r="I92" s="8" t="n">
        <v>1</v>
      </c>
      <c r="J92" s="2" t="inlineStr">
        <is>
          <t>✅ คำตอบที่ถูกต้อง: ข้อ ก. ใจสั่น
💡 Background:
ข้อสอบความรู้ทางวิชาชีพเภสัชกรรม (</t>
        </is>
      </c>
      <c r="K92" s="2" t="n"/>
      <c r="L92" s="2" t="inlineStr">
        <is>
          <t>Asthma/COPD</t>
        </is>
      </c>
      <c r="M92" s="2" t="inlineStr">
        <is>
          <t>Clinic</t>
        </is>
      </c>
      <c r="N92" s="2" t="inlineStr">
        <is>
          <t>ข้อสอบ ม.รังสิต ข้อ 25</t>
        </is>
      </c>
      <c r="O92" s="2" t="n"/>
      <c r="P92" s="2" t="n"/>
    </row>
    <row r="93" ht="13.2" customHeight="1" s="49">
      <c r="A93" s="8" t="n">
        <v>91</v>
      </c>
      <c r="B93" s="2" t="inlineStr">
        <is>
          <t>ต่อมาผู้ป่วยอาการไม่ดีขึ้น โดยแพทย์ประเมินว่าอยู่ใน Group B COPD ยาในข้อใดต่อไปนี้ที่ควรได้รับ
เพิ่มเติมจาก salbutamol prn</t>
        </is>
      </c>
      <c r="C93" s="2" t="n"/>
      <c r="D93" s="2" t="inlineStr">
        <is>
          <t>Fenoterol</t>
        </is>
      </c>
      <c r="E93" s="2" t="inlineStr">
        <is>
          <t>Ipratropium Br</t>
        </is>
      </c>
      <c r="F93" s="2" t="inlineStr">
        <is>
          <t>Tiotropium Br</t>
        </is>
      </c>
      <c r="G93" s="2" t="inlineStr">
        <is>
          <t>Budesonide</t>
        </is>
      </c>
      <c r="H93" s="2" t="inlineStr">
        <is>
          <t>Sodium cromoglycolate</t>
        </is>
      </c>
      <c r="I93" s="8" t="n">
        <v>3</v>
      </c>
      <c r="J93" s="2" t="inlineStr">
        <is>
          <t>✅ คำตอบที่ถูกต้อง: ข้อ ค. Tiotropium Br
💡 Background:
ข้อสอบความรู้ทางวิชาชีพเภสัชกรรม (</t>
        </is>
      </c>
      <c r="K93" s="2" t="n"/>
      <c r="L93" s="2" t="inlineStr">
        <is>
          <t>Asthma/COPD</t>
        </is>
      </c>
      <c r="M93" s="2" t="inlineStr">
        <is>
          <t>Clinic</t>
        </is>
      </c>
      <c r="N93" s="2" t="inlineStr">
        <is>
          <t>ข้อสอบ ม.รังสิต ข้อ 26</t>
        </is>
      </c>
      <c r="O93" s="2" t="n"/>
      <c r="P93" s="2" t="n"/>
    </row>
    <row r="94" ht="13.2" customHeight="1" s="49">
      <c r="A94" s="8" t="n">
        <v>92</v>
      </c>
      <c r="B94" s="2" t="inlineStr">
        <is>
          <t>ข้อใดผิดเกี่ยวกับยาพ่นชนิด MDIs</t>
        </is>
      </c>
      <c r="C94" s="2" t="n"/>
      <c r="D94" s="2" t="inlineStr">
        <is>
          <t>การกดยาและสูดยา ต้องมีความสัมพันธ์กัน</t>
        </is>
      </c>
      <c r="E94" s="2" t="inlineStr">
        <is>
          <t>ตัวยามักเป็นของเหลว</t>
        </is>
      </c>
      <c r="F94" s="2" t="inlineStr">
        <is>
          <t>มีการผสมสารขับดัน (propellant)</t>
        </is>
      </c>
      <c r="G94" s="2" t="inlineStr">
        <is>
          <t>ควรสูดหายใจช้า ๆ และลึก ๆ</t>
        </is>
      </c>
      <c r="H94" s="2" t="inlineStr">
        <is>
          <t>เครื่องพ่นมีตัวยา จึงไม่ควรล้างน้ า</t>
        </is>
      </c>
      <c r="I94" s="8" t="n">
        <v>5</v>
      </c>
      <c r="J94" s="2" t="inlineStr">
        <is>
          <t>✅ คำตอบที่ถูกต้อง: ข้อ จ. เครื่องพ่นมีตัวยา จึงไม่ควรล้างน้ า
💡 Background:
ข้อสอบความรู้ทางวิชาชีพเภสัชกรรม (</t>
        </is>
      </c>
      <c r="K94" s="2" t="n"/>
      <c r="L94" s="2" t="inlineStr">
        <is>
          <t>Asthma/COPD</t>
        </is>
      </c>
      <c r="M94" s="2" t="inlineStr">
        <is>
          <t>Clinic</t>
        </is>
      </c>
      <c r="N94" s="2" t="inlineStr">
        <is>
          <t>ข้อสอบ ม.รังสิต ข้อ 27</t>
        </is>
      </c>
      <c r="O94" s="2" t="n"/>
      <c r="P94" s="2" t="n"/>
    </row>
    <row r="95" ht="13.2" customHeight="1" s="49">
      <c r="A95" s="8" t="n">
        <v>93</v>
      </c>
      <c r="B95" s="2" t="inlineStr">
        <is>
          <t>ข้อใดถูกต้องเกี่ยวกับ ยา Seretideหaccuhaler (salmeterol + fluticasone)</t>
        </is>
      </c>
      <c r="C95" s="2" t="n"/>
      <c r="D95" s="2" t="inlineStr">
        <is>
          <t>ไม่จำเป็นต้องกลั้วปากและคอหลังพ่นยาเสร็จ</t>
        </is>
      </c>
      <c r="E95" s="2" t="inlineStr">
        <is>
          <t>แนะนำให้พ่นยาต่อเนื่องทุกวัน เพื่อควบคุมอาการ</t>
        </is>
      </c>
      <c r="F95" s="2" t="inlineStr">
        <is>
          <t>ควรเขย่าอุปกรณ์ก่อนพ่นยา เพื่อให้สารขับดันออกฤทธิ์ดีขึ้น</t>
        </is>
      </c>
      <c r="G95" s="2" t="inlineStr">
        <is>
          <t>สามารถใช้พ่นเมื่อเกิดอาการจับหืด เนื่องจากมีการผสมตัวยาแบบออกฤทธิ์เร็วไว้ด้วย</t>
        </is>
      </c>
      <c r="H95" s="2" t="inlineStr">
        <is>
          <t>ขนาดอนุภาคควรเล็กกว่า 1 ไมโครเมตร เพื่อให้ไม่ตกค้างในช่องปาก 27 หัวข้อเรื่อง Asthma</t>
        </is>
      </c>
      <c r="I95" s="8" t="n">
        <v>2</v>
      </c>
      <c r="J95" s="2" t="inlineStr">
        <is>
          <t>✅ คำตอบที่ถูกต้อง: ข้อ ข. แนะนำให้พ่นยาต่อเนื่องทุกวัน เพื่อควบคุมอาการ
💡 Background:
ข้อสอบความรู้ทางวิชาชีพเภสัชกรรม (</t>
        </is>
      </c>
      <c r="K95" s="2" t="n"/>
      <c r="L95" s="2" t="inlineStr">
        <is>
          <t>Asthma/COPD</t>
        </is>
      </c>
      <c r="M95" s="2" t="inlineStr">
        <is>
          <t>Clinic</t>
        </is>
      </c>
      <c r="N95" s="2" t="inlineStr">
        <is>
          <t>ข้อสอบ ม.รังสิต ข้อ 28</t>
        </is>
      </c>
      <c r="O95" s="2" t="n"/>
      <c r="P95" s="2" t="n"/>
    </row>
    <row r="96" ht="13.2" customHeight="1" s="49">
      <c r="A96" s="8" t="n">
        <v>94</v>
      </c>
      <c r="B96" s="2" t="inlineStr">
        <is>
          <t>ข้อใดไม่ใช่คำถามที่ใช้ในการประเมินความรุนแรงของผู้ป่วยโรคหืดใน GINA assessment of symptom
control</t>
        </is>
      </c>
      <c r="C96" s="2" t="n"/>
      <c r="D96" s="2" t="inlineStr">
        <is>
          <t>มีอาการจับหืดตอนกลางวันมากกว่า 2 ครั้งต่อสัปดาห์</t>
        </is>
      </c>
      <c r="E96" s="2" t="inlineStr">
        <is>
          <t>ต้องใช้ยาพ่นขยายหลอดลมมากกว่า 2 ครั้งต่อสัปดาห์</t>
        </is>
      </c>
      <c r="F96" s="2" t="inlineStr">
        <is>
          <t>อาการรบกวนชีวิตประจำวันหรือไม่</t>
        </is>
      </c>
      <c r="G96" s="2" t="inlineStr">
        <is>
          <t>ค่า FEV1 สูงกว่า 60% predicted มีความเสี่ยงต่อการเกิด exacerbation มาก</t>
        </is>
      </c>
      <c r="H96" s="2" t="inlineStr">
        <is>
          <t>ตื่นกลางดึกเนื่องจากหืด</t>
        </is>
      </c>
      <c r="I96" s="8" t="n">
        <v>4</v>
      </c>
      <c r="J96" s="2" t="inlineStr">
        <is>
          <t>✅ คำตอบที่ถูกต้อง: ข้อ ง. ค่า FEV1 สูงกว่า 60% predicted มีความเสี่ยงต่อการเกิด exacerbation มาก
💡 Background:
ข้อสอบความรู้ทางวิชาชีพเภสัชกรรม (</t>
        </is>
      </c>
      <c r="K96" s="2" t="n"/>
      <c r="L96" s="2" t="inlineStr">
        <is>
          <t>Asthma/COPD</t>
        </is>
      </c>
      <c r="M96" s="2" t="inlineStr">
        <is>
          <t>Clinic</t>
        </is>
      </c>
      <c r="N96" s="2" t="inlineStr">
        <is>
          <t>ข้อสอบ ม.รังสิต ข้อ 29</t>
        </is>
      </c>
      <c r="O96" s="2" t="n"/>
      <c r="P96" s="2" t="n"/>
    </row>
    <row r="97" ht="13.2" customHeight="1" s="49">
      <c r="A97" s="8" t="n">
        <v>95</v>
      </c>
      <c r="B97" s="2" t="inlineStr">
        <is>
          <t>จากกรณีศึกษาดังกล่าว ควรพิจารณาเปลี่ยนแปลงการรักษาใดให้ผู้ป่วยหรือไม่</t>
        </is>
      </c>
      <c r="C97" s="2" t="n"/>
      <c r="D97" s="2" t="inlineStr">
        <is>
          <t>ควรพิจารณาการ step down</t>
        </is>
      </c>
      <c r="E97" s="2" t="inlineStr">
        <is>
          <t>ควรพิจารณาการ step up</t>
        </is>
      </c>
      <c r="F97" s="2" t="inlineStr">
        <is>
          <t>ไม่ต้องเปลี่ยนแปลงการรักษา</t>
        </is>
      </c>
      <c r="G97" s="2" t="inlineStr">
        <is>
          <t>เปลี่ยนจาก salbutamol ไปใช้ salmeterol</t>
        </is>
      </c>
      <c r="H97" s="2" t="inlineStr">
        <is>
          <t>ตัด theophylline ออก</t>
        </is>
      </c>
      <c r="I97" s="8" t="n">
        <v>2</v>
      </c>
      <c r="J97" s="2" t="inlineStr">
        <is>
          <t>✅ คำตอบที่ถูกต้อง: ข้อ ข. ควรพิจารณาการ step up
💡 Background:
ข้อสอบความรู้ทางวิชาชีพเภสัชกรรม (</t>
        </is>
      </c>
      <c r="K97" s="2" t="n"/>
      <c r="L97" s="2" t="inlineStr">
        <is>
          <t>Asthma/COPD</t>
        </is>
      </c>
      <c r="M97" s="2" t="inlineStr">
        <is>
          <t>Clinic</t>
        </is>
      </c>
      <c r="N97" s="2" t="inlineStr">
        <is>
          <t>ข้อสอบ ม.รังสิต ข้อ 30</t>
        </is>
      </c>
      <c r="O97" s="2" t="n"/>
      <c r="P97" s="2" t="n"/>
    </row>
    <row r="98" ht="13.2" customHeight="1" s="49">
      <c r="A98" s="8" t="n">
        <v>96</v>
      </c>
      <c r="B98" s="2" t="inlineStr">
        <is>
          <t>เมื่อเลือกการรักษาจากข้อ 30 แล้ว คิดว่าควรให้ยาในข้อใด</t>
        </is>
      </c>
      <c r="C98" s="2" t="n"/>
      <c r="D98" s="2" t="inlineStr">
        <is>
          <t>Beclometasone dipropionate 200 mcg + Salbutamol</t>
        </is>
      </c>
      <c r="E98" s="2" t="inlineStr">
        <is>
          <t>Fluticasone propionate 200 mcg + Symbicortห (Budesonide/Formoterol)</t>
        </is>
      </c>
      <c r="F98" s="2" t="inlineStr">
        <is>
          <t>Omalizumab + Symbicortห (Budesonide/Formoterol)</t>
        </is>
      </c>
      <c r="G98" s="2" t="inlineStr">
        <is>
          <t>Fluticasone propionate 400 mcg +  Symbicortห ( Budesonide/ Formoterol)  + Tiotropium</t>
        </is>
      </c>
      <c r="H98" s="2" t="inlineStr">
        <is>
          <t>Beclometasone dipropionate 200 mcg เพียงอย่างเดียว 28</t>
        </is>
      </c>
      <c r="I98" s="8" t="n">
        <v>2</v>
      </c>
      <c r="J98" s="2" t="inlineStr">
        <is>
          <t>✅ คำตอบที่ถูกต้อง: ข้อ ข. Fluticasone propionate 200 mcg + Symbicortห (Budesonide/Formoterol)
💡 Background:
ข้อสอบความรู้ทางวิชาชีพเภสัชกรรม (</t>
        </is>
      </c>
      <c r="K98" s="2" t="n"/>
      <c r="L98" s="2" t="inlineStr">
        <is>
          <t>Asthma/COPD</t>
        </is>
      </c>
      <c r="M98" s="2" t="inlineStr">
        <is>
          <t>Clinic</t>
        </is>
      </c>
      <c r="N98" s="2" t="inlineStr">
        <is>
          <t>ข้อสอบ ม.รังสิต ข้อ 31</t>
        </is>
      </c>
      <c r="O98" s="2" t="n"/>
      <c r="P98" s="2" t="n"/>
    </row>
    <row r="99" ht="13.2" customHeight="1" s="49">
      <c r="A99" s="8" t="n">
        <v>97</v>
      </c>
      <c r="B99" s="2" t="inlineStr">
        <is>
          <t>ข้อใดผิดเกี่ยวกับหลักการพิจารณาการ step down</t>
        </is>
      </c>
      <c r="C99" s="2" t="n"/>
      <c r="D99" s="2" t="inlineStr">
        <is>
          <t>ผู้ป่วยสามารถควบคุมอาการได้อย่างน้อย 3 เดือน</t>
        </is>
      </c>
      <c r="E99" s="2" t="inlineStr">
        <is>
          <t>ไม่อยู่ระหว่างการตั้งครรภ์</t>
        </is>
      </c>
      <c r="F99" s="2" t="inlineStr">
        <is>
          <t>บันทึก baseline status</t>
        </is>
      </c>
      <c r="G99" s="2" t="inlineStr">
        <is>
          <t>หยุด ICS ทันที</t>
        </is>
      </c>
      <c r="H99" s="2" t="inlineStr">
        <is>
          <t>พิจารณา step down ในขณะที่ไม่อยู่ระหว่างการติดเชื้อทางเดินหายใจในระหว่างการท่องเที่ยว</t>
        </is>
      </c>
      <c r="I99" s="8" t="n">
        <v>4</v>
      </c>
      <c r="J99" s="2" t="inlineStr">
        <is>
          <t>✅ คำตอบที่ถูกต้อง: ข้อ ง. หยุด ICS ทันที
💡 Background:
ข้อสอบความรู้ทางวิชาชีพเภสัชกรรม (</t>
        </is>
      </c>
      <c r="K99" s="2" t="n"/>
      <c r="L99" s="2" t="inlineStr">
        <is>
          <t>Asthma/COPD</t>
        </is>
      </c>
      <c r="M99" s="2" t="inlineStr">
        <is>
          <t>Clinic</t>
        </is>
      </c>
      <c r="N99" s="2" t="inlineStr">
        <is>
          <t>ข้อสอบ ม.รังสิต ข้อ 32</t>
        </is>
      </c>
      <c r="O99" s="2" t="n"/>
      <c r="P99" s="2" t="n"/>
    </row>
    <row r="100" ht="13.2" customHeight="1" s="49">
      <c r="A100" s="8" t="n">
        <v>98</v>
      </c>
      <c r="B100" s="2" t="inlineStr">
        <is>
          <t>ข้อใดไม่ใช่ short-acting beta 2 agonist</t>
        </is>
      </c>
      <c r="C100" s="2" t="n"/>
      <c r="D100" s="2" t="inlineStr">
        <is>
          <t>Fenoterol</t>
        </is>
      </c>
      <c r="E100" s="2" t="inlineStr">
        <is>
          <t>Terbutaline</t>
        </is>
      </c>
      <c r="F100" s="2" t="inlineStr">
        <is>
          <t>Procaterol</t>
        </is>
      </c>
      <c r="G100" s="2" t="inlineStr">
        <is>
          <t>Bambuterol</t>
        </is>
      </c>
      <c r="H100" s="2" t="inlineStr">
        <is>
          <t>Salmeterol</t>
        </is>
      </c>
      <c r="I100" s="8" t="n">
        <v>5</v>
      </c>
      <c r="J100" s="2" t="inlineStr">
        <is>
          <t>✅ คำตอบที่ถูกต้อง: ข้อ จ. Salmeterol
💡 Background:
ข้อสอบความรู้ทางวิชาชีพเภสัชกรรม (</t>
        </is>
      </c>
      <c r="K100" s="2" t="n"/>
      <c r="L100" s="2" t="inlineStr">
        <is>
          <t>Asthma/COPD</t>
        </is>
      </c>
      <c r="M100" s="2" t="inlineStr">
        <is>
          <t>Clinic</t>
        </is>
      </c>
      <c r="N100" s="2" t="inlineStr">
        <is>
          <t>ข้อสอบ ม.รังสิต ข้อ 33</t>
        </is>
      </c>
      <c r="O100" s="2" t="n"/>
      <c r="P100" s="2" t="n"/>
    </row>
    <row r="101" ht="13.2" customHeight="1" s="49">
      <c r="A101" s="8" t="n">
        <v>99</v>
      </c>
      <c r="B101" s="2" t="inlineStr">
        <is>
          <t>ข้อใดถูกต้องเกี่ยวกับการใช้ beta2 agonist ในโรคหืด</t>
        </is>
      </c>
      <c r="C101" s="2" t="n"/>
      <c r="D101" s="2" t="inlineStr">
        <is>
          <t>ใช้เพื่อป้องกันอาการเท่านั้น</t>
        </is>
      </c>
      <c r="E101" s="2" t="inlineStr">
        <is>
          <t>ความถี่ของการใช้ short-acting beta-2 agonist เป็นตัวบ่งบอกถึงผลการรักษา</t>
        </is>
      </c>
      <c r="F101" s="2" t="inlineStr">
        <is>
          <t>อาจทำให้ดื้อยาหากใช้เป็นประจำ</t>
        </is>
      </c>
      <c r="G101" s="2" t="inlineStr">
        <is>
          <t>มีประสิทธิภาพมากที่สุด ใช้เป็นยาควบคุม และลดอาการกำเริบของหอบหืดเฉียบพลัน</t>
        </is>
      </c>
      <c r="H101" s="2" t="inlineStr">
        <is>
          <t>เพิ่มความเสี่ยงการเสียชีวิตหากใช้เป็นประจำ</t>
        </is>
      </c>
      <c r="I101" s="8" t="n">
        <v>2</v>
      </c>
      <c r="J101" s="2" t="inlineStr">
        <is>
          <t>✅ คำตอบที่ถูกต้อง: ข้อ ข. ความถี่ของการใช้ short-acting beta-2 agonist เป็นตัวบ่งบอกถึงผลการรักษา
💡 Background:
ข้อสอบความรู้ทางวิชาชีพเภสัชกรรม (</t>
        </is>
      </c>
      <c r="K101" s="2" t="n"/>
      <c r="L101" s="2" t="inlineStr">
        <is>
          <t>Asthma/COPD</t>
        </is>
      </c>
      <c r="M101" s="2" t="inlineStr">
        <is>
          <t>Clinic</t>
        </is>
      </c>
      <c r="N101" s="2" t="inlineStr">
        <is>
          <t>ข้อสอบ ม.รังสิต ข้อ 34</t>
        </is>
      </c>
      <c r="O101" s="2" t="n"/>
      <c r="P101" s="2" t="n"/>
    </row>
    <row r="102" ht="13.2" customHeight="1" s="49">
      <c r="A102" s="8" t="n">
        <v>100</v>
      </c>
      <c r="B102" s="2" t="inlineStr">
        <is>
          <t>ข้อใดคือกลไกการออกฤทธิ์ของยา Theophylline ในการขยายหลอดลม</t>
        </is>
      </c>
      <c r="C102" s="2" t="n"/>
      <c r="D102" s="2" t="inlineStr">
        <is>
          <t>กระตุ้น β2-adrenergic receptor ที่กล้ามเนื้อเรียบของหลอดลม ทำให้ Adenylyl cyclase เพิ่มขึ้น</t>
        </is>
      </c>
      <c r="E102" s="2" t="inlineStr">
        <is>
          <t>ยับยั้งเอนไซม์ Phosphodiesterase</t>
        </is>
      </c>
      <c r="F102" s="2" t="inlineStr">
        <is>
          <t>จับกับ M3 receptor ที่กล้ามเนื้อเรียบของหลอดลม</t>
        </is>
      </c>
      <c r="G102" s="2" t="inlineStr">
        <is>
          <t>ยับยั้งเอนไซม์ 5-Lipoxygenase</t>
        </is>
      </c>
      <c r="H102" s="2" t="inlineStr">
        <is>
          <t>ออกฤทธิ์เป็น Leukotriene receptor antagonist</t>
        </is>
      </c>
      <c r="I102" s="8" t="n">
        <v>2</v>
      </c>
      <c r="J102" s="2" t="inlineStr">
        <is>
          <t>✅ คำตอบที่ถูกต้อง: ข้อ ข. ยับยั้งเอนไซม์ Phosphodiesterase
💡 Background:
ข้อสอบความรู้ทางวิชาชีพเภสัชกรรม (</t>
        </is>
      </c>
      <c r="K102" s="2" t="n"/>
      <c r="L102" s="2" t="inlineStr">
        <is>
          <t>Asthma/COPD</t>
        </is>
      </c>
      <c r="M102" s="2" t="inlineStr">
        <is>
          <t>Clinic</t>
        </is>
      </c>
      <c r="N102" s="2" t="inlineStr">
        <is>
          <t>ข้อสอบ ม.รังสิต ข้อ 35</t>
        </is>
      </c>
      <c r="O102" s="2" t="n"/>
      <c r="P102" s="2" t="n"/>
    </row>
    <row r="103" ht="13.2" customHeight="1" s="49">
      <c r="A103" s="8" t="n">
        <v>101</v>
      </c>
      <c r="B103" s="2" t="inlineStr">
        <is>
          <t>ข้อใดไม่ใช่กลไกลการออกฤทธิ์ของยากลุ่ม Inhaled corticosteroids</t>
        </is>
      </c>
      <c r="C103" s="2" t="n"/>
      <c r="D103" s="2" t="inlineStr">
        <is>
          <t>ต้าน IgE</t>
        </is>
      </c>
      <c r="E103" s="2" t="inlineStr">
        <is>
          <t>ป้องกันการสร้างและหลั่ง cytokine</t>
        </is>
      </c>
      <c r="F103" s="2" t="inlineStr">
        <is>
          <t>กระตุ้นกระบวนการสร้าง leukotriene</t>
        </is>
      </c>
      <c r="G103" s="2" t="inlineStr">
        <is>
          <t>รบกวนกระบวนการสร้าง prostaglandin 29</t>
        </is>
      </c>
      <c r="H103" s="2" t="inlineStr">
        <is>
          <t>รบกวน arachidonic acid metabolism</t>
        </is>
      </c>
      <c r="I103" s="8" t="n">
        <v>3</v>
      </c>
      <c r="J103" s="2" t="inlineStr">
        <is>
          <t>✅ คำตอบที่ถูกต้อง: ข้อ ค. กระตุ้นกระบวนการสร้าง leukotriene
💡 Background:
ข้อสอบความรู้ทางวิชาชีพเภสัชกรรม (</t>
        </is>
      </c>
      <c r="K103" s="2" t="n"/>
      <c r="L103" s="2" t="inlineStr">
        <is>
          <t>Asthma/COPD</t>
        </is>
      </c>
      <c r="M103" s="2" t="inlineStr">
        <is>
          <t>Clinic</t>
        </is>
      </c>
      <c r="N103" s="2" t="inlineStr">
        <is>
          <t>ข้อสอบ ม.รังสิต ข้อ 36</t>
        </is>
      </c>
      <c r="O103" s="2" t="n"/>
      <c r="P103" s="2" t="n"/>
    </row>
    <row r="104" ht="13.2" customHeight="1" s="49">
      <c r="A104" s="8" t="n">
        <v>102</v>
      </c>
      <c r="B104" s="2" t="inlineStr">
        <is>
          <t>ข้อใดผิดเกี่ยวกับอาการไม่พึงประสงค์ของยากลุ่ม Inhaled corticosteroids</t>
        </is>
      </c>
      <c r="C104" s="2" t="n"/>
      <c r="D104" s="2" t="inlineStr">
        <is>
          <t>ข.                                  ค.</t>
        </is>
      </c>
      <c r="E104" s="2" t="inlineStr">
        <is>
          <t>ปากแห้ง คอแห้ง</t>
        </is>
      </c>
      <c r="F104" s="2" t="inlineStr">
        <is>
          <t>มีอาการเสียงแหบ</t>
        </is>
      </c>
      <c r="G104" s="2" t="inlineStr">
        <is>
          <t>จ.</t>
        </is>
      </c>
      <c r="H104" s="2" t="inlineStr">
        <is>
          <t>เกิดเชื้อราในช่องปาก จากโครงสร้างให้เลือกตอบข้อ 38 – 39</t>
        </is>
      </c>
      <c r="I104" s="8" t="n">
        <v>1</v>
      </c>
      <c r="J104" s="2" t="inlineStr">
        <is>
          <t>✅ คำตอบที่ถูกต้อง: ข้อ ก. ข.                                  ค.
💡 Background:
ข้อสอบความรู้ทางวิชาชีพเภสัชกรรม (</t>
        </is>
      </c>
      <c r="K104" s="2" t="n"/>
      <c r="L104" s="2" t="inlineStr">
        <is>
          <t>Asthma/COPD</t>
        </is>
      </c>
      <c r="M104" s="2" t="inlineStr">
        <is>
          <t>Clinic</t>
        </is>
      </c>
      <c r="N104" s="2" t="inlineStr">
        <is>
          <t>ข้อสอบ ม.รังสิต ข้อ 37</t>
        </is>
      </c>
      <c r="O104" s="2" t="n"/>
      <c r="P104" s="2" t="n"/>
    </row>
    <row r="105" ht="13.2" customHeight="1" s="49">
      <c r="A105" s="8" t="n">
        <v>103</v>
      </c>
      <c r="B105" s="2" t="inlineStr">
        <is>
          <t>จากโครงสร้าง salmeterol และ formoterol ซึ่งเป็นยากลุ่ม long-acting beta-2 agonist ข้อใดถูกต้อง</t>
        </is>
      </c>
      <c r="C105" s="2" t="n"/>
      <c r="D105" s="2" t="inlineStr">
        <is>
          <t>Salmeterol ออกฤทธิ์เร็วกว่า formoterol เพราะ lipophilicity สูงกว่า</t>
        </is>
      </c>
      <c r="E105" s="2" t="inlineStr">
        <is>
          <t>Salmeterol ออกฤทธิ์เร็วกว่า formoterol เพราะ lipophilicity ต่ำกว่า</t>
        </is>
      </c>
      <c r="F105" s="2" t="inlineStr">
        <is>
          <t>Formoterol ออกฤทธิ์เร็วกว่า salmeterol เพราะ lipophilicity สูงกว่า</t>
        </is>
      </c>
      <c r="G105" s="2" t="inlineStr">
        <is>
          <t>Formoterol ออกฤทธิ์เร็วกว่า salmeterol เพราะ lipophilicity ต่ำกว่า (ละลายน้ำได้ปานกลาง เข้าสู่ receptor ได้เร็วกว่า)</t>
        </is>
      </c>
      <c r="H105" s="2" t="inlineStr">
        <is>
          <t>การออกฤทธิ์เร็วหรือช้าไม่เกี่ยวข้องกับคุณสมบัติ lipophilicity ของตัวยา</t>
        </is>
      </c>
      <c r="I105" s="8" t="n">
        <v>4</v>
      </c>
      <c r="J105" s="2"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2" t="n"/>
      <c r="L105" s="2" t="inlineStr">
        <is>
          <t>Asthma/COPD</t>
        </is>
      </c>
      <c r="M105" s="2" t="inlineStr">
        <is>
          <t>Clinic</t>
        </is>
      </c>
      <c r="N105" s="2" t="inlineStr">
        <is>
          <t>ข้อสอบมาตรฐาน PLE-CC</t>
        </is>
      </c>
      <c r="O105" s="2" t="n"/>
      <c r="P105" s="2" t="n"/>
    </row>
    <row r="106" ht="13.2" customHeight="1" s="49">
      <c r="A106" s="8" t="n">
        <v>104</v>
      </c>
      <c r="B106" s="2" t="inlineStr">
        <is>
          <t>ผลตรวจทางห้องปฏิบัติการในข้อใดบ่งชี้ว่าผู้ป่วยไม่ได้เป็นโรคปอดอุดกั้นเรื้อรัง (COPD)</t>
        </is>
      </c>
      <c r="C106" s="2" t="n"/>
      <c r="D106" s="2" t="inlineStr">
        <is>
          <t>FEV1/FVC &gt; 0.70 หลังพ่นยาขยายหลอดลม</t>
        </is>
      </c>
      <c r="E106" s="2" t="inlineStr">
        <is>
          <t>มีค่า Post-bronchodilator FEV1 = 60% ของค่ามาตรฐาน</t>
        </is>
      </c>
      <c r="F106" s="2" t="inlineStr">
        <is>
          <t>ตรวจพบ Eosinophil ในเลือดสูง</t>
        </is>
      </c>
      <c r="G106" s="2" t="inlineStr">
        <is>
          <t>มีประวัติโรคประจำตัวเป็น Allergic rhinitis ร่วมด้วย</t>
        </is>
      </c>
      <c r="H106" s="2" t="inlineStr">
        <is>
          <t>มีอาการไอเรื้อรัง หอบเหนื่อย และมีเสมหะต่อเนื่อง</t>
        </is>
      </c>
      <c r="I106" s="8" t="n">
        <v>1</v>
      </c>
      <c r="J106" s="2"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2" t="n"/>
      <c r="L106" s="2" t="inlineStr">
        <is>
          <t>Asthma/COPD</t>
        </is>
      </c>
      <c r="M106" s="2" t="inlineStr">
        <is>
          <t>Clinic</t>
        </is>
      </c>
      <c r="N106" s="2" t="inlineStr">
        <is>
          <t>ข้อสอบมาตรฐาน PLE-CC</t>
        </is>
      </c>
      <c r="O106" s="2" t="n"/>
      <c r="P106" s="2" t="n"/>
    </row>
    <row r="107" ht="13.2" customHeight="1" s="49">
      <c r="A107" s="8" t="n">
        <v>105</v>
      </c>
      <c r="B107" s="2" t="inlineStr">
        <is>
          <t>ข้อใดไม่ใช่ผลข้างเคียงของยาพ่นสูด Inhaled Salmeterol ร่วมกับ Inhaled Fluticasone (Seretide)</t>
        </is>
      </c>
      <c r="C107" s="2" t="n"/>
      <c r="D107" s="2" t="inlineStr">
        <is>
          <t>ใจสั่น (Palpitations จากฤทธิ์กระตุ้น beta adrenergic)</t>
        </is>
      </c>
      <c r="E107" s="2" t="inlineStr">
        <is>
          <t>มือสั่น (Tremor จากการกระตุ้น beta-2 receptor ที่กล้ามเนื้อลาย)</t>
        </is>
      </c>
      <c r="F107" s="2" t="inlineStr">
        <is>
          <t>ติดเชื้อราในช่องปาก (Oral candidiasis จากสเตียรอยด์พ่นสูด)</t>
        </is>
      </c>
      <c r="G107" s="2" t="inlineStr">
        <is>
          <t>เสียงแหบ (Dysphonia จากการระคายเคืองและ myopathy ที่กล่องเสียง)</t>
        </is>
      </c>
      <c r="H107" s="2" t="inlineStr">
        <is>
          <t>ปากแห้ง คอแห้ง รุนแรงจากการกดระบบประสาทพาราซิมพาเทติก</t>
        </is>
      </c>
      <c r="I107" s="8" t="n">
        <v>5</v>
      </c>
      <c r="J107" s="2"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2" t="n"/>
      <c r="L107" s="2" t="inlineStr">
        <is>
          <t>Asthma/COPD</t>
        </is>
      </c>
      <c r="M107" s="2" t="inlineStr">
        <is>
          <t>Clinic</t>
        </is>
      </c>
      <c r="N107" s="2" t="inlineStr">
        <is>
          <t>ข้อสอบมาตรฐาน PLE-CC</t>
        </is>
      </c>
      <c r="O107" s="2" t="n"/>
      <c r="P107" s="2" t="n"/>
    </row>
    <row r="108" ht="13.2" customHeight="1" s="49">
      <c r="A108" s="8" t="n">
        <v>106</v>
      </c>
      <c r="B108" s="2"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2" t="n"/>
      <c r="D108" s="2" t="inlineStr">
        <is>
          <t>สภาพภูมิอากาศและมลพิษทางอากาศภายนอกโรงงาน</t>
        </is>
      </c>
      <c r="E108" s="2" t="inlineStr">
        <is>
          <t>ประวัติการสูบบุหรี่ในอดีตที่เลิกไปแล้ว 10 ปี</t>
        </is>
      </c>
      <c r="F108" s="2" t="inlineStr">
        <is>
          <t>ภาวะอ้วนและดัชนีมวลกายที่สูงเกินเกณฑ์</t>
        </is>
      </c>
      <c r="G108" s="2" t="inlineStr">
        <is>
          <t>ขนาดยาควบคุมอาการ Inhaled Corticosteroid (ICS) ที่ไม่เหมาะสมและการตรวจสอบเทคนิคการพ่นยา</t>
        </is>
      </c>
      <c r="H108" s="2" t="inlineStr">
        <is>
          <t>เพศหญิงและอายุที่เข้าสู่วัยหมดประจำเดือน</t>
        </is>
      </c>
      <c r="I108" s="8" t="n">
        <v>4</v>
      </c>
      <c r="J108" s="2"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2" t="n"/>
      <c r="L108" s="2" t="inlineStr">
        <is>
          <t>Asthma/COPD</t>
        </is>
      </c>
      <c r="M108" s="2" t="inlineStr">
        <is>
          <t>Clinic</t>
        </is>
      </c>
      <c r="N108" s="2" t="inlineStr">
        <is>
          <t>ข้อสอบมาตรฐาน PLE-CC</t>
        </is>
      </c>
      <c r="O108" s="2" t="n"/>
      <c r="P108" s="2" t="n"/>
    </row>
    <row r="109" ht="13.2" customHeight="1" s="49">
      <c r="A109" s="8" t="n">
        <v>107</v>
      </c>
      <c r="B109" s="2" t="inlineStr">
        <is>
          <t>ข้อใดอธิบายกลไกการออกฤทธิ์ระดับเซลล์ของยา Salmeterol ได้อย่างถูกต้อง</t>
        </is>
      </c>
      <c r="C109" s="2" t="n"/>
      <c r="D109" s="2" t="inlineStr">
        <is>
          <t>กระตุ้น Phospholipase C เพิ่มการหลั่ง intracellular Calcium</t>
        </is>
      </c>
      <c r="E109" s="2" t="inlineStr">
        <is>
          <t>กระตุ้น Adenylyl cyclase เพิ่มระดับ cyclic AMP (cAMP) ในเซลล์กล้ามเนื้อเรียบหลอดลม</t>
        </is>
      </c>
      <c r="F109" s="2" t="inlineStr">
        <is>
          <t>ยับยั้งเอนไซม์ Phosphodiesterase (PDE) ลดการสลายตัวของ cyclic GMP</t>
        </is>
      </c>
      <c r="G109" s="2" t="inlineStr">
        <is>
          <t>ปิดกั้นตัวรับ Muscarinic M3 receptor ยับยั้งการหดเกร็งของหลอดลม</t>
        </is>
      </c>
      <c r="H109" s="2" t="inlineStr">
        <is>
          <t>กระตุ้นการเปิด Voltage-gated Calcium channels ในเซลล์ทางเดินหายใจ</t>
        </is>
      </c>
      <c r="I109" s="8" t="n">
        <v>2</v>
      </c>
      <c r="J109" s="2"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2" t="n"/>
      <c r="L109" s="2" t="inlineStr">
        <is>
          <t>Asthma/COPD</t>
        </is>
      </c>
      <c r="M109" s="2" t="inlineStr">
        <is>
          <t>Clinic</t>
        </is>
      </c>
      <c r="N109" s="2" t="inlineStr">
        <is>
          <t>ข้อสอบมาตรฐาน PLE-CC</t>
        </is>
      </c>
      <c r="O109" s="2" t="n"/>
      <c r="P109" s="2" t="n"/>
    </row>
    <row r="110" ht="13.2" customHeight="1" s="49">
      <c r="A110" t="n">
        <v>108</v>
      </c>
      <c r="B110"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D110" t="inlineStr">
        <is>
          <t>GOLD 1</t>
        </is>
      </c>
      <c r="E110" t="inlineStr">
        <is>
          <t>GOLD 2</t>
        </is>
      </c>
      <c r="F110" t="inlineStr">
        <is>
          <t>GOLD 3</t>
        </is>
      </c>
      <c r="G110" t="inlineStr">
        <is>
          <t>GOLD 4</t>
        </is>
      </c>
      <c r="H110" t="inlineStr">
        <is>
          <t>GOLD 5</t>
        </is>
      </c>
      <c r="I110" t="inlineStr">
        <is>
          <t>1</t>
        </is>
      </c>
      <c r="J110"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0" t="inlineStr">
        <is>
          <t>Hypertension</t>
        </is>
      </c>
      <c r="M110" t="inlineStr">
        <is>
          <t>Clinic</t>
        </is>
      </c>
      <c r="N110" t="inlineStr">
        <is>
          <t>ข้อ 61 (Pharmtutor_2024_Set1.md)</t>
        </is>
      </c>
    </row>
    <row r="111" ht="13.2" customHeight="1" s="49">
      <c r="A111" t="n">
        <v>109</v>
      </c>
      <c r="B111"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D111" t="inlineStr">
        <is>
          <t>Mycoplasma pneumoniae</t>
        </is>
      </c>
      <c r="E111" t="inlineStr">
        <is>
          <t>Staphylococcus aureus</t>
        </is>
      </c>
      <c r="F111" t="inlineStr">
        <is>
          <t>Pseudomonas aeruginosa</t>
        </is>
      </c>
      <c r="G111" t="inlineStr">
        <is>
          <t>Klebsiella pneumoniae</t>
        </is>
      </c>
      <c r="H111" t="inlineStr">
        <is>
          <t>Acinetobacter baumannii</t>
        </is>
      </c>
      <c r="I111" t="inlineStr">
        <is>
          <t>1</t>
        </is>
      </c>
      <c r="J111"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1" t="inlineStr">
        <is>
          <t>Hypertension</t>
        </is>
      </c>
      <c r="M111" t="inlineStr">
        <is>
          <t>Clinic</t>
        </is>
      </c>
      <c r="N111" t="inlineStr">
        <is>
          <t>ข้อ 44 (Pharmtutor_2024_Set2.md)</t>
        </is>
      </c>
    </row>
    <row r="112" ht="13.2" customHeight="1" s="49">
      <c r="A112" t="n">
        <v>110</v>
      </c>
      <c r="B112" t="inlineStr">
        <is>
          <t>โดยผู้ป่วยดังกล่าวมีการวัดสมรรถปอดได้ค่า FEV1 เท่ากับ 68 mMRc = 3 ผู้ป่วยรายนี้จัดมีการทำงานของปอดอยู่ระดับใดตาม GOLD guildline</t>
        </is>
      </c>
      <c r="D112" t="inlineStr">
        <is>
          <t>Gold 1</t>
        </is>
      </c>
      <c r="E112" t="inlineStr">
        <is>
          <t>Gold 2</t>
        </is>
      </c>
      <c r="F112" t="inlineStr">
        <is>
          <t>Gold 3</t>
        </is>
      </c>
      <c r="G112" t="inlineStr">
        <is>
          <t>Gold 4</t>
        </is>
      </c>
      <c r="H112" t="inlineStr">
        <is>
          <t>Gold 5</t>
        </is>
      </c>
      <c r="I112" t="inlineStr">
        <is>
          <t>1</t>
        </is>
      </c>
      <c r="J112"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12" t="inlineStr">
        <is>
          <t>Hypertension</t>
        </is>
      </c>
      <c r="M112" t="inlineStr">
        <is>
          <t>Clinic</t>
        </is>
      </c>
      <c r="N112" t="inlineStr">
        <is>
          <t>ข้อ 59 (Pharmtutor_2024_Set2.md)</t>
        </is>
      </c>
    </row>
    <row r="113" ht="13.2" customHeight="1" s="49">
      <c r="A113" t="n">
        <v>111</v>
      </c>
      <c r="B113"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D113" t="inlineStr">
        <is>
          <t>3 g Myristyl alcohol 33.3 g</t>
        </is>
      </c>
      <c r="E113" t="inlineStr">
        <is>
          <t>Warfarin 3 mg OD (target INR 2.0-3.0)</t>
        </is>
      </c>
      <c r="F113" t="inlineStr">
        <is>
          <t>Furosemide 40 mg OD</t>
        </is>
      </c>
      <c r="G113" t="inlineStr">
        <is>
          <t>Amlodipine 5 mg OD</t>
        </is>
      </c>
      <c r="H113" t="inlineStr">
        <is>
          <t>Losartan 50 mg OD</t>
        </is>
      </c>
      <c r="I113" t="inlineStr">
        <is>
          <t>1</t>
        </is>
      </c>
      <c r="J113"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113" t="inlineStr">
        <is>
          <t>Hypertension</t>
        </is>
      </c>
      <c r="M113" t="inlineStr">
        <is>
          <t>Clinic</t>
        </is>
      </c>
      <c r="N113" t="inlineStr">
        <is>
          <t>ข้อ 5 (PLE_CC1_Key_Rx20_UBU.md)</t>
        </is>
      </c>
    </row>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2" t="n"/>
      <c r="D3" s="2" t="inlineStr">
        <is>
          <t>Lynestrenol</t>
        </is>
      </c>
      <c r="E3" s="2" t="inlineStr">
        <is>
          <t>Levonorgestrel</t>
        </is>
      </c>
      <c r="F3" s="2" t="inlineStr">
        <is>
          <t>Ethinyl estradiol + levonorgestrel</t>
        </is>
      </c>
      <c r="G3" s="2" t="inlineStr">
        <is>
          <t>Ethinyl estradiol + desogestrel</t>
        </is>
      </c>
      <c r="H3" s="2" t="inlineStr">
        <is>
          <t>Ethinyl estradiol + gestodene</t>
        </is>
      </c>
      <c r="I3" s="8" t="n">
        <v>1</v>
      </c>
      <c r="J3"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2" t="n"/>
      <c r="L3" s="2" t="inlineStr">
        <is>
          <t>Oral contraceptive</t>
        </is>
      </c>
      <c r="M3" s="2" t="inlineStr">
        <is>
          <t>Clinic</t>
        </is>
      </c>
      <c r="N3" s="2" t="inlineStr">
        <is>
          <t>ข้อ 1 Pharma Plus เล่มม่วง (เฉลยข้อ ก)</t>
        </is>
      </c>
      <c r="O3" s="2" t="n"/>
      <c r="P3" s="2" t="n"/>
    </row>
    <row r="4" ht="13.2" customHeight="1" s="49">
      <c r="A4" s="8" t="inlineStr">
        <is>
          <t>2</t>
        </is>
      </c>
      <c r="B4" s="2"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2" t="n"/>
      <c r="D4" s="2" t="inlineStr">
        <is>
          <t>ไม่จำเป็นต้องคุมกำเนิดฉุกเฉิน เพราะช่วงเวลาที่มีเพศสัมพันธ์นั้นอยู่ในระยะปลอดภัย</t>
        </is>
      </c>
      <c r="E4" s="2" t="inlineStr">
        <is>
          <t>ให้รอดทดสอบการตั้งครรภ์ เพราะเลยระยะเวลาที่ยาคุมกำเนิดฉุกเฉินจะมีประสิทธิภาพ</t>
        </is>
      </c>
      <c r="F4" s="2" t="inlineStr">
        <is>
          <t>Ethinyl estradiol 2.5 mg วันละ 2 ครั้งเป็นเวลา 3 วัน</t>
        </is>
      </c>
      <c r="G4" s="2" t="inlineStr">
        <is>
          <t>Levonorgestrel 0.75 mg 2 เม็ด 2 ครั้งห่างกันไม่เกิน 12 ชม.</t>
        </is>
      </c>
      <c r="H4" s="2" t="inlineStr">
        <is>
          <t>ยาคุมที่มี ethinyl estradiol 50 mcg + levonorgestrel 0.25 mg 1 เม็ด 2 ครั้งห่างกันไม่เกิน 12 ชม.</t>
        </is>
      </c>
      <c r="I4" s="8" t="n">
        <v>4</v>
      </c>
      <c r="J4" s="2"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2" t="n"/>
      <c r="L4" s="2" t="inlineStr">
        <is>
          <t>Oral contraceptive</t>
        </is>
      </c>
      <c r="M4" s="2" t="inlineStr">
        <is>
          <t>Clinic</t>
        </is>
      </c>
      <c r="N4" s="2" t="inlineStr">
        <is>
          <t>ข้อ 2 Pharma Plus เล่มม่วง (เฉลยข้อ )</t>
        </is>
      </c>
      <c r="O4" s="2" t="n"/>
      <c r="P4" s="2" t="n"/>
    </row>
    <row r="5" ht="13.2" customHeight="1" s="49">
      <c r="A5" s="8" t="inlineStr">
        <is>
          <t>3</t>
        </is>
      </c>
      <c r="B5" s="2" t="inlineStr">
        <is>
          <t>ใช้ยาคุมที่มี ethinyl estradiol ไม่มีปัญหาในการเกิดปฏิกิริยาระหว่างยากรณีใดบ้าง</t>
        </is>
      </c>
      <c r="C5" s="2" t="n"/>
      <c r="D5" s="2" t="inlineStr">
        <is>
          <t>ในผู้ป่วยวัณโรคที่ใช้ rifampin อย่างต่อเนื่อง</t>
        </is>
      </c>
      <c r="E5" s="2" t="inlineStr">
        <is>
          <t>ในผู้ป่วยที่ได้รับ corticosteroid เป็นเวลาหลายเดือน</t>
        </is>
      </c>
      <c r="F5" s="2" t="inlineStr">
        <is>
          <t>ในผู้ป่วยที่ได้รับ barbiturate อย่างต่อเนื่อง</t>
        </is>
      </c>
      <c r="G5" s="2" t="inlineStr">
        <is>
          <t>ในผู้ป่วยที่ใช้ยา phenytoin ป้องกันการชัก</t>
        </is>
      </c>
      <c r="H5" s="2" t="inlineStr">
        <is>
          <t>ในผู้ป่วยที่ได้รับ aspirin อย่างต่อเนื่อง</t>
        </is>
      </c>
      <c r="I5" s="8" t="n">
        <v>5</v>
      </c>
      <c r="J5" s="2"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2" t="n"/>
      <c r="L5" s="2" t="inlineStr">
        <is>
          <t>Oral contraceptive</t>
        </is>
      </c>
      <c r="M5" s="2" t="inlineStr">
        <is>
          <t>Clinic</t>
        </is>
      </c>
      <c r="N5" s="2" t="inlineStr">
        <is>
          <t>ข้อ 3 Pharma Plus เล่มม่วง (เฉลยข้อ จ)</t>
        </is>
      </c>
      <c r="O5" s="2" t="n"/>
      <c r="P5" s="2" t="n"/>
    </row>
    <row r="6" ht="13.2" customHeight="1" s="49">
      <c r="A6" s="8" t="inlineStr">
        <is>
          <t>4</t>
        </is>
      </c>
      <c r="B6" s="2" t="inlineStr">
        <is>
          <t>ข้อใดไม่ถูกต้องเกี่ยวกับ ethinyl estradiol + levonorgestrel</t>
        </is>
      </c>
      <c r="C6" s="2" t="n"/>
      <c r="D6" s="2" t="inlineStr">
        <is>
          <t>Ethinyl estradiol เป็นยาในกลุ่ม estrogen</t>
        </is>
      </c>
      <c r="E6" s="2" t="inlineStr">
        <is>
          <t>Levonorgestrel เป็นยาในกลุ่ม progestins</t>
        </is>
      </c>
      <c r="F6" s="2" t="inlineStr">
        <is>
          <t>การให้ ethinyl estradiol 0.03 mg + levonorgestrel 0.15 mg ในทุกเม็ดของการให้แบบ biphasic combination โดยมียา 2 ชนิดในแผง</t>
        </is>
      </c>
      <c r="G6" s="2" t="inlineStr">
        <is>
          <t>Levonorgestrel 1.5 mg stat (Emergency)</t>
        </is>
      </c>
      <c r="H6" s="2" t="inlineStr">
        <is>
          <t>Levonorgestrel เป็น isomer หนึ่งของ norgestrel</t>
        </is>
      </c>
      <c r="I6" s="8" t="n">
        <v>3</v>
      </c>
      <c r="J6" s="2"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2" t="n"/>
      <c r="L6" s="2" t="inlineStr">
        <is>
          <t>Oral contraceptive</t>
        </is>
      </c>
      <c r="M6" s="2" t="inlineStr">
        <is>
          <t>Clinic</t>
        </is>
      </c>
      <c r="N6" s="2" t="inlineStr">
        <is>
          <t>ข้อ 4 Pharma Plus เล่มม่วง (เฉลยข้อ ค)</t>
        </is>
      </c>
      <c r="O6" s="2" t="n"/>
      <c r="P6" s="2" t="n"/>
    </row>
    <row r="7" ht="13.2" customHeight="1" s="49">
      <c r="A7" s="8" t="inlineStr">
        <is>
          <t>5</t>
        </is>
      </c>
      <c r="B7" s="2" t="inlineStr">
        <is>
          <t>ข้อใดผิดเกี่ยวกับยาคุมกำเนิด 2 ชนิดนี้
- Lynestrenol
- Norethindrone
ข้อใดผิดเกี่ยวกับยาคุมกำเนิด 2 ชนิดนี้</t>
        </is>
      </c>
      <c r="C7" s="2" t="n"/>
      <c r="D7" s="2" t="inlineStr">
        <is>
          <t>Lynestrenol เป็นยาในกลุ่ม estrogen</t>
        </is>
      </c>
      <c r="E7" s="2" t="inlineStr">
        <is>
          <t>Norethindrone เป็นยาในกลุ่ม progestins</t>
        </is>
      </c>
      <c r="F7" s="2" t="inlineStr">
        <is>
          <t>Norethindrone มีผล androgenic effect เพราะมีโครงสร้างคล้ายกับ testosterone</t>
        </is>
      </c>
      <c r="G7" s="2" t="inlineStr">
        <is>
          <t>Lynestrenol มีผล androgenic effect ต่ำกว่า norethindrone</t>
        </is>
      </c>
      <c r="H7" s="2" t="inlineStr">
        <is>
          <t>หมู่ -C≡CH ในโครงสร้างทั้ง 2 ชนิดนี้จะขัดขวางการเกิด oxidation ของหมู่ -OH ไปเป็น ketone</t>
        </is>
      </c>
      <c r="I7" s="8" t="n">
        <v>1</v>
      </c>
      <c r="J7" s="2"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2" t="n"/>
      <c r="L7" s="2" t="inlineStr">
        <is>
          <t>Oral contraceptive</t>
        </is>
      </c>
      <c r="M7" s="2" t="inlineStr">
        <is>
          <t>Clinic</t>
        </is>
      </c>
      <c r="N7" s="2" t="inlineStr">
        <is>
          <t>ข้อ 5 Pharma Plus เล่มม่วง (เฉลยข้อ ก)</t>
        </is>
      </c>
      <c r="O7" s="2" t="n"/>
      <c r="P7" s="2" t="n"/>
    </row>
    <row r="8" ht="13.2" customHeight="1" s="49">
      <c r="A8" s="8" t="inlineStr">
        <is>
          <t>6</t>
        </is>
      </c>
      <c r="B8" s="2" t="inlineStr">
        <is>
          <t>Rx. Levonorgestrel 0.75 mg/tab จำนวน 2 กล่อง
คำแนะนำของการใช้ยาคุมกำเนิดฉุกเฉินข้อใดถูกต้อง</t>
        </is>
      </c>
      <c r="C8" s="2" t="n"/>
      <c r="D8" s="2" t="inlineStr">
        <is>
          <t>กินครั้งเดียว 2 เม็ด</t>
        </is>
      </c>
      <c r="E8" s="2" t="inlineStr">
        <is>
          <t>กินเม็ดแรก 1 ชม. เม็ดที่ 2 ภายใน 48 ชม.</t>
        </is>
      </c>
      <c r="F8" s="2" t="inlineStr">
        <is>
          <t>กิน 1 เม็ดแรก ภายใน 72 ชม. เม็ดที่ 2 ภายใน 12 ชม.</t>
        </is>
      </c>
      <c r="G8" s="2" t="inlineStr">
        <is>
          <t>กิน 1 เม็ดแรก ภายใน 72 ชม. เม็ดที่ 2 ภายใน 24 ชม.</t>
        </is>
      </c>
      <c r="H8" s="2" t="inlineStr">
        <is>
          <t>กินไม่เกินเดือนละ 4 กล่อง</t>
        </is>
      </c>
      <c r="I8" s="8" t="n">
        <v>1</v>
      </c>
      <c r="J8" s="2"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2" t="n"/>
      <c r="L8" s="2" t="inlineStr">
        <is>
          <t>Oral contraceptive</t>
        </is>
      </c>
      <c r="M8" s="2" t="inlineStr">
        <is>
          <t>Clinic</t>
        </is>
      </c>
      <c r="N8" s="2" t="inlineStr">
        <is>
          <t>ข้อ 6 Pharma Plus เล่มม่วง (เฉลยข้อ ก ค)</t>
        </is>
      </c>
      <c r="O8" s="2" t="n"/>
      <c r="P8" s="2" t="n"/>
    </row>
    <row r="9" ht="13.2" customHeight="1" s="49">
      <c r="A9" s="8" t="inlineStr">
        <is>
          <t>7</t>
        </is>
      </c>
      <c r="B9" s="2" t="inlineStr">
        <is>
          <t>ฮอร์โมนคุมกำเนิดไม่ใช่ในการรักษาอะไร</t>
        </is>
      </c>
      <c r="C9" s="2" t="n"/>
      <c r="D9" s="2" t="inlineStr">
        <is>
          <t>สิว</t>
        </is>
      </c>
      <c r="E9" s="2" t="inlineStr">
        <is>
          <t>ประจำเดือนมามากผิดปกติ</t>
        </is>
      </c>
      <c r="F9" s="2" t="inlineStr">
        <is>
          <t>ฝ้า</t>
        </is>
      </c>
      <c r="G9" s="2" t="inlineStr">
        <is>
          <t>ประจำเดือนมากกระปริดกระปรอย</t>
        </is>
      </c>
      <c r="H9" s="2" t="inlineStr">
        <is>
          <t>เลื่อนประจำเดือน</t>
        </is>
      </c>
      <c r="I9" s="8" t="n">
        <v>3</v>
      </c>
      <c r="J9" s="2"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2" t="n"/>
      <c r="L9" s="2" t="inlineStr">
        <is>
          <t>Oral contraceptive</t>
        </is>
      </c>
      <c r="M9" s="2" t="inlineStr">
        <is>
          <t>Clinic</t>
        </is>
      </c>
      <c r="N9" s="2" t="inlineStr">
        <is>
          <t>ข้อ 7 Pharma Plus เล่มม่วง (เฉลยข้อ ค)</t>
        </is>
      </c>
      <c r="O9" s="2" t="n"/>
      <c r="P9" s="2" t="n"/>
    </row>
    <row r="10" ht="13.2" customHeight="1" s="49">
      <c r="A10" s="8" t="inlineStr">
        <is>
          <t>8</t>
        </is>
      </c>
      <c r="B10" s="2" t="inlineStr">
        <is>
          <t>ทุกข้อเป็นประโยชน์ของ progestogen ยกเว้นข้อใด</t>
        </is>
      </c>
      <c r="C10" s="2" t="n"/>
      <c r="D10" s="2" t="inlineStr">
        <is>
          <t>ยับยั้งการตกไข่</t>
        </is>
      </c>
      <c r="E10" s="2" t="inlineStr">
        <is>
          <t>ฆ่า sperm</t>
        </is>
      </c>
      <c r="F10" s="2" t="inlineStr">
        <is>
          <t>กระตุ้นการตกไข่</t>
        </is>
      </c>
      <c r="G10" s="2" t="inlineStr">
        <is>
          <t>ทำให้มูกเหนียวขึ้น</t>
        </is>
      </c>
      <c r="H10" s="2" t="inlineStr">
        <is>
          <t>ทำให้ท่อนำไข่บีบตัว</t>
        </is>
      </c>
      <c r="I10" s="8" t="n">
        <v>2</v>
      </c>
      <c r="J10" s="2"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2" t="n"/>
      <c r="L10" s="2" t="inlineStr">
        <is>
          <t>Oral contraceptive</t>
        </is>
      </c>
      <c r="M10" s="2" t="inlineStr">
        <is>
          <t>Clinic</t>
        </is>
      </c>
      <c r="N10" s="2" t="inlineStr">
        <is>
          <t>ข้อ 8 Pharma Plus เล่มม่วง (เฉลยข้อ ข ค)</t>
        </is>
      </c>
      <c r="O10" s="2" t="n"/>
      <c r="P10" s="2" t="n"/>
    </row>
    <row r="11" ht="13.2" customHeight="1" s="49">
      <c r="A11" s="8" t="inlineStr">
        <is>
          <t>9</t>
        </is>
      </c>
      <c r="B11" s="2" t="inlineStr">
        <is>
          <t>ผู้ป่วยภาวะต่อไปนี้สามารถใช้ยาคุมกำเนิดชนิดฮอร์โมนรวมได้</t>
        </is>
      </c>
      <c r="C11" s="2" t="n"/>
      <c r="D11" s="2" t="inlineStr">
        <is>
          <t>Thromboembolism</t>
        </is>
      </c>
      <c r="E11" s="2" t="inlineStr">
        <is>
          <t>สงสัยว่าจะเป็นมะเร็งเต้านม</t>
        </is>
      </c>
      <c r="F11" s="2" t="inlineStr">
        <is>
          <t>สงสัยว่า จะตั้งครรภ์</t>
        </is>
      </c>
      <c r="G11" s="2" t="inlineStr">
        <is>
          <t>มีเลือดออกจากช่องคลอดผิดปกติที่ยังไม่ได้วินิจฉัย</t>
        </is>
      </c>
      <c r="H11" s="2" t="inlineStr">
        <is>
          <t>หญิงสูบบุหรี่ ที่มีอายุ &lt; 35 ปี</t>
        </is>
      </c>
      <c r="I11" s="8" t="n">
        <v>5</v>
      </c>
      <c r="J11" s="2"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2" t="n"/>
      <c r="L11" s="2" t="inlineStr">
        <is>
          <t>Oral contraceptive</t>
        </is>
      </c>
      <c r="M11" s="2" t="inlineStr">
        <is>
          <t>Clinic</t>
        </is>
      </c>
      <c r="N11" s="2" t="inlineStr">
        <is>
          <t>ข้อ 9 Pharma Plus เล่มม่วง (เฉลยข้อ จ)</t>
        </is>
      </c>
      <c r="O11" s="2" t="n"/>
      <c r="P11" s="2" t="n"/>
    </row>
    <row r="12" ht="13.2" customHeight="1" s="49">
      <c r="A12" s="8" t="inlineStr">
        <is>
          <t>10</t>
        </is>
      </c>
      <c r="B12" s="2" t="inlineStr">
        <is>
          <t>ถ้าผู้ป่วยใช้ conjugate estrogen + medroxyprogesterone acetate การให้คู่กันเพื่อเหตุผลใด</t>
        </is>
      </c>
      <c r="C12" s="2" t="n"/>
      <c r="D12" s="2" t="inlineStr">
        <is>
          <t>ใช้ในหญิงหมดประจำเดือนที่มีมดลูก</t>
        </is>
      </c>
      <c r="E12" s="2" t="inlineStr">
        <is>
          <t>ใช้เพื่อป้องกันโรคหัวใจในหญิงหมดประจำเดือน</t>
        </is>
      </c>
      <c r="F12" s="2" t="inlineStr">
        <is>
          <t>ใช้เพื่อรักษาโรคกระดูกพรุน ที่เกิดเนื่องจากขาดฮอร์โมน</t>
        </is>
      </c>
      <c r="G12" s="2" t="inlineStr">
        <is>
          <t>ใช้เพื่อรักษาอาการ vasomotor symptom</t>
        </is>
      </c>
      <c r="H12" s="2" t="inlineStr">
        <is>
          <t>มี progesterone เพื่อช่วยป้องกันมะเร็งมดลูก</t>
        </is>
      </c>
      <c r="I12" s="8" t="n">
        <v>5</v>
      </c>
      <c r="J12" s="2"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Hormonal replacement</t>
        </is>
      </c>
      <c r="M12" s="2" t="inlineStr">
        <is>
          <t>Clinic</t>
        </is>
      </c>
      <c r="N12" s="2" t="inlineStr">
        <is>
          <t>ข้อ 10 Pharma Plus เล่มม่วง (เฉลยข้อ จ)</t>
        </is>
      </c>
      <c r="O12" s="2" t="n"/>
      <c r="P12" s="2" t="n"/>
    </row>
    <row r="13" ht="13.2" customHeight="1" s="49">
      <c r="A13" s="8" t="inlineStr">
        <is>
          <t>11</t>
        </is>
      </c>
      <c r="B13" s="2" t="inlineStr">
        <is>
          <t>ในสตรีที่ไม่มีมดลูก และมีอาการเฉพาะที่ท่อปัสสาวะและช่องคลอดอักเสบ ยาในรูปแบบใดที่น่าจะเหมาะสมที่สุด</t>
        </is>
      </c>
      <c r="C13" s="2" t="n"/>
      <c r="D13" s="2" t="inlineStr">
        <is>
          <t>Intramuscular injection</t>
        </is>
      </c>
      <c r="E13" s="2" t="inlineStr">
        <is>
          <t>Oral tablet</t>
        </is>
      </c>
      <c r="F13" s="2" t="inlineStr">
        <is>
          <t>Transdermal patch</t>
        </is>
      </c>
      <c r="G13" s="2" t="inlineStr">
        <is>
          <t>Vagina cream</t>
        </is>
      </c>
      <c r="H13" s="2" t="inlineStr">
        <is>
          <t>ได้ทุกรูปแบบ</t>
        </is>
      </c>
      <c r="I13" s="8" t="n">
        <v>4</v>
      </c>
      <c r="J13" s="2"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2" t="n"/>
      <c r="L13" s="2" t="inlineStr">
        <is>
          <t>Oral contraceptive</t>
        </is>
      </c>
      <c r="M13" s="2" t="inlineStr">
        <is>
          <t>Clinic</t>
        </is>
      </c>
      <c r="N13" s="2" t="inlineStr">
        <is>
          <t>ข้อ 11 Pharma Plus เล่มม่วง (เฉลยข้อ ง)</t>
        </is>
      </c>
      <c r="O13" s="2" t="n"/>
      <c r="P13" s="2" t="n"/>
    </row>
    <row r="14" ht="13.2" customHeight="1" s="49">
      <c r="A14" s="8" t="inlineStr">
        <is>
          <t>12</t>
        </is>
      </c>
      <c r="B14" s="2" t="inlineStr">
        <is>
          <t>Progestogen ใดที่มีฤทธิ์ anti-androgen</t>
        </is>
      </c>
      <c r="C14" s="2" t="n"/>
      <c r="D14" s="2" t="inlineStr">
        <is>
          <t>Norethisterone acetate</t>
        </is>
      </c>
      <c r="E14" s="2" t="inlineStr">
        <is>
          <t>Norethisterone enanthate</t>
        </is>
      </c>
      <c r="F14" s="2" t="inlineStr">
        <is>
          <t>Cyproterone acetate</t>
        </is>
      </c>
      <c r="G14" s="2" t="inlineStr">
        <is>
          <t>Levonorgestrel</t>
        </is>
      </c>
      <c r="H14" s="2" t="inlineStr">
        <is>
          <t>Mestranol</t>
        </is>
      </c>
      <c r="I14" s="8" t="n">
        <v>3</v>
      </c>
      <c r="J14" s="2"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2" t="n"/>
      <c r="L14" s="2" t="inlineStr">
        <is>
          <t>Oral contraceptive</t>
        </is>
      </c>
      <c r="M14" s="2" t="inlineStr">
        <is>
          <t>Clinic</t>
        </is>
      </c>
      <c r="N14" s="2" t="inlineStr">
        <is>
          <t>ข้อ 12 Pharma Plus เล่มม่วง (เฉลยข้อ ค)</t>
        </is>
      </c>
      <c r="O14" s="2" t="n"/>
      <c r="P14" s="2" t="n"/>
    </row>
    <row r="15" ht="13.2" customHeight="1" s="49">
      <c r="A15" s="8" t="inlineStr">
        <is>
          <t>13</t>
        </is>
      </c>
      <c r="B15" s="2" t="inlineStr">
        <is>
          <t>การใช้ hormone replacement therapy หรือ estrogen replacement therapy ควรระวังในผู้ป่วยประเภทใด</t>
        </is>
      </c>
      <c r="C15" s="2" t="n"/>
      <c r="D15" s="2" t="inlineStr">
        <is>
          <t>คนที่เสี่ยงต่อกระดูกพรุน</t>
        </is>
      </c>
      <c r="E15" s="2" t="inlineStr">
        <is>
          <t>คนที่ตัดรังไข่ทั้งสองข้าง</t>
        </is>
      </c>
      <c r="F15" s="2" t="inlineStr">
        <is>
          <t>ที่มีอาการช่องคลอดอักเสบ</t>
        </is>
      </c>
      <c r="G15" s="2" t="inlineStr">
        <is>
          <t>ที่เป็น hyperthyroid</t>
        </is>
      </c>
      <c r="H15" s="2" t="inlineStr">
        <is>
          <t>ที่เป็นโรคไขมัน ความดันโลหิตสูง</t>
        </is>
      </c>
      <c r="I15" s="8" t="n">
        <v>5</v>
      </c>
      <c r="J15" s="2"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Hormonal replacement</t>
        </is>
      </c>
      <c r="M15" s="2" t="inlineStr">
        <is>
          <t>Clinic</t>
        </is>
      </c>
      <c r="N15" s="2" t="inlineStr">
        <is>
          <t>ข้อ 13 Pharma Plus เล่มม่วง (เฉลยข้อ จ)</t>
        </is>
      </c>
      <c r="O15" s="2" t="n"/>
      <c r="P15" s="2" t="n"/>
    </row>
    <row r="16" ht="13.2" customHeight="1" s="49">
      <c r="A16" s="8" t="inlineStr">
        <is>
          <t>14</t>
        </is>
      </c>
      <c r="B16" s="2" t="inlineStr">
        <is>
          <t>Anti-estrogen ใดที่กระตุ้นการตกไข่ในผู้หญิงที่มีบุตรยาก</t>
        </is>
      </c>
      <c r="C16" s="2" t="n"/>
      <c r="D16" s="2" t="inlineStr">
        <is>
          <t>Oxandrolone</t>
        </is>
      </c>
      <c r="E16" s="2" t="inlineStr">
        <is>
          <t>Clomiphene citrate</t>
        </is>
      </c>
      <c r="F16" s="2" t="inlineStr">
        <is>
          <t>Tibolones</t>
        </is>
      </c>
      <c r="G16" s="2" t="inlineStr">
        <is>
          <t>Tamoxifen</t>
        </is>
      </c>
      <c r="H16" s="2" t="inlineStr">
        <is>
          <t>Progesterone</t>
        </is>
      </c>
      <c r="I16" s="8" t="n">
        <v>2</v>
      </c>
      <c r="J16" s="2"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2" t="n"/>
      <c r="L16" s="2" t="inlineStr">
        <is>
          <t>Hormonal replacement</t>
        </is>
      </c>
      <c r="M16" s="2" t="inlineStr">
        <is>
          <t>Clinic</t>
        </is>
      </c>
      <c r="N16" s="2" t="inlineStr">
        <is>
          <t>ข้อ 14 Pharma Plus เล่มม่วง (เฉลยข้อ ข)</t>
        </is>
      </c>
      <c r="O16" s="2" t="n"/>
      <c r="P16" s="2" t="n"/>
    </row>
    <row r="17" ht="13.2" customHeight="1" s="49">
      <c r="A17" s="8" t="inlineStr">
        <is>
          <t>15</t>
        </is>
      </c>
      <c r="B17" s="2" t="inlineStr">
        <is>
          <t>ยาเม็ดคุมกำเนิดใช้ในการบำบัดรักษาภาวะต่าง ๆ ยกเว้น</t>
        </is>
      </c>
      <c r="C17" s="2" t="n"/>
      <c r="D17" s="2" t="inlineStr">
        <is>
          <t>เลื่อนประจำเดือน</t>
        </is>
      </c>
      <c r="E17" s="2" t="inlineStr">
        <is>
          <t>เยื่อบุโพรงมดลูกเจริญผิดปกติ</t>
        </is>
      </c>
      <c r="F17" s="2" t="inlineStr">
        <is>
          <t>ภาวะปวดประจำเดือน</t>
        </is>
      </c>
      <c r="G17" s="2" t="inlineStr">
        <is>
          <t>ภาวะประจำเดือนผิดปกติ</t>
        </is>
      </c>
      <c r="H17" s="2" t="inlineStr">
        <is>
          <t>ลดอาการคัดเต้านมหลังคลอดบุตร</t>
        </is>
      </c>
      <c r="I17" s="8" t="n">
        <v>5</v>
      </c>
      <c r="J17" s="2"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2" t="n"/>
      <c r="L17" s="2" t="inlineStr">
        <is>
          <t>Oral contraceptive</t>
        </is>
      </c>
      <c r="M17" s="2" t="inlineStr">
        <is>
          <t>Clinic</t>
        </is>
      </c>
      <c r="N17" s="2" t="inlineStr">
        <is>
          <t>ข้อ 15 Pharma Plus เล่มม่วง (เฉลยข้อ จ)</t>
        </is>
      </c>
      <c r="O17" s="2" t="n"/>
      <c r="P17" s="2" t="n"/>
    </row>
    <row r="18" ht="13.2" customHeight="1" s="49">
      <c r="A18" s="8" t="inlineStr">
        <is>
          <t>16</t>
        </is>
      </c>
      <c r="B18" s="2" t="inlineStr">
        <is>
          <t>ยาที่มีผลกระตุ้นการหลั่ง prolactin ยกเว้น</t>
        </is>
      </c>
      <c r="C18" s="2" t="n"/>
      <c r="D18" s="2" t="inlineStr">
        <is>
          <t>Reserpine</t>
        </is>
      </c>
      <c r="E18" s="2" t="inlineStr">
        <is>
          <t>Domperidone</t>
        </is>
      </c>
      <c r="F18" s="2" t="inlineStr">
        <is>
          <t>Phenothiazine</t>
        </is>
      </c>
      <c r="G18" s="2" t="inlineStr">
        <is>
          <t>Levodopa</t>
        </is>
      </c>
      <c r="H18" s="2" t="inlineStr">
        <is>
          <t>Butyrophenone</t>
        </is>
      </c>
      <c r="I18" s="8" t="n">
        <v>4</v>
      </c>
      <c r="J18" s="2"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2" t="n"/>
      <c r="L18" s="2" t="inlineStr">
        <is>
          <t>Oral contraceptive</t>
        </is>
      </c>
      <c r="M18" s="2" t="inlineStr">
        <is>
          <t>Clinic</t>
        </is>
      </c>
      <c r="N18" s="2" t="inlineStr">
        <is>
          <t>ข้อ 16 Pharma Plus เล่มม่วง (เฉลยข้อ ง)</t>
        </is>
      </c>
      <c r="O18" s="2" t="n"/>
      <c r="P18" s="2" t="n"/>
    </row>
    <row r="19" ht="13.2" customHeight="1" s="49">
      <c r="A19" s="8" t="inlineStr">
        <is>
          <t>17</t>
        </is>
      </c>
      <c r="B19" s="2" t="inlineStr">
        <is>
          <t>อาการข้างเคียงข้อใดเกิดจากการมี estrogen มากเกินไป</t>
        </is>
      </c>
      <c r="C19" s="2" t="n"/>
      <c r="D19" s="2" t="inlineStr">
        <is>
          <t>เป็นฝ้า</t>
        </is>
      </c>
      <c r="E19" s="2" t="inlineStr">
        <is>
          <t>เป็นสิว</t>
        </is>
      </c>
      <c r="F19" s="2" t="inlineStr">
        <is>
          <t>Noncyclic weight gain</t>
        </is>
      </c>
      <c r="G19" s="2" t="inlineStr">
        <is>
          <t>Hypomenorrhea</t>
        </is>
      </c>
      <c r="H19" s="2" t="inlineStr">
        <is>
          <t>เต้านมเล็กลง</t>
        </is>
      </c>
      <c r="I19" s="8" t="n">
        <v>3</v>
      </c>
      <c r="J19" s="2"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Hormonal replacement</t>
        </is>
      </c>
      <c r="M19" s="2" t="inlineStr">
        <is>
          <t>Clinic</t>
        </is>
      </c>
      <c r="N19" s="2" t="inlineStr">
        <is>
          <t>ข้อ 17 Pharma Plus เล่มม่วง (เฉลยข้อ ค)</t>
        </is>
      </c>
      <c r="O19" s="2" t="n"/>
      <c r="P19" s="2" t="n"/>
    </row>
    <row r="20" ht="13.2" customHeight="1" s="49">
      <c r="A20" s="8" t="inlineStr">
        <is>
          <t>18</t>
        </is>
      </c>
      <c r="B20" s="2" t="inlineStr">
        <is>
          <t>ข้อใดไม่ใช่ clinical use ของ progesterone</t>
        </is>
      </c>
      <c r="C20" s="2" t="n"/>
      <c r="D20" s="2" t="inlineStr">
        <is>
          <t>Contraceptive</t>
        </is>
      </c>
      <c r="E20" s="2" t="inlineStr">
        <is>
          <t>Endometriosis</t>
        </is>
      </c>
      <c r="F20" s="2" t="inlineStr">
        <is>
          <t>Dysfunction uterine bleeding</t>
        </is>
      </c>
      <c r="G20" s="2" t="inlineStr">
        <is>
          <t>การเลื่อนกำหนดการมีประจำเดือน</t>
        </is>
      </c>
      <c r="H20" s="2" t="inlineStr">
        <is>
          <t>มะเร็งเต้านม</t>
        </is>
      </c>
      <c r="I20" s="8" t="n">
        <v>5</v>
      </c>
      <c r="J20" s="2"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Hormonal replacement</t>
        </is>
      </c>
      <c r="M20" s="2" t="inlineStr">
        <is>
          <t>Clinic</t>
        </is>
      </c>
      <c r="N20" s="2" t="inlineStr">
        <is>
          <t>ข้อ 18 Pharma Plus เล่มม่วง (เฉลยข้อ จ)</t>
        </is>
      </c>
      <c r="O20" s="2" t="n"/>
      <c r="P20" s="2" t="n"/>
    </row>
    <row r="21" ht="13.2" customHeight="1" s="49">
      <c r="A21" s="8" t="inlineStr">
        <is>
          <t>19</t>
        </is>
      </c>
      <c r="B21" s="2" t="inlineStr">
        <is>
          <t>วิธีคุมกำเนิดชนิดใดมีประสิทธิภาพในการคุมกำเนิดได้ดีที่สุด</t>
        </is>
      </c>
      <c r="C21" s="2" t="n"/>
      <c r="D21" s="2" t="inlineStr">
        <is>
          <t>ยาเม็ดคุมกำเนิด</t>
        </is>
      </c>
      <c r="E21" s="2" t="inlineStr">
        <is>
          <t>ถุงยางอนามัย</t>
        </is>
      </c>
      <c r="F21" s="2" t="inlineStr">
        <is>
          <t>ใส่ห่วงอนามัย</t>
        </is>
      </c>
      <c r="G21" s="2" t="inlineStr">
        <is>
          <t>การนับระยะปลอดภัย</t>
        </is>
      </c>
      <c r="H21" s="2" t="inlineStr">
        <is>
          <t>ใช้ยาฆ่าอสุจิ</t>
        </is>
      </c>
      <c r="I21" s="8" t="n">
        <v>3</v>
      </c>
      <c r="J21" s="2"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2" t="n"/>
      <c r="L21" s="2" t="inlineStr">
        <is>
          <t>Oral contraceptive</t>
        </is>
      </c>
      <c r="M21" s="2" t="inlineStr">
        <is>
          <t>Clinic</t>
        </is>
      </c>
      <c r="N21" s="2" t="inlineStr">
        <is>
          <t>ข้อ 19 Pharma Plus เล่มม่วง (เฉลยข้อ ค)</t>
        </is>
      </c>
      <c r="O21" s="2" t="n"/>
      <c r="P21" s="2" t="n"/>
    </row>
    <row r="22" ht="13.2" customHeight="1" s="49">
      <c r="A22" s="8" t="inlineStr">
        <is>
          <t>20</t>
        </is>
      </c>
      <c r="B22" s="2" t="inlineStr">
        <is>
          <t>Levonorgestrel สามารถใช้ในการคุมกำเนิดในผู้ป่วยกลุ่มใด</t>
        </is>
      </c>
      <c r="C22" s="2" t="n"/>
      <c r="D22" s="2" t="inlineStr">
        <is>
          <t>สตรีมีครรภ์</t>
        </is>
      </c>
      <c r="E22" s="2" t="inlineStr">
        <is>
          <t>ผู้ป่วย ischemic heart disease</t>
        </is>
      </c>
      <c r="F22" s="2" t="inlineStr">
        <is>
          <t>ผู้ป่วย hypertension</t>
        </is>
      </c>
      <c r="G22" s="2" t="inlineStr">
        <is>
          <t>ผู้ป่วยประวัติ breast cancer</t>
        </is>
      </c>
      <c r="H22" s="2" t="inlineStr">
        <is>
          <t>ผู้ป่วยโรคหอบหืด</t>
        </is>
      </c>
      <c r="I22" s="8" t="n">
        <v>2</v>
      </c>
      <c r="J22" s="2"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2" t="n"/>
      <c r="L22" s="2" t="inlineStr">
        <is>
          <t>Oral contraceptive</t>
        </is>
      </c>
      <c r="M22" s="2" t="inlineStr">
        <is>
          <t>Clinic</t>
        </is>
      </c>
      <c r="N22" s="2" t="inlineStr">
        <is>
          <t>ข้อ 20 Pharma Plus เล่มม่วง (เฉลยข้อ ข ค ง จ)</t>
        </is>
      </c>
      <c r="O22" s="2" t="n"/>
      <c r="P22" s="2" t="n"/>
    </row>
    <row r="23" ht="13.2" customHeight="1" s="49">
      <c r="A23" s="8" t="inlineStr">
        <is>
          <t>21</t>
        </is>
      </c>
      <c r="B23" s="2" t="inlineStr">
        <is>
          <t>ข้อใดต่อไปนี้ผิดเกี่ยวกับ levonorgestrel</t>
        </is>
      </c>
      <c r="C23" s="2" t="n"/>
      <c r="D23" s="2" t="inlineStr">
        <is>
          <t>มีกลไกการออกฤทธิ์ คือ ยับยั้งการตกไข่</t>
        </is>
      </c>
      <c r="E23" s="2" t="inlineStr">
        <is>
          <t>ประสิทธิภาพในการป้องกันการตั้งครรภ์จะสูงสุด ถ้ารับหลังการร่วมเพศทันที</t>
        </is>
      </c>
      <c r="F23" s="2" t="inlineStr">
        <is>
          <t>ประสิทธิภาพในการป้องกันการตั้งครรภ์จะเทียบเท่ากับการใช้ยาเม็ดคุมกำเนิดทั่วไป</t>
        </is>
      </c>
      <c r="G23" s="2" t="inlineStr">
        <is>
          <t>มี side effect คือ ปวดหัวนะ คลื่นไส้ อาเจียน</t>
        </is>
      </c>
      <c r="H23" s="2" t="inlineStr">
        <is>
          <t>ประสิทธิภาพในการป้องกันการตั้งครรภ์จะลดลง ถ้าร่วมกับ barbiturate ที่เป็น hepatic drug metabolizing enzyme inducer</t>
        </is>
      </c>
      <c r="I23" s="8" t="n">
        <v>3</v>
      </c>
      <c r="J23" s="2"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2" t="n"/>
      <c r="L23" s="2" t="inlineStr">
        <is>
          <t>Oral contraceptive</t>
        </is>
      </c>
      <c r="M23" s="2" t="inlineStr">
        <is>
          <t>Clinic</t>
        </is>
      </c>
      <c r="N23" s="2" t="inlineStr">
        <is>
          <t>ข้อ 21 Pharma Plus เล่มม่วง (เฉลยข้อ ค)</t>
        </is>
      </c>
      <c r="O23" s="2" t="n"/>
      <c r="P23" s="2" t="n"/>
    </row>
    <row r="24" ht="13.2" customHeight="1" s="49">
      <c r="A24" s="8" t="inlineStr">
        <is>
          <t>22</t>
        </is>
      </c>
      <c r="B24" s="2"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2" t="n"/>
      <c r="D24" s="2" t="inlineStr">
        <is>
          <t>รับประทานครั้งละ 2 เม็ด ภายใน 12 ชั่วโมง หลังจากนั้นอีก 12 ชั่วโมง รับประทานอีก 2 เม็ด</t>
        </is>
      </c>
      <c r="E24" s="2" t="inlineStr">
        <is>
          <t>รับประทาน 1 เม็ด ภายใน 72 ชั่วโมง หลังจากนั้นอีก 12 ชั่วโมง รับประทานอีก 1 เม็ด</t>
        </is>
      </c>
      <c r="F24" s="2" t="inlineStr">
        <is>
          <t>รับประทาน 2 เม็ด ภายใน 72 ชั่วโมง ครั้งเดียว</t>
        </is>
      </c>
      <c r="G24" s="2" t="inlineStr">
        <is>
          <t>รับประทาน 2 เม็ด ภายใน 1 ชั่วโมง</t>
        </is>
      </c>
      <c r="H24" s="2" t="inlineStr">
        <is>
          <t>รับประทานหนึ่งเม็ดติดต่อกันนาน 5 วัน</t>
        </is>
      </c>
      <c r="I24" s="8" t="n">
        <v>2</v>
      </c>
      <c r="J24" s="2"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2" t="n"/>
      <c r="L24" s="2" t="inlineStr">
        <is>
          <t>Oral contraceptive</t>
        </is>
      </c>
      <c r="M24" s="2" t="inlineStr">
        <is>
          <t>Clinic</t>
        </is>
      </c>
      <c r="N24" s="2" t="inlineStr">
        <is>
          <t>ข้อ 22 Pharma Plus เล่มม่วง (เฉลยข้อ ข ค)</t>
        </is>
      </c>
      <c r="O24" s="2" t="n"/>
      <c r="P24" s="2" t="n"/>
    </row>
    <row r="25" ht="13.2" customHeight="1" s="49">
      <c r="A25" s="8" t="inlineStr">
        <is>
          <t>23</t>
        </is>
      </c>
      <c r="B25" s="2" t="inlineStr">
        <is>
          <t>เภสัชกรแนะนำให้ผู้ป่วยรับประทานยาคุมชนิด combines pill ควรเลือกยาคุมในข้อใด ในกรณีที่เริ่มใช้เป็นครั้งแรก</t>
        </is>
      </c>
      <c r="C25" s="2" t="n"/>
      <c r="D25" s="2" t="inlineStr">
        <is>
          <t>Ethinyl estradiol 0.05 mg + ethinodiol diacetate 1 mg</t>
        </is>
      </c>
      <c r="E25" s="2" t="inlineStr">
        <is>
          <t>Mestranol 0.05 mg + northisterone 1 mg</t>
        </is>
      </c>
      <c r="F25" s="2" t="inlineStr">
        <is>
          <t>Ethinyl estradiol 0.03 mg + levonorgestrel 0.15 mg</t>
        </is>
      </c>
      <c r="G25" s="2" t="inlineStr">
        <is>
          <t>Ethinyl estradiol 0.03 mg + gestrodene 0.075 mg</t>
        </is>
      </c>
      <c r="H25" s="2" t="inlineStr">
        <is>
          <t>Ethinyl estradiol 0.02 mg + desogestrel 0.15 mg</t>
        </is>
      </c>
      <c r="I25" s="8" t="n">
        <v>1</v>
      </c>
      <c r="J25" s="2"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2" t="n"/>
      <c r="L25" s="2" t="inlineStr">
        <is>
          <t>Oral contraceptive</t>
        </is>
      </c>
      <c r="M25" s="2" t="inlineStr">
        <is>
          <t>Clinic</t>
        </is>
      </c>
      <c r="N25" s="2" t="inlineStr">
        <is>
          <t>ข้อ 23 Pharma Plus เล่มม่วง (เฉลยข้อ )</t>
        </is>
      </c>
      <c r="O25" s="2" t="n"/>
      <c r="P25" s="2" t="n"/>
    </row>
    <row r="26" ht="13.2" customHeight="1" s="49">
      <c r="A26" s="8" t="inlineStr">
        <is>
          <t>24</t>
        </is>
      </c>
      <c r="B26" s="2" t="inlineStr">
        <is>
          <t>คำแนะนำในการใช้ยาคุมกำเนิดข้อใดผิด</t>
        </is>
      </c>
      <c r="C26" s="2" t="n"/>
      <c r="D26" s="2" t="inlineStr">
        <is>
          <t>15 วันแรกที่รับประทานยาคุมกำเนิด ควรคุมกำเนิดโดยการใช้ถุงยางอนามัยด้วย</t>
        </is>
      </c>
      <c r="E26" s="2" t="inlineStr">
        <is>
          <t>2-3 แผงแรกของการรับประทานยาคุม อาจมีอาการคลื่นไส้อาเจียน จากนั้นอาการจะทุเลาลงเอง</t>
        </is>
      </c>
      <c r="F26" s="2" t="inlineStr">
        <is>
          <t>ควรรับประทานยาคุมกำเนิดทุกวัน วันละ 1 เม็ด เวลาใดก็ได้ แต่ห้ามลืม</t>
        </is>
      </c>
      <c r="G26" s="2" t="inlineStr">
        <is>
          <t>การรับประทานยาคุมกำเนิด ควรเริ่มรับประทานในวันที่ 1-5 ของการมีประจำเดือน</t>
        </is>
      </c>
      <c r="H26" s="2" t="inlineStr">
        <is>
          <t>หากลืมรับประทานยาคุมกำเนิดติดต่อกันเกิน 2 เม็ด ควรหยุดยาใช้คุมกำเนิดแผงนั้นและใช้วิธีการคุมกำเนิดแบบอื่น</t>
        </is>
      </c>
      <c r="I26" s="8" t="n">
        <v>3</v>
      </c>
      <c r="J26" s="2"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2" t="n"/>
      <c r="L26" s="2" t="inlineStr">
        <is>
          <t>Oral contraceptive</t>
        </is>
      </c>
      <c r="M26" s="2" t="inlineStr">
        <is>
          <t>Clinic</t>
        </is>
      </c>
      <c r="N26" s="2" t="inlineStr">
        <is>
          <t>ข้อ 24 Pharma Plus เล่มม่วง (เฉลยข้อ ค)</t>
        </is>
      </c>
      <c r="O26" s="2" t="n"/>
      <c r="P26" s="2" t="n"/>
    </row>
    <row r="27" ht="13.2" customHeight="1" s="49">
      <c r="A27" s="8" t="inlineStr">
        <is>
          <t>25</t>
        </is>
      </c>
      <c r="B27" s="2"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2" t="n"/>
      <c r="D27" s="2" t="inlineStr">
        <is>
          <t>จะช่วยให้ผลดีต่อระบบหัวใจและหลอดเลือด</t>
        </is>
      </c>
      <c r="E27" s="2" t="inlineStr">
        <is>
          <t>จะช่วยทำให้ไม่มีเลือดออกจากช่องคลอด</t>
        </is>
      </c>
      <c r="F27" s="2" t="inlineStr">
        <is>
          <t>จะช่วยลดความเสี่ยงของการเป็นมะเร็งเยื่อบุมดลูก</t>
        </is>
      </c>
      <c r="G27" s="2" t="inlineStr">
        <is>
          <t>จะช่วยลดความเสี่ยงของการเกิดมะเร็งเต้านม</t>
        </is>
      </c>
      <c r="H27" s="2" t="inlineStr">
        <is>
          <t>จะช่วยลดความเสี่ยงของการเกิดมะเร็งปากมดลูก</t>
        </is>
      </c>
      <c r="I27" s="8" t="n">
        <v>3</v>
      </c>
      <c r="J27" s="2"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2" t="n"/>
      <c r="L27" s="2" t="inlineStr">
        <is>
          <t>Oral contraceptive</t>
        </is>
      </c>
      <c r="M27" s="2" t="inlineStr">
        <is>
          <t>Clinic</t>
        </is>
      </c>
      <c r="N27" s="2" t="inlineStr">
        <is>
          <t>ข้อ 25 Pharma Plus เล่มม่วง (เฉลยข้อ ค)</t>
        </is>
      </c>
      <c r="O27" s="2" t="n"/>
      <c r="P27" s="2" t="n"/>
    </row>
    <row r="28" ht="13.2" customHeight="1" s="49">
      <c r="A28" s="8" t="inlineStr">
        <is>
          <t>26</t>
        </is>
      </c>
      <c r="B28" s="2"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2" t="n"/>
      <c r="D28" s="2" t="inlineStr">
        <is>
          <t>การให้แบบแผ่นแปะไม่มี first pass metabolism ที่ตับ</t>
        </is>
      </c>
      <c r="E28" s="2" t="inlineStr">
        <is>
          <t>การให้แบบแผ่นแปะจะมีผลการดูดซึมที่ดีกว่าแบบรับประทาน</t>
        </is>
      </c>
      <c r="F28" s="2" t="inlineStr">
        <is>
          <t>การให้แบบแผ่นแปะจะมีผลการรักษาอาการร้อนวูบวาบได้ดีกว่า</t>
        </is>
      </c>
      <c r="G28" s="2" t="inlineStr">
        <is>
          <t>การให้แบบแผ่นแปะจะมีผลการรักษาช่องคลอดแห้งได้ดีกว่า</t>
        </is>
      </c>
      <c r="H28" s="2" t="inlineStr">
        <is>
          <t>การให้แบบแผ่นแปะจะมีผลการรักษา osteoporosis ดีกว่า</t>
        </is>
      </c>
      <c r="I28" s="8" t="n">
        <v>1</v>
      </c>
      <c r="J28" s="2"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2" t="n"/>
      <c r="L28" s="2" t="inlineStr">
        <is>
          <t>Oral contraceptive</t>
        </is>
      </c>
      <c r="M28" s="2" t="inlineStr">
        <is>
          <t>Clinic</t>
        </is>
      </c>
      <c r="N28" s="2" t="inlineStr">
        <is>
          <t>ข้อ 26 Pharma Plus เล่มม่วง (เฉลยข้อ ก)</t>
        </is>
      </c>
      <c r="O28" s="2" t="n"/>
      <c r="P28" s="2" t="n"/>
    </row>
    <row r="29" ht="13.2" customHeight="1" s="49">
      <c r="A29" s="8" t="inlineStr">
        <is>
          <t>27</t>
        </is>
      </c>
      <c r="B29" s="2" t="inlineStr">
        <is>
          <t>สำหรับผู้ป่วยที่ตัดมดลูก ควรใช้ฮอร์โมนทดแทนแบบใด</t>
        </is>
      </c>
      <c r="C29" s="2" t="n"/>
      <c r="D29" s="2" t="inlineStr">
        <is>
          <t>Estradiol valerate 2 mg + norgestrel 0.5 mg</t>
        </is>
      </c>
      <c r="E29" s="2" t="inlineStr">
        <is>
          <t>Medroxyprogesterone acetate 5 mg</t>
        </is>
      </c>
      <c r="F29" s="2" t="inlineStr">
        <is>
          <t>Ethynyl estradiol 30 mcg + cyproterone acetate 2 mg</t>
        </is>
      </c>
      <c r="G29" s="2" t="inlineStr">
        <is>
          <t>Conjugated estrogen 0.625 mg</t>
        </is>
      </c>
      <c r="H29" s="2" t="inlineStr">
        <is>
          <t>Conjugated estrogen 0.625 mg + medroxyprogesterone 5 mg</t>
        </is>
      </c>
      <c r="I29" s="8" t="n">
        <v>4</v>
      </c>
      <c r="J29" s="2"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2" t="n"/>
      <c r="L29" s="2" t="inlineStr">
        <is>
          <t>Oral contraceptive</t>
        </is>
      </c>
      <c r="M29" s="2" t="inlineStr">
        <is>
          <t>Clinic</t>
        </is>
      </c>
      <c r="N29" s="2" t="inlineStr">
        <is>
          <t>ข้อ 27 Pharma Plus เล่มม่วง (เฉลยข้อ ง)</t>
        </is>
      </c>
      <c r="O29" s="2" t="n"/>
      <c r="P29" s="2" t="n"/>
    </row>
    <row r="30" ht="13.2" customHeight="1" s="49">
      <c r="A30" s="8" t="inlineStr">
        <is>
          <t>28</t>
        </is>
      </c>
      <c r="B30" s="2" t="inlineStr">
        <is>
          <t>ข้อใดเป็นอาการไม่พึงประสงค์ที่ร้ายแรงของยาที่เลือกใช้ในข้อ 27</t>
        </is>
      </c>
      <c r="C30" s="2" t="n"/>
      <c r="D30" s="2" t="inlineStr">
        <is>
          <t>Hyperlipidemia</t>
        </is>
      </c>
      <c r="E30" s="2" t="inlineStr">
        <is>
          <t>Osteoporosis</t>
        </is>
      </c>
      <c r="F30" s="2" t="inlineStr">
        <is>
          <t>Hyperbilirubinemia</t>
        </is>
      </c>
      <c r="G30" s="2" t="inlineStr">
        <is>
          <t>Congestive heart failure</t>
        </is>
      </c>
      <c r="H30" s="2" t="inlineStr">
        <is>
          <t>Thromboembolism</t>
        </is>
      </c>
      <c r="I30" s="8" t="n">
        <v>5</v>
      </c>
      <c r="J30" s="2"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2" t="n"/>
      <c r="L30" s="2" t="inlineStr">
        <is>
          <t>Oral contraceptive</t>
        </is>
      </c>
      <c r="M30" s="2" t="inlineStr">
        <is>
          <t>Clinic</t>
        </is>
      </c>
      <c r="N30" s="2" t="inlineStr">
        <is>
          <t>ข้อ 28 Pharma Plus เล่มม่วง (เฉลยข้อ จ)</t>
        </is>
      </c>
      <c r="O30" s="2" t="n"/>
      <c r="P30" s="2" t="n"/>
    </row>
    <row r="31" ht="13.2" customHeight="1" s="49">
      <c r="A31" s="8" t="inlineStr">
        <is>
          <t>29</t>
        </is>
      </c>
      <c r="B31"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2" t="n"/>
      <c r="D31" s="2" t="inlineStr">
        <is>
          <t>เริ่มมีอาการปวดท้องเมื่ออายุ 27 ปี</t>
        </is>
      </c>
      <c r="E31" s="2" t="inlineStr">
        <is>
          <t>ปวดบิดเป็นพัก ๆ ที่บริเวณท้องน้อย</t>
        </is>
      </c>
      <c r="F31" s="2" t="inlineStr">
        <is>
          <t>ปวดท้องก่อนมีประจำเดือนไม่กี่ชม.</t>
        </is>
      </c>
      <c r="G31" s="2" t="inlineStr">
        <is>
          <t>ปวดท้องตลอดช่วง 2-3 วันแรกของการมีประจำเดือน</t>
        </is>
      </c>
      <c r="H31" s="2" t="inlineStr">
        <is>
          <t>อาการปวดท้องดีขึ้นเมื่อรับประทานยา paracetamol หรือ ibuprofen</t>
        </is>
      </c>
      <c r="I31" s="8" t="n">
        <v>1</v>
      </c>
      <c r="J31" s="2"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2" t="n"/>
      <c r="L31" s="2" t="inlineStr">
        <is>
          <t>Dysmenorrhea</t>
        </is>
      </c>
      <c r="M31" s="2" t="inlineStr">
        <is>
          <t>Clinic</t>
        </is>
      </c>
      <c r="N31" s="2" t="inlineStr">
        <is>
          <t>ข้อ 29 Pharma Plus เล่มม่วง (เฉลยข้อ ก จ)</t>
        </is>
      </c>
      <c r="O31" s="2" t="n"/>
      <c r="P31" s="2" t="n"/>
    </row>
    <row r="32" ht="13.2" customHeight="1" s="49">
      <c r="A32" s="8" t="inlineStr">
        <is>
          <t>30</t>
        </is>
      </c>
      <c r="B32"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2" t="n"/>
      <c r="D32" s="2" t="inlineStr">
        <is>
          <t>ประคบบริเวณท้องน้อยด้วยถุงน้ำร้อนเพื่อช่วยบรรเทาและอาการปวดท้อง</t>
        </is>
      </c>
      <c r="E32" s="2" t="inlineStr">
        <is>
          <t>ควรนอนพักผ่อนมาก ๆ ระหว่างมีประจำเดือน</t>
        </is>
      </c>
      <c r="F32" s="2" t="inlineStr">
        <is>
          <t>ควรรับประทานยา ibuprofen หลังอาหารทันที</t>
        </is>
      </c>
      <c r="G32" s="2" t="inlineStr">
        <is>
          <t>สามารถรับประทานยา ibuprofen ก่อนมีอาการปวดเพื่อป้องกันได้</t>
        </is>
      </c>
      <c r="H32" s="2" t="inlineStr">
        <is>
          <t>หลีกเลี่ยงเครื่องดื่มที่มีแอลกอฮอล์ระหว่างรับประทานยา ibuprofen</t>
        </is>
      </c>
      <c r="I32" s="8" t="n">
        <v>5</v>
      </c>
      <c r="J32" s="2"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2" t="n"/>
      <c r="L32" s="2" t="inlineStr">
        <is>
          <t>Dysmenorrhea</t>
        </is>
      </c>
      <c r="M32" s="2" t="inlineStr">
        <is>
          <t>Clinic</t>
        </is>
      </c>
      <c r="N32" s="2" t="inlineStr">
        <is>
          <t>ข้อ 30 Pharma Plus เล่มม่วง (เฉลยข้อ จ)</t>
        </is>
      </c>
      <c r="O32" s="2" t="n"/>
      <c r="P32" s="2" t="n"/>
    </row>
    <row r="33" ht="13.2" customHeight="1" s="49">
      <c r="A33" s="8" t="inlineStr">
        <is>
          <t>31</t>
        </is>
      </c>
      <c r="B33" s="2"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2" t="n"/>
      <c r="D33" s="2" t="inlineStr">
        <is>
          <t>Serotonin</t>
        </is>
      </c>
      <c r="E33" s="2" t="inlineStr">
        <is>
          <t>Prostaglandin</t>
        </is>
      </c>
      <c r="F33" s="2" t="inlineStr">
        <is>
          <t>Cyclo-oxygenase</t>
        </is>
      </c>
      <c r="G33" s="2" t="inlineStr">
        <is>
          <t>Leukotriene</t>
        </is>
      </c>
      <c r="H33" s="2" t="inlineStr">
        <is>
          <t>Thromboxane</t>
        </is>
      </c>
      <c r="I33" s="8" t="n">
        <v>2</v>
      </c>
      <c r="J33" s="2"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2" t="n"/>
      <c r="L33" s="2" t="inlineStr">
        <is>
          <t>Dysmenorrhea</t>
        </is>
      </c>
      <c r="M33" s="2" t="inlineStr">
        <is>
          <t>Clinic</t>
        </is>
      </c>
      <c r="N33" s="2" t="inlineStr">
        <is>
          <t>ข้อ 31 Pharma Plus เล่มม่วง (เฉลยข้อ ข)</t>
        </is>
      </c>
      <c r="O33" s="2" t="n"/>
      <c r="P33" s="2" t="n"/>
    </row>
    <row r="34" ht="13.2" customHeight="1" s="49">
      <c r="A34" s="8" t="inlineStr">
        <is>
          <t>32</t>
        </is>
      </c>
      <c r="B34" s="2" t="inlineStr">
        <is>
          <t>หากผู้ป่วยรายนี้รับประทานยา ibuprofen แล้วประมาณ 1 ชม. ยังมีอาการปวด จะแนะนำยาชนิดใดเพื่อเสริมฤทธิ์แก้ปวดท้อง</t>
        </is>
      </c>
      <c r="C34" s="2" t="n"/>
      <c r="D34" s="2" t="inlineStr">
        <is>
          <t>Mefenamic acid</t>
        </is>
      </c>
      <c r="E34" s="2" t="inlineStr">
        <is>
          <t>Hyoscine-n-butyl bromide</t>
        </is>
      </c>
      <c r="F34" s="2" t="inlineStr">
        <is>
          <t>Estradiol+ levonorgertrel</t>
        </is>
      </c>
      <c r="G34" s="2" t="inlineStr">
        <is>
          <t>Orphenadrine</t>
        </is>
      </c>
      <c r="H34" s="2" t="inlineStr">
        <is>
          <t>Tolperisone</t>
        </is>
      </c>
      <c r="I34" s="8" t="n">
        <v>2</v>
      </c>
      <c r="J34" s="2"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2" t="n"/>
      <c r="L34" s="2" t="inlineStr">
        <is>
          <t>Dysmenorrhea</t>
        </is>
      </c>
      <c r="M34" s="2" t="inlineStr">
        <is>
          <t>Clinic</t>
        </is>
      </c>
      <c r="N34" s="2" t="inlineStr">
        <is>
          <t>ข้อ 32 Pharma Plus เล่มม่วง (เฉลยข้อ ข)</t>
        </is>
      </c>
      <c r="O34" s="2" t="n"/>
      <c r="P34" s="2" t="n"/>
    </row>
    <row r="35" ht="13.2" customHeight="1" s="49">
      <c r="A35" s="8" t="inlineStr">
        <is>
          <t>33</t>
        </is>
      </c>
      <c r="B35" s="2" t="inlineStr">
        <is>
          <t>ยาใดที่ไม่สามารถใช้รักษาอาการปวดประจำเดือน</t>
        </is>
      </c>
      <c r="C35" s="2" t="n"/>
      <c r="D35" s="2" t="inlineStr">
        <is>
          <t>Aspirin</t>
        </is>
      </c>
      <c r="E35" s="2" t="inlineStr">
        <is>
          <t>Colchicine</t>
        </is>
      </c>
      <c r="F35" s="2" t="inlineStr">
        <is>
          <t>Naproxen</t>
        </is>
      </c>
      <c r="G35" s="2" t="inlineStr">
        <is>
          <t>Celecoxib</t>
        </is>
      </c>
      <c r="H35" s="2" t="inlineStr">
        <is>
          <t>Mefenamic acid</t>
        </is>
      </c>
      <c r="I35" s="8" t="n">
        <v>2</v>
      </c>
      <c r="J35" s="2"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2" t="n"/>
      <c r="L35" s="2" t="inlineStr">
        <is>
          <t>Dysmenorrhea</t>
        </is>
      </c>
      <c r="M35" s="2" t="inlineStr">
        <is>
          <t>Clinic</t>
        </is>
      </c>
      <c r="N35" s="2" t="inlineStr">
        <is>
          <t>ข้อ 33 Pharma Plus เล่มม่วง (เฉลยข้อ ข)</t>
        </is>
      </c>
      <c r="O35" s="2" t="n"/>
      <c r="P35" s="2" t="n"/>
    </row>
    <row r="36" ht="13.2" customHeight="1" s="49">
      <c r="A36" s="8" t="inlineStr">
        <is>
          <t>34</t>
        </is>
      </c>
      <c r="B36" s="2"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2" t="n"/>
      <c r="D36" s="2" t="inlineStr">
        <is>
          <t>12.00 น. ของ 6 ก.พ. 53</t>
        </is>
      </c>
      <c r="E36" s="2" t="inlineStr">
        <is>
          <t>20.00 น. ของ 6 ก.พ. 53</t>
        </is>
      </c>
      <c r="F36" s="2" t="inlineStr">
        <is>
          <t>8.00 น. ของ 7 ก.พ. 53</t>
        </is>
      </c>
      <c r="G36" s="2" t="inlineStr">
        <is>
          <t>20.00 น. ของ 7 ก.พ. 53</t>
        </is>
      </c>
      <c r="H36" s="2" t="inlineStr">
        <is>
          <t>8.00 น. ของ 7 ก.พ. 53</t>
        </is>
      </c>
      <c r="I36" s="8" t="n">
        <v>2</v>
      </c>
      <c r="J36" s="2"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2" t="n"/>
      <c r="L36" s="2" t="inlineStr">
        <is>
          <t>Oral contraceptive</t>
        </is>
      </c>
      <c r="M36" s="2" t="inlineStr">
        <is>
          <t>Clinic</t>
        </is>
      </c>
      <c r="N36" s="2" t="inlineStr">
        <is>
          <t>ข้อ 34 Pharma Plus เล่มม่วง (เฉลยข้อ ข)</t>
        </is>
      </c>
      <c r="O36" s="2" t="n"/>
      <c r="P36" s="2" t="n"/>
    </row>
    <row r="37" ht="13.2" customHeight="1" s="49">
      <c r="A37" s="8" t="inlineStr">
        <is>
          <t>35</t>
        </is>
      </c>
      <c r="B37" s="2" t="inlineStr">
        <is>
          <t>Progestogen only pill คืออะไร</t>
        </is>
      </c>
      <c r="C37" s="2" t="n"/>
      <c r="D37" s="2" t="inlineStr">
        <is>
          <t>Lynestrenol</t>
        </is>
      </c>
      <c r="E37" s="2" t="inlineStr">
        <is>
          <t>Drospirenone</t>
        </is>
      </c>
      <c r="F37" s="2" t="inlineStr">
        <is>
          <t>Norethisterone</t>
        </is>
      </c>
      <c r="G37" s="2" t="inlineStr">
        <is>
          <t>Levonorgestrel</t>
        </is>
      </c>
      <c r="H37" s="2" t="inlineStr">
        <is>
          <t>Gestodene</t>
        </is>
      </c>
      <c r="I37" s="8" t="n">
        <v>1</v>
      </c>
      <c r="J37"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2" t="n"/>
      <c r="L37" s="2" t="inlineStr">
        <is>
          <t>Oral contraceptive</t>
        </is>
      </c>
      <c r="M37" s="2" t="inlineStr">
        <is>
          <t>Clinic</t>
        </is>
      </c>
      <c r="N37" s="2" t="inlineStr">
        <is>
          <t>ข้อ 35 Pharma Plus เล่มม่วง (เฉลยข้อ ก)</t>
        </is>
      </c>
      <c r="O37" s="2" t="n"/>
      <c r="P37" s="2" t="n"/>
    </row>
    <row r="38" ht="13.2" customHeight="1" s="49">
      <c r="A38" s="8" t="inlineStr">
        <is>
          <t>36</t>
        </is>
      </c>
      <c r="B38" s="2" t="inlineStr">
        <is>
          <t>ข้อใดคืออาการไม่พึงประสงค์ของ progesterone</t>
        </is>
      </c>
      <c r="C38" s="2" t="n"/>
      <c r="D38" s="2" t="inlineStr">
        <is>
          <t>เลือดออกกระบิดกระโปรยว</t>
        </is>
      </c>
      <c r="E38" s="2" t="inlineStr">
        <is>
          <t>น้ำนมไหล</t>
        </is>
      </c>
      <c r="F38" s="2" t="inlineStr">
        <is>
          <t>มูกปากมดลูกเป็นแบบใสๆ</t>
        </is>
      </c>
      <c r="G38" s="2" t="inlineStr">
        <is>
          <t>น้ำหนักลด</t>
        </is>
      </c>
      <c r="H38" s="2" t="inlineStr">
        <is>
          <t>เบื่ออาหาร</t>
        </is>
      </c>
      <c r="I38" s="8" t="n">
        <v>1</v>
      </c>
      <c r="J38" s="2"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Hormonal replacement</t>
        </is>
      </c>
      <c r="M38" s="2" t="inlineStr">
        <is>
          <t>Clinic</t>
        </is>
      </c>
      <c r="N38" s="2" t="inlineStr">
        <is>
          <t>ข้อ 36 Pharma Plus เล่มม่วง (เฉลยข้อ ก)</t>
        </is>
      </c>
      <c r="O38" s="2" t="n"/>
      <c r="P38" s="2" t="n"/>
    </row>
    <row r="39" ht="13.2" customHeight="1" s="49">
      <c r="A39" s="8" t="inlineStr">
        <is>
          <t>37</t>
        </is>
      </c>
      <c r="B39" s="2"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2" t="n"/>
      <c r="D39" s="2"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2" t="inlineStr">
        <is>
          <t>ควรรับประทานยาในเวลาเดียวกันหรือใกล้เคียงกันทุกวัน</t>
        </is>
      </c>
      <c r="F39" s="2" t="inlineStr">
        <is>
          <t>ถ้ามีอาการคลื่นไส้ อาเจียน เลือดออกกระปริดกระปรอย ให้หยุดใช้ยาทันทีแล้วไปพบแพทย์</t>
        </is>
      </c>
      <c r="G39" s="2" t="inlineStr">
        <is>
          <t>แม้ความหนาแน่นกระดูกปกติ ก็ควรรับประทานแคลเซียมเสริมเป็นประจำ และออกกำลังกายสม่ำเสมอ</t>
        </is>
      </c>
      <c r="H39" s="2" t="inlineStr">
        <is>
          <t>ในช่วงที่หยุดยาฮอร์โมนจะมีประจำเดือน จะเป็นอยู่ระยะหนึ่งแล้วค่อยๆน้อยลง จนหายไป</t>
        </is>
      </c>
      <c r="I39" s="8" t="n">
        <v>3</v>
      </c>
      <c r="J39" s="2"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2" t="n"/>
      <c r="L39" s="2" t="inlineStr">
        <is>
          <t>Oral contraceptive</t>
        </is>
      </c>
      <c r="M39" s="2" t="inlineStr">
        <is>
          <t>Clinic</t>
        </is>
      </c>
      <c r="N39" s="2" t="inlineStr">
        <is>
          <t>ข้อ 37 Pharma Plus เล่มม่วง (เฉลยข้อ ค)</t>
        </is>
      </c>
      <c r="O39" s="2" t="n"/>
      <c r="P39" s="2" t="n"/>
    </row>
    <row r="40" ht="13.2" customHeight="1" s="49">
      <c r="A40" s="8" t="inlineStr">
        <is>
          <t>38</t>
        </is>
      </c>
      <c r="B40" s="2" t="inlineStr">
        <is>
          <t>ข้อใดต่อไปนี้ไม่ถูกต้อง</t>
        </is>
      </c>
      <c r="C40" s="2" t="n"/>
      <c r="D40" s="2" t="inlineStr">
        <is>
          <t>Conjugated estrogen คือ esters ของเอสโตเจนธรรมชาติหลายๆชนิดรวมกัน</t>
        </is>
      </c>
      <c r="E40" s="2"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2" t="inlineStr">
        <is>
          <t>Estrogen มีกลไกการออกฤทธิ์โดยจับกับ estrogen receptor ภายในเซลล์ มีผลต่อการแสดงออกของยีน</t>
        </is>
      </c>
      <c r="G40" s="2" t="inlineStr">
        <is>
          <t>Progesterone มีกลไกการออกฤทธิ์คล้ายกับ estrogen โดยจับที่ตัวรับและยีนเดียวกัน</t>
        </is>
      </c>
      <c r="H40" s="2" t="inlineStr">
        <is>
          <t>ไม่มีคำตอบ</t>
        </is>
      </c>
      <c r="I40" s="8" t="n">
        <v>4</v>
      </c>
      <c r="J40" s="2"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2" t="n"/>
      <c r="L40" s="2" t="inlineStr">
        <is>
          <t>Oral contraceptive</t>
        </is>
      </c>
      <c r="M40" s="2" t="inlineStr">
        <is>
          <t>Clinic</t>
        </is>
      </c>
      <c r="N40" s="2" t="inlineStr">
        <is>
          <t>ข้อ 38 Pharma Plus เล่มม่วง (เฉลยข้อ ง)</t>
        </is>
      </c>
      <c r="O40" s="2" t="n"/>
      <c r="P40" s="2" t="n"/>
    </row>
    <row r="41" ht="13.2" customHeight="1" s="49">
      <c r="A41" s="8" t="inlineStr">
        <is>
          <t>39</t>
        </is>
      </c>
      <c r="B41" s="2"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2" t="n"/>
      <c r="D41" s="2" t="inlineStr">
        <is>
          <t>แนะนำให้หยุดยาทันทีแล้วไปพบแพทย์</t>
        </is>
      </c>
      <c r="E41" s="2" t="inlineStr">
        <is>
          <t>อธิบายว่าอาการคลื่นไส้ อาเจียนจะเป็นอยู่ระยะหนึ่งหลังจากนั้นจะดีขึ้น ถ้าไม่ดีขึ้นให้ไปพบแพทย์</t>
        </is>
      </c>
      <c r="F41" s="2" t="inlineStr">
        <is>
          <t>ลดขนาดของ conjugated estrogen เป็นขนาดเม็ดละ 0.03 มิลลิกรัม</t>
        </is>
      </c>
      <c r="G41" s="2" t="inlineStr">
        <is>
          <t>ลดขนาดของ MPA เป็นขนาดเม็ดละ 2.5 มิลลิกรัม</t>
        </is>
      </c>
      <c r="H41" s="2" t="inlineStr">
        <is>
          <t>ถูกทุกข้อ</t>
        </is>
      </c>
      <c r="I41" s="8" t="n">
        <v>2</v>
      </c>
      <c r="J41" s="2"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2" t="n"/>
      <c r="L41" s="2" t="inlineStr">
        <is>
          <t>Oral contraceptive</t>
        </is>
      </c>
      <c r="M41" s="2" t="inlineStr">
        <is>
          <t>Clinic</t>
        </is>
      </c>
      <c r="N41" s="2" t="inlineStr">
        <is>
          <t>ข้อ 39 Pharma Plus เล่มม่วง (เฉลยข้อ ข)</t>
        </is>
      </c>
      <c r="O41" s="2" t="n"/>
      <c r="P41" s="2" t="n"/>
    </row>
    <row r="42" ht="13.2" customHeight="1" s="49">
      <c r="A42" s="8" t="inlineStr">
        <is>
          <t>40</t>
        </is>
      </c>
      <c r="B42" s="2" t="inlineStr">
        <is>
          <t>ถ้านางลีเป็นเบาหวาน รูปแบบของ estrogen แบบใดจะมีผลกระทบต่อภาวะของโรคเบาหวานน้อยที่สุด
ข้อใดถูกต้อง</t>
        </is>
      </c>
      <c r="C42" s="2" t="n"/>
      <c r="D42" s="2" t="inlineStr">
        <is>
          <t>ยาเม็ด</t>
        </is>
      </c>
      <c r="E42" s="2" t="inlineStr">
        <is>
          <t>ยาฉีด</t>
        </is>
      </c>
      <c r="F42" s="2" t="inlineStr">
        <is>
          <t>แผ่นแปะผิวหนัง</t>
        </is>
      </c>
      <c r="G42" s="2" t="inlineStr">
        <is>
          <t>ครีมสอดช่องคลอด</t>
        </is>
      </c>
      <c r="H42" s="2" t="inlineStr">
        <is>
          <t>แบบฝัง</t>
        </is>
      </c>
      <c r="I42" s="8" t="n">
        <v>4</v>
      </c>
      <c r="J42" s="2"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2" t="n"/>
      <c r="L42" s="2" t="inlineStr">
        <is>
          <t>Hormonal replacement</t>
        </is>
      </c>
      <c r="M42" s="2" t="inlineStr">
        <is>
          <t>Clinic</t>
        </is>
      </c>
      <c r="N42" s="2" t="inlineStr">
        <is>
          <t>ข้อ 40 Pharma Plus เล่มม่วง (เฉลยข้อ ง)</t>
        </is>
      </c>
      <c r="O42" s="2" t="n"/>
      <c r="P42" s="2" t="n"/>
    </row>
    <row r="43" ht="13.2" customHeight="1" s="49">
      <c r="A43" s="8" t="inlineStr">
        <is>
          <t>41</t>
        </is>
      </c>
      <c r="B43" s="2" t="inlineStr">
        <is>
          <t>นางลีไม่อยากให้มีประจำเดือน วิธีการบริหารยาแบบใดที่จะทำให้ไม่มีประจำเดือนมาทุกเดือน
ข้อใดถูกต้อง</t>
        </is>
      </c>
      <c r="C43" s="2" t="n"/>
      <c r="D43" s="2" t="inlineStr">
        <is>
          <t>รับประทานยาทั้งสองชนิดทุกวัน ไม่ต้องหยุดยา 7 วัน</t>
        </is>
      </c>
      <c r="E43" s="2" t="inlineStr">
        <is>
          <t>เว้นช่วงไม่ต้องรับประทาน MPA 2-3 เดือนแล้วกลับมารับประทานเหมือนเดิม 1 เดือน แล้วเว้นช่วงต่อไปเรื่อย ๆ</t>
        </is>
      </c>
      <c r="F43" s="2" t="inlineStr">
        <is>
          <t>ไม่ต้องทาน MPA เพราะเป็นสาเหตุให้มีเลือดประจำเดือนเมื่อหยุดยา</t>
        </is>
      </c>
      <c r="G43" s="2"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2" t="inlineStr">
        <is>
          <t>บอกนางลี ไม่ว่าจะใช้วิธีใดก็ต้องมีเลือดประจำเดือนมาทุกเดือน ไม่มีวิธีแก้ ไข</t>
        </is>
      </c>
      <c r="I43" s="8" t="n">
        <v>1</v>
      </c>
      <c r="J43" s="2"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2" t="n"/>
      <c r="L43" s="2" t="inlineStr">
        <is>
          <t>Oral contraceptive</t>
        </is>
      </c>
      <c r="M43" s="2" t="inlineStr">
        <is>
          <t>Clinic</t>
        </is>
      </c>
      <c r="N43" s="2" t="inlineStr">
        <is>
          <t>ข้อ 41 Pharma Plus เล่มม่วง (เฉลยข้อ ก)</t>
        </is>
      </c>
      <c r="O43" s="2" t="n"/>
      <c r="P43" s="2" t="n"/>
    </row>
    <row r="44" ht="13.2" customHeight="1" s="49">
      <c r="A44" s="8" t="inlineStr">
        <is>
          <t>42</t>
        </is>
      </c>
      <c r="B44" s="2" t="inlineStr">
        <is>
          <t>นางลีขอให้เภสัชกรช่วยจัดยาเม็ดแคลเซียมให้ ข้อมูลใดไม่ถูกต้องเกี่ยวกับ แคลเซียม
ข้อใดถูกต้อง</t>
        </is>
      </c>
      <c r="C44" s="2" t="n"/>
      <c r="D44" s="2" t="inlineStr">
        <is>
          <t>ขนาดแคลเซียมสำหรับสตรีหมดประจำเดือนคือ 1000-1500 มิลลิกรัม/วัน</t>
        </is>
      </c>
      <c r="E44" s="2" t="inlineStr">
        <is>
          <t>ควรรับประทานแคลเซียมหลังอาหารเพราะช่วยให้ดูดซึมดีขึ้น</t>
        </is>
      </c>
      <c r="F44" s="2" t="inlineStr">
        <is>
          <t>พิจารณาชนิดเกลือของแคลเซียม เพราะเกลือต่าง ๆ ชนิดกัน จะให้ปริมาณแคลเซียมต่างกัน</t>
        </is>
      </c>
      <c r="G44" s="2" t="inlineStr">
        <is>
          <t>ควรให้วิตามินดี ร่วมด้วยเสมอเพื่อช่วยให้กระดูกซึมดีขึ้น</t>
        </is>
      </c>
      <c r="H44" s="2" t="inlineStr">
        <is>
          <t>ปกติเราจะได้รับแคลเซียมบางส่วนจากอาหาร ควรรับประทานอาหารให้ครบ และออกกำลังกายสม่ำเสมอ</t>
        </is>
      </c>
      <c r="I44" s="8" t="n">
        <v>4</v>
      </c>
      <c r="J44" s="2"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2" t="n"/>
      <c r="L44" s="2" t="inlineStr">
        <is>
          <t>Oral contraceptive</t>
        </is>
      </c>
      <c r="M44" s="2" t="inlineStr">
        <is>
          <t>Clinic</t>
        </is>
      </c>
      <c r="N44" s="2" t="inlineStr">
        <is>
          <t>ข้อ 42 Pharma Plus เล่มม่วง (เฉลยข้อ ง)</t>
        </is>
      </c>
      <c r="O44" s="2" t="n"/>
      <c r="P44" s="2" t="n"/>
    </row>
    <row r="45" ht="13.2" customHeight="1" s="49">
      <c r="A45" s="8" t="inlineStr">
        <is>
          <t>43</t>
        </is>
      </c>
      <c r="B45" s="2"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2" t="n"/>
      <c r="D45" s="2" t="inlineStr">
        <is>
          <t>Cardiovascular disease</t>
        </is>
      </c>
      <c r="E45" s="2" t="inlineStr">
        <is>
          <t>Osteoporosis</t>
        </is>
      </c>
      <c r="F45" s="2" t="inlineStr">
        <is>
          <t>Psychosexual symptom</t>
        </is>
      </c>
      <c r="G45" s="2" t="inlineStr">
        <is>
          <t>Urogenital symptom</t>
        </is>
      </c>
      <c r="H45" s="2" t="inlineStr">
        <is>
          <t>Vasomotor symptom</t>
        </is>
      </c>
      <c r="I45" s="8" t="n">
        <v>5</v>
      </c>
      <c r="J45" s="2"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Hormonal replacement</t>
        </is>
      </c>
      <c r="M45" s="2" t="inlineStr">
        <is>
          <t>Clinic</t>
        </is>
      </c>
      <c r="N45" s="2" t="inlineStr">
        <is>
          <t>ข้อ 43 Pharma Plus เล่มม่วง (เฉลยข้อ จ)</t>
        </is>
      </c>
      <c r="O45" s="2" t="n"/>
      <c r="P45" s="2" t="n"/>
    </row>
    <row r="46" ht="13.2" customHeight="1" s="49">
      <c r="A46" s="8" t="inlineStr">
        <is>
          <t>44</t>
        </is>
      </c>
      <c r="B46" s="2"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2" t="n"/>
      <c r="D46" s="2" t="inlineStr">
        <is>
          <t>Androgen</t>
        </is>
      </c>
      <c r="E46" s="2" t="inlineStr">
        <is>
          <t>Estrogen</t>
        </is>
      </c>
      <c r="F46" s="2" t="inlineStr">
        <is>
          <t>Follicle stimulating hormone (FSH)</t>
        </is>
      </c>
      <c r="G46" s="2" t="inlineStr">
        <is>
          <t>Luteinizing hormone (LH)</t>
        </is>
      </c>
      <c r="H46" s="2" t="inlineStr">
        <is>
          <t>Progesterone</t>
        </is>
      </c>
      <c r="I46" s="8" t="n">
        <v>1</v>
      </c>
      <c r="J46" s="2"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2" t="n"/>
      <c r="L46" s="2" t="inlineStr">
        <is>
          <t>Oral contraceptive</t>
        </is>
      </c>
      <c r="M46" s="2" t="inlineStr">
        <is>
          <t>Clinic</t>
        </is>
      </c>
      <c r="N46" s="2" t="inlineStr">
        <is>
          <t>ข้อ 44 Pharma Plus เล่มม่วง (เฉลยข้อ ก)</t>
        </is>
      </c>
      <c r="O46" s="2" t="n"/>
      <c r="P46" s="2" t="n"/>
    </row>
    <row r="47" ht="13.2" customHeight="1" s="49">
      <c r="A47" s="8" t="inlineStr">
        <is>
          <t>45</t>
        </is>
      </c>
      <c r="B47" s="2" t="inlineStr">
        <is>
          <t>ข้อใดต่อไปนี้ ถูกต้อง</t>
        </is>
      </c>
      <c r="C47" s="2" t="n"/>
      <c r="D47" s="2" t="inlineStr">
        <is>
          <t>การใช้ MPA ร่วมด้วยเพื่อป้องกันมะเร็งเยื่อบุโพรงมดลูก</t>
        </is>
      </c>
      <c r="E47" s="2" t="inlineStr">
        <is>
          <t>การใช้ MPA ร่วมด้วยเพื่อรักษาอาการร้อนวูบวาบ</t>
        </is>
      </c>
      <c r="F47" s="2" t="inlineStr">
        <is>
          <t>การใช้ MPA ร่วมด้วยเพื่อป้องกันมะเร็งเต้านม</t>
        </is>
      </c>
      <c r="G47" s="2" t="inlineStr">
        <is>
          <t>นิยมใช้ estrogen ร่วมกับ MPA กับหญิงที่ตัดมดลูกแล้ว</t>
        </is>
      </c>
      <c r="H47" s="2" t="inlineStr">
        <is>
          <t>ในหญิงที่มีมดลูกนิยมให้เอสโตรเจนเพียงอย่างเดียว</t>
        </is>
      </c>
      <c r="I47" s="8" t="n">
        <v>1</v>
      </c>
      <c r="J47" s="2"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2" t="n"/>
      <c r="L47" s="2" t="inlineStr">
        <is>
          <t>Oral contraceptive</t>
        </is>
      </c>
      <c r="M47" s="2" t="inlineStr">
        <is>
          <t>Clinic</t>
        </is>
      </c>
      <c r="N47" s="2" t="inlineStr">
        <is>
          <t>ข้อ 45 Pharma Plus เล่มม่วง (เฉลยข้อ ก)</t>
        </is>
      </c>
      <c r="O47" s="2" t="n"/>
      <c r="P47" s="2" t="n"/>
    </row>
    <row r="48" ht="13.2" customHeight="1" s="49">
      <c r="A48" s="8" t="inlineStr">
        <is>
          <t>46</t>
        </is>
      </c>
      <c r="B48" s="2" t="inlineStr">
        <is>
          <t>ข้อใดผิดเกี่ยวกับการใช้ tibolone เป็นฮอร์โมนทดแทน</t>
        </is>
      </c>
      <c r="C48" s="2" t="n"/>
      <c r="D48" s="2" t="inlineStr">
        <is>
          <t>ช่วยเพิ่มมวลกระดูกและความรู้สึกทางเพศ</t>
        </is>
      </c>
      <c r="E48" s="2" t="inlineStr">
        <is>
          <t>ห้ามใช้ยาในผู้ป่วยที่เป็นเนื้องอกหรือครอบครัวมีประวัติเป็นมะเร็งเต้านมและเยื่อบุโพรงมดลูก</t>
        </is>
      </c>
      <c r="F48" s="2" t="inlineStr">
        <is>
          <t>ใช้ร่วมกับ progesterone เสมอเพื่อป้องกันมะเร็งเยื่อบุโพรงมดลูก</t>
        </is>
      </c>
      <c r="G48" s="2" t="inlineStr">
        <is>
          <t>อาจทำให้เกิดอาการคลื่นไส้ อาเจียน ปวดศีรษะ ผื่นคัน หรือบวม</t>
        </is>
      </c>
      <c r="H48" s="2" t="inlineStr">
        <is>
          <t>สามารถป้องกันโรคเกี่ยวกับหลอดเลือดและหัวใจได้</t>
        </is>
      </c>
      <c r="I48" s="8" t="n">
        <v>3</v>
      </c>
      <c r="J48" s="2"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2" t="n"/>
      <c r="L48" s="2" t="inlineStr">
        <is>
          <t>Oral contraceptive</t>
        </is>
      </c>
      <c r="M48" s="2" t="inlineStr">
        <is>
          <t>Clinic</t>
        </is>
      </c>
      <c r="N48" s="2" t="inlineStr">
        <is>
          <t>ข้อ 46 Pharma Plus เล่มม่วง (เฉลยข้อ ค)</t>
        </is>
      </c>
      <c r="O48" s="2" t="n"/>
      <c r="P48" s="2" t="n"/>
    </row>
    <row r="49" ht="13.2" customHeight="1" s="49">
      <c r="A49" s="8" t="inlineStr">
        <is>
          <t>47</t>
        </is>
      </c>
      <c r="B49" s="2" t="inlineStr">
        <is>
          <t>สถานการณ์ที่ 6 (ต่อเนื่อง)
ควรแนะนำอาหารประเภทใดให้ผู้ป่วยรายนี้</t>
        </is>
      </c>
      <c r="C49" s="2" t="n"/>
      <c r="D49" s="2" t="inlineStr">
        <is>
          <t>นม, เต้าหู้, ปลาไส้ตัน</t>
        </is>
      </c>
      <c r="E49" s="2" t="inlineStr">
        <is>
          <t>น้ำมันตับปลา, มะม่วงสุก, กุ้งแห้ง</t>
        </is>
      </c>
      <c r="F49" s="2" t="inlineStr">
        <is>
          <t>มะละกอกุก, หน่อไม้, ไข่</t>
        </is>
      </c>
      <c r="G49" s="2" t="inlineStr">
        <is>
          <t>ปูอัด, เนื้อไม่ติดมัน, สลัด</t>
        </is>
      </c>
      <c r="H49" s="2" t="inlineStr">
        <is>
          <t>น้ำมะพร้าว, มะเขือเทศ, ปลาทู</t>
        </is>
      </c>
      <c r="I49" s="8" t="n">
        <v>1</v>
      </c>
      <c r="J49" s="2"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2" t="n"/>
      <c r="L49" s="2" t="inlineStr">
        <is>
          <t>Oral contraceptive</t>
        </is>
      </c>
      <c r="M49" s="2" t="inlineStr">
        <is>
          <t>Clinic</t>
        </is>
      </c>
      <c r="N49" s="2" t="inlineStr">
        <is>
          <t>ข้อ 47 Pharma Plus เล่มม่วง (เฉลยข้อ ก)</t>
        </is>
      </c>
      <c r="O49" s="2" t="n"/>
      <c r="P49" s="2" t="n"/>
    </row>
    <row r="50" ht="13.2" customHeight="1" s="49">
      <c r="A50" s="8" t="inlineStr">
        <is>
          <t>49</t>
        </is>
      </c>
      <c r="B50" s="2" t="inlineStr">
        <is>
          <t>หญิงอายุ 32 ปี น ้าหนัก 60 กก. เพิ่งคลอดบุตรได้ 4 สัปดาห์ ต้องการคุมกำเนิด ควรให้ยาคุมกำเนิดชนิดใด</t>
        </is>
      </c>
      <c r="C50" s="2" t="n"/>
      <c r="D50" s="2" t="inlineStr">
        <is>
          <t>Norethisterone 5 mg</t>
        </is>
      </c>
      <c r="E50" s="2" t="inlineStr">
        <is>
          <t>Levonorgestrel 1.5 mg</t>
        </is>
      </c>
      <c r="F50" s="2" t="inlineStr">
        <is>
          <t>Dienogest 2 mg</t>
        </is>
      </c>
      <c r="G50" s="2" t="inlineStr">
        <is>
          <t>Desogestrel 75 mcg</t>
        </is>
      </c>
      <c r="H50" s="2" t="inlineStr">
        <is>
          <t>Ethinylestradiol 30 mcg + Drospirenone 3 mg</t>
        </is>
      </c>
      <c r="I50" s="8" t="n">
        <v>2</v>
      </c>
      <c r="J50" s="2"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2" t="n"/>
      <c r="L50" s="2" t="inlineStr">
        <is>
          <t>Oral contraceptive</t>
        </is>
      </c>
      <c r="M50" s="2" t="inlineStr">
        <is>
          <t>Contraception</t>
        </is>
      </c>
      <c r="N50" s="2" t="inlineStr">
        <is>
          <t>Mock PLE-CC 1 ข้อ 84</t>
        </is>
      </c>
      <c r="O50" s="2" t="n"/>
      <c r="P50" s="2" t="n"/>
      <c r="Q50" s="2" t="n"/>
    </row>
    <row r="51" ht="13.2" customHeight="1" s="49">
      <c r="A51" s="8" t="inlineStr">
        <is>
          <t>50</t>
        </is>
      </c>
      <c r="B51" s="2" t="inlineStr">
        <is>
          <t>ข้อใดไม่ใช่อาการข้างเคียงรุนแรงของยาคุมกำเนิดชนิดฮอร์โมนรวม</t>
        </is>
      </c>
      <c r="C51" s="2" t="n"/>
      <c r="D51" s="2" t="inlineStr">
        <is>
          <t>ปวดหัวรุนแรง</t>
        </is>
      </c>
      <c r="E51" s="2" t="inlineStr">
        <is>
          <t>ปวดท้องรุนแรง</t>
        </is>
      </c>
      <c r="F51" s="2" t="inlineStr">
        <is>
          <t>การมองเห็นผิดปกติ</t>
        </is>
      </c>
      <c r="G51" s="2" t="inlineStr">
        <is>
          <t>คัดตึงเต้านม</t>
        </is>
      </c>
      <c r="H51" s="2" t="inlineStr">
        <is>
          <t>หายใจล าบาก</t>
        </is>
      </c>
      <c r="I51" s="8" t="n">
        <v>2</v>
      </c>
      <c r="J51" s="2"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2" t="n"/>
      <c r="L51" s="2" t="inlineStr">
        <is>
          <t>Oral contraceptive</t>
        </is>
      </c>
      <c r="M51" s="2" t="inlineStr">
        <is>
          <t>Contraception</t>
        </is>
      </c>
      <c r="N51" s="2" t="inlineStr">
        <is>
          <t>Mock PLE-CC 1 ข้อ 85</t>
        </is>
      </c>
      <c r="O51" s="2" t="n"/>
      <c r="P51" s="2" t="n"/>
      <c r="Q51" s="2" t="n"/>
    </row>
    <row r="52" ht="13.2" customHeight="1" s="49">
      <c r="A52" s="8" t="inlineStr">
        <is>
          <t>51</t>
        </is>
      </c>
      <c r="B52" s="2" t="inlineStr">
        <is>
          <t>ข้อใดเป็นข้อแนะนำการใช้ ยาคุมแบบแผ่นแปะที่ถูกต้อง</t>
        </is>
      </c>
      <c r="C52" s="2" t="n"/>
      <c r="D52" s="2" t="inlineStr">
        <is>
          <t>เปลี่ยนใหม่ทุก 3 วัน</t>
        </is>
      </c>
      <c r="E52" s="2" t="inlineStr">
        <is>
          <t>แปะซ้อน 2 แผ่น กันลืม</t>
        </is>
      </c>
      <c r="F52" s="2" t="inlineStr">
        <is>
          <t>สามารถแปะครึ่งแผ่นได้ หากน ้าหนักตัวน้อย</t>
        </is>
      </c>
      <c r="G52" s="2" t="inlineStr">
        <is>
          <t>Ethinylestradiol 30 mcg + Levonorgestrel 150 mcg</t>
        </is>
      </c>
      <c r="H52" s="2" t="inlineStr">
        <is>
          <t>แปะแผ่นสัปดาห์ละ 1 แผ่น นาน 3 สัปดาห์ แล้วเว้น 1 สัปดาห์</t>
        </is>
      </c>
      <c r="I52" s="8" t="n">
        <v>4</v>
      </c>
      <c r="J52" s="2"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2" t="n"/>
      <c r="L52" s="2" t="inlineStr">
        <is>
          <t>Oral contraceptive</t>
        </is>
      </c>
      <c r="M52" s="2" t="inlineStr">
        <is>
          <t>Contraception</t>
        </is>
      </c>
      <c r="N52" s="2" t="inlineStr">
        <is>
          <t>Mock PLE-CC 1 ข้อ 86</t>
        </is>
      </c>
      <c r="O52" s="2" t="n"/>
      <c r="P52" s="2" t="n"/>
      <c r="Q52" s="2" t="n"/>
    </row>
    <row r="53" ht="13.2" customHeight="1" s="49">
      <c r="A53" s="8" t="inlineStr">
        <is>
          <t>52</t>
        </is>
      </c>
      <c r="B53" s="2" t="inlineStr">
        <is>
          <t>ข้อใดอธิบายกลไกหลักของยาคุมชนิดฮอร์โมนรวม</t>
        </is>
      </c>
      <c r="C53" s="2" t="n"/>
      <c r="D53" s="2" t="inlineStr">
        <is>
          <t>Prevention of endometrial proliferation and maturation</t>
        </is>
      </c>
      <c r="E53" s="2" t="inlineStr">
        <is>
          <t>Feedback inhibitions to suppress LH surge</t>
        </is>
      </c>
      <c r="F53" s="2" t="inlineStr">
        <is>
          <t>Sensitize hypothalamus to the positive feedback of estrogen</t>
        </is>
      </c>
      <c r="G53" s="2" t="inlineStr">
        <is>
          <t>Delay ovulation</t>
        </is>
      </c>
      <c r="H53" s="2" t="inlineStr">
        <is>
          <t>Reduce chance of conception</t>
        </is>
      </c>
      <c r="I53" s="8" t="n">
        <v>1</v>
      </c>
      <c r="J53" s="2"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2" t="n"/>
      <c r="L53" s="2" t="inlineStr">
        <is>
          <t>Oral contraceptive</t>
        </is>
      </c>
      <c r="M53" s="2" t="inlineStr">
        <is>
          <t>Contraception</t>
        </is>
      </c>
      <c r="N53" s="2" t="inlineStr">
        <is>
          <t>Mock PLE-CC 1 ข้อ 87</t>
        </is>
      </c>
      <c r="O53" s="2" t="n"/>
      <c r="P53" s="2" t="n"/>
      <c r="Q53" s="2" t="n"/>
    </row>
    <row r="54" ht="13.2" customHeight="1" s="49">
      <c r="A54" s="8" t="inlineStr">
        <is>
          <t>53</t>
        </is>
      </c>
      <c r="B54" s="2" t="inlineStr">
        <is>
          <t>ข้อใดไม่จัดเป็นเกณฑ์ COA แผ่นแปะยาคุม</t>
        </is>
      </c>
      <c r="C54" s="2" t="n"/>
      <c r="D54" s="2" t="inlineStr">
        <is>
          <t>Identification</t>
        </is>
      </c>
      <c r="E54" s="2" t="inlineStr">
        <is>
          <t>Assay</t>
        </is>
      </c>
      <c r="F54" s="2" t="inlineStr">
        <is>
          <t>In vitro drug release</t>
        </is>
      </c>
      <c r="G54" s="2" t="inlineStr">
        <is>
          <t>Adhesion</t>
        </is>
      </c>
      <c r="H54" s="2" t="inlineStr">
        <is>
          <t>Uniformity of dosage unit</t>
        </is>
      </c>
      <c r="I54" s="8" t="n">
        <v>1</v>
      </c>
      <c r="J54" s="2"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2" t="n"/>
      <c r="L54" s="2" t="inlineStr">
        <is>
          <t>Oral contraceptive</t>
        </is>
      </c>
      <c r="M54" s="2" t="inlineStr">
        <is>
          <t>Contraception</t>
        </is>
      </c>
      <c r="N54" s="2" t="inlineStr">
        <is>
          <t>Mock PLE-CC 1 ข้อ 93</t>
        </is>
      </c>
      <c r="O54" s="2" t="n"/>
      <c r="P54" s="2" t="n"/>
      <c r="Q54" s="2" t="n"/>
    </row>
    <row r="55" ht="13.2" customHeight="1" s="49">
      <c r="A55" s="8" t="inlineStr">
        <is>
          <t>54</t>
        </is>
      </c>
      <c r="B55" s="2"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2" t="n"/>
      <c r="D55" s="2" t="inlineStr">
        <is>
          <t>Perceive susceptibility</t>
        </is>
      </c>
      <c r="E55" s="2" t="inlineStr">
        <is>
          <t>Perceive severity</t>
        </is>
      </c>
      <c r="F55" s="2" t="inlineStr">
        <is>
          <t>Perceive benefits</t>
        </is>
      </c>
      <c r="G55" s="2" t="inlineStr">
        <is>
          <t>Perceive barriers</t>
        </is>
      </c>
      <c r="H55" s="2" t="inlineStr">
        <is>
          <t>Self efficacy</t>
        </is>
      </c>
      <c r="I55" s="8" t="n">
        <v>1</v>
      </c>
      <c r="J55" s="2"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2" t="n"/>
      <c r="L55" s="2" t="inlineStr">
        <is>
          <t>Oral contraceptive</t>
        </is>
      </c>
      <c r="M55" s="2" t="inlineStr">
        <is>
          <t>Contraception</t>
        </is>
      </c>
      <c r="N55" s="2" t="inlineStr">
        <is>
          <t>Mock PLE-CC 1 ข้อ 94</t>
        </is>
      </c>
      <c r="O55" s="2" t="n"/>
      <c r="P55" s="2" t="n"/>
      <c r="Q55" s="2" t="n"/>
    </row>
    <row r="56" ht="13.2" customHeight="1" s="49">
      <c r="A56" s="8" t="inlineStr">
        <is>
          <t>55</t>
        </is>
      </c>
      <c r="B56" s="2" t="inlineStr">
        <is>
          <t>ยาต้านชักตัวไหนส่งผลต่อยาคุมน้อยสุด. ตัวเลือก</t>
        </is>
      </c>
      <c r="C56" s="2" t="n"/>
      <c r="D56" s="2" t="inlineStr">
        <is>
          <t>Contraception</t>
        </is>
      </c>
      <c r="E56" s="2" t="inlineStr">
        <is>
          <t>Tolterodine 2 mg BID</t>
        </is>
      </c>
      <c r="F56" s="2" t="inlineStr">
        <is>
          <t>Dydrogesterone 10 mg BID</t>
        </is>
      </c>
      <c r="G56" s="2" t="inlineStr">
        <is>
          <t>Ethinylestradiol 30 mcg + Levonorgestrel 150 mcg</t>
        </is>
      </c>
      <c r="H56" s="2" t="inlineStr">
        <is>
          <t>Ethinylestradiol 30 mcg + Drospirenone 3 mg</t>
        </is>
      </c>
      <c r="I56" s="8" t="n">
        <v>1</v>
      </c>
      <c r="J5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2" t="n"/>
      <c r="L56" s="2" t="inlineStr">
        <is>
          <t>Oral contraceptive</t>
        </is>
      </c>
      <c r="M56" s="2" t="inlineStr">
        <is>
          <t>Contraception</t>
        </is>
      </c>
      <c r="N56" s="2" t="inlineStr">
        <is>
          <t>PLE-CC1 ปี 2566 Day 1 ข้อ 14</t>
        </is>
      </c>
      <c r="O56" s="2" t="n"/>
      <c r="P56" s="2" t="n"/>
    </row>
    <row r="57" ht="13.2" customHeight="1" s="49">
      <c r="A57" s="8" t="inlineStr">
        <is>
          <t>56</t>
        </is>
      </c>
      <c r="B57" s="2" t="inlineStr">
        <is>
          <t>ยาคุมเพิ่งคลอดลูกได้2 week กำลังให้นมบุตร ตัวเลือก</t>
        </is>
      </c>
      <c r="C57" s="2" t="n"/>
      <c r="D57" s="2" t="inlineStr">
        <is>
          <t>Contraception</t>
        </is>
      </c>
      <c r="E57" s="2" t="inlineStr">
        <is>
          <t>Ethinylestradiol 30 mcg + Drospirenone 3 mg</t>
        </is>
      </c>
      <c r="F57" s="2" t="inlineStr">
        <is>
          <t>Ethinylestradiol 35 mcg + Cyproterone acetate 2 mg</t>
        </is>
      </c>
      <c r="G57" s="2" t="inlineStr">
        <is>
          <t>Desogestrel 75 mcg OD (Progestin-only)</t>
        </is>
      </c>
      <c r="H57" s="2" t="inlineStr">
        <is>
          <t>Levonorgestrel 1.5 mg stat (Emergency)</t>
        </is>
      </c>
      <c r="I57" s="8" t="n">
        <v>1</v>
      </c>
      <c r="J57"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2" t="n"/>
      <c r="L57" s="2" t="inlineStr">
        <is>
          <t>Oral contraceptive</t>
        </is>
      </c>
      <c r="M57" s="2" t="inlineStr">
        <is>
          <t>Contraception</t>
        </is>
      </c>
      <c r="N57" s="2" t="inlineStr">
        <is>
          <t>PLE-CC1 ปี 2566 Day 1 ข้อ 26</t>
        </is>
      </c>
      <c r="O57" s="2" t="n"/>
      <c r="P57" s="2" t="n"/>
    </row>
    <row r="58" ht="13.2" customHeight="1" s="49">
      <c r="A58" s="8" t="inlineStr">
        <is>
          <t>57</t>
        </is>
      </c>
      <c r="B58" s="2" t="inlineStr">
        <is>
          <t>EE + Drosperinone</t>
        </is>
      </c>
      <c r="C58" s="2" t="n"/>
      <c r="D58" s="2" t="inlineStr">
        <is>
          <t>Contraception</t>
        </is>
      </c>
      <c r="E58" s="2" t="inlineStr">
        <is>
          <t>Levonorgestrel 1.5 mg stat (Emergency)</t>
        </is>
      </c>
      <c r="F58" s="2" t="inlineStr">
        <is>
          <t>Mefenamic acid 500 mg TID</t>
        </is>
      </c>
      <c r="G58" s="2" t="inlineStr">
        <is>
          <t>Tamsulosin 0.4 mg HS</t>
        </is>
      </c>
      <c r="H58" s="2" t="inlineStr">
        <is>
          <t>Finasteride 5 mg OD</t>
        </is>
      </c>
      <c r="I58" s="8" t="n">
        <v>1</v>
      </c>
      <c r="J58"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2" t="n"/>
      <c r="L58" s="2" t="inlineStr">
        <is>
          <t>Oral contraceptive</t>
        </is>
      </c>
      <c r="M58" s="2" t="inlineStr">
        <is>
          <t>Contraception</t>
        </is>
      </c>
      <c r="N58" s="2" t="inlineStr">
        <is>
          <t>PLE-CC1 ปี 2566 Day 1 ข้อ 2</t>
        </is>
      </c>
      <c r="O58" s="2" t="n"/>
      <c r="P58" s="2" t="n"/>
    </row>
    <row r="59" ht="13.2" customHeight="1" s="49">
      <c r="A59" s="8" t="inlineStr">
        <is>
          <t>58</t>
        </is>
      </c>
      <c r="B59" s="2" t="inlineStr">
        <is>
          <t>ผลของยาคุมชนิดฮอร์โมนรวมในระยะยาว ตัวเลือก</t>
        </is>
      </c>
      <c r="C59" s="2" t="n"/>
      <c r="D59" s="2" t="inlineStr">
        <is>
          <t>Contraception</t>
        </is>
      </c>
      <c r="E59" s="2" t="inlineStr">
        <is>
          <t>Finasteride 5 mg OD</t>
        </is>
      </c>
      <c r="F59" s="2" t="inlineStr">
        <is>
          <t>Oxybutynin 5 mg BID</t>
        </is>
      </c>
      <c r="G59" s="2" t="inlineStr">
        <is>
          <t>Tolterodine 2 mg BID</t>
        </is>
      </c>
      <c r="H59" s="2" t="inlineStr">
        <is>
          <t>Dydrogesterone 10 mg BID</t>
        </is>
      </c>
      <c r="I59" s="8" t="n">
        <v>1</v>
      </c>
      <c r="J59"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2" t="n"/>
      <c r="L59" s="2" t="inlineStr">
        <is>
          <t>Oral contraceptive</t>
        </is>
      </c>
      <c r="M59" s="2" t="inlineStr">
        <is>
          <t>Contraception</t>
        </is>
      </c>
      <c r="N59" s="2" t="inlineStr">
        <is>
          <t>PLE-CC1 ปี 2566 Day 1 ข้อ 27</t>
        </is>
      </c>
      <c r="O59" s="2" t="n"/>
      <c r="P59" s="2" t="n"/>
    </row>
    <row r="60" ht="13.2" customHeight="1" s="49">
      <c r="A60" s="8" t="inlineStr">
        <is>
          <t>59</t>
        </is>
      </c>
      <c r="B60" s="2" t="inlineStr">
        <is>
          <t>Combined oral contraceptive pills 1x1 ทุกวัน</t>
        </is>
      </c>
      <c r="C60" s="2" t="n"/>
      <c r="D60" s="2" t="inlineStr">
        <is>
          <t>Contraception</t>
        </is>
      </c>
      <c r="E60" s="2" t="inlineStr">
        <is>
          <t>Dydrogesterone 10 mg BID</t>
        </is>
      </c>
      <c r="F60" s="2" t="inlineStr">
        <is>
          <t>Ethinylestradiol 30 mcg + Levonorgestrel 150 mcg</t>
        </is>
      </c>
      <c r="G60" s="2" t="inlineStr">
        <is>
          <t>Ethinylestradiol 30 mcg + Drospirenone 3 mg</t>
        </is>
      </c>
      <c r="H60" s="2" t="inlineStr">
        <is>
          <t>Ethinylestradiol 35 mcg + Cyproterone acetate 2 mg</t>
        </is>
      </c>
      <c r="I60" s="8" t="n">
        <v>1</v>
      </c>
      <c r="J60"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2" t="n"/>
      <c r="L60" s="2" t="inlineStr">
        <is>
          <t>Oral contraceptive</t>
        </is>
      </c>
      <c r="M60" s="2" t="inlineStr">
        <is>
          <t>Contraception</t>
        </is>
      </c>
      <c r="N60" s="2" t="inlineStr">
        <is>
          <t>PLE-CC1 ปี 2566 Day 2 ข้อ 3</t>
        </is>
      </c>
      <c r="O60" s="2" t="n"/>
      <c r="P60" s="2" t="n"/>
    </row>
    <row r="61" ht="13.2" customHeight="1" s="49">
      <c r="A61" s="8" t="inlineStr">
        <is>
          <t>60</t>
        </is>
      </c>
      <c r="B61" s="2" t="inlineStr">
        <is>
          <t>ผูป%วยรายนี้ควรไดยาคุมในขอใด</t>
        </is>
      </c>
      <c r="C61" s="2" t="n"/>
      <c r="D61" s="2" t="inlineStr">
        <is>
          <t>EE … mcg + Levonorgestrel 0.15 mg</t>
        </is>
      </c>
      <c r="E61" s="2" t="inlineStr">
        <is>
          <t>EE … mcg + Drosperinone 3 mg</t>
        </is>
      </c>
      <c r="F61" s="2" t="inlineStr">
        <is>
          <t>[NEED_REVIEW]</t>
        </is>
      </c>
      <c r="G61" s="2" t="inlineStr">
        <is>
          <t>[NEED_REVIEW]</t>
        </is>
      </c>
      <c r="H61" s="2" t="inlineStr">
        <is>
          <t>[NEED_REVIEW]</t>
        </is>
      </c>
      <c r="I61" s="8" t="n">
        <v>1</v>
      </c>
      <c r="J61" s="2" t="inlineStr">
        <is>
          <t>✅ คำตอบที่ถูกต้อง: ข้อ ก. EE … mcg + Levonorgestrel 0.15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(แนวทางเวชปฏิบัติการวางแผนครอบครัวและการใช้ฮอร์โมนคุมกำเนิด พ.ศ. 2564 (ราชวิทยาลัยสูตินรีแพทย์แห่งประเทศไทย)
• ข้อ จ. (แนวทางเวชปฏิบัติการวางแผนครอบครัวและการใช้ฮอร์โมนคุมกำเนิด พ.ศ. 2564 (ราชวิทยาลัยสูตินรีแพทย์แห่งประเทศไทย)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2" t="n"/>
      <c r="L61" s="2" t="inlineStr">
        <is>
          <t>Oral contraceptive</t>
        </is>
      </c>
      <c r="M61" s="2" t="inlineStr">
        <is>
          <t>Contraception</t>
        </is>
      </c>
      <c r="N61" s="2" t="inlineStr">
        <is>
          <t>PLE_CC1_2565_Day1_Key ข้อ 65</t>
        </is>
      </c>
      <c r="O61" s="2" t="n"/>
      <c r="P61" s="2" t="n"/>
      <c r="Q61" s="2" t="n"/>
    </row>
    <row r="62" ht="13.2" customHeight="1" s="49">
      <c r="A62" s="8" t="inlineStr">
        <is>
          <t>61</t>
        </is>
      </c>
      <c r="B62" s="2" t="inlineStr">
        <is>
          <t>คำแนะนำในการใชยาคุมขอใดไม;ถูกตอง</t>
        </is>
      </c>
      <c r="C62" s="2" t="n"/>
      <c r="D62" s="2" t="inlineStr">
        <is>
          <t>ทานเม็ดฮอรçโมนเม็ดแรกในวันพรุ;งนี้</t>
        </is>
      </c>
      <c r="E62" s="2" t="inlineStr">
        <is>
          <t>ทานวันละ 1 เม็ดต;อเนื่องทุกวัน เวลาใดก็ไดแต;ใหเปMนเวลาเดียวกันทุกวัน</t>
        </is>
      </c>
      <c r="F62" s="2" t="inlineStr">
        <is>
          <t>หากมีเลือดออกกะปริบกะปรอยจากช;องคลอดใหรีบหยุดทานแลวมาปรึกษาเภสัชกร</t>
        </is>
      </c>
      <c r="G62" s="2" t="inlineStr">
        <is>
          <t>อาจมีอาการคลื่นไสอาเจียนช;วง 2-3 แผงแรก ใหรับประทานเปMนหลังอาหารเย็นหรือก;อนนอนจะช;วย ลดอาการ</t>
        </is>
      </c>
      <c r="H62" s="2" t="inlineStr">
        <is>
          <t>หากลืมรับประทานให#ทานทันทีที่นึกขึ้นได#</t>
        </is>
      </c>
      <c r="I62" s="8" t="n">
        <v>1</v>
      </c>
      <c r="J62" s="2" t="inlineStr">
        <is>
          <t>✅ คำตอบที่ถูกต้อง: ข้อ ก. ทานเม็ดฮอรçโมนเม็ดแรกในวันพรุ;งนี้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เวลาใดก็ไดแต;ใหเปMนเวลาเดียวกันทุกวัน): ทานวันละ 1 เม็ดต;อเนื่องทุกวัน เวลาใดก็ไดแต;ใหเปMนเวลาเดียวกันทุกวัน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ใหรับประทานเปMนหลังอาหารเย็นหรือก;อนนอนจะช;วย ลดอาการ): อาจมีอาการคลื่นไสอาเจียนช;วง 2-3 แผงแรก ใหรับประทานเปMนหลังอาหารเย็นหรือก;อนนอนจะช;วย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2" t="n"/>
      <c r="L62" s="2" t="inlineStr">
        <is>
          <t>Oral contraceptive</t>
        </is>
      </c>
      <c r="M62" s="2" t="inlineStr">
        <is>
          <t>Contraception</t>
        </is>
      </c>
      <c r="N62" s="2" t="inlineStr">
        <is>
          <t>PLE_CC1_2565_Day1_Key ข้อ 66</t>
        </is>
      </c>
      <c r="O62" s="2" t="n"/>
      <c r="P62" s="2" t="n"/>
      <c r="Q62" s="2" t="n"/>
    </row>
    <row r="63" ht="13.2" customHeight="1" s="49">
      <c r="A63" s="8" t="inlineStr">
        <is>
          <t>62</t>
        </is>
      </c>
      <c r="B63" s="2" t="inlineStr">
        <is>
          <t>Oral contraceptive</t>
        </is>
      </c>
      <c r="C63" s="2" t="n"/>
      <c r="D63" s="2" t="inlineStr">
        <is>
          <t>Contraception</t>
        </is>
      </c>
      <c r="E63" s="2" t="inlineStr">
        <is>
          <t>Oxybutynin 5 mg BID</t>
        </is>
      </c>
      <c r="F63" s="2" t="inlineStr">
        <is>
          <t>Tolterodine 2 mg BID</t>
        </is>
      </c>
      <c r="G63" s="2" t="inlineStr">
        <is>
          <t>Dydrogesterone 10 mg BID</t>
        </is>
      </c>
      <c r="H63" s="2" t="inlineStr">
        <is>
          <t>Ethinylestradiol 30 mcg + Levonorgestrel 150 mcg</t>
        </is>
      </c>
      <c r="I63" s="8" t="n">
        <v>1</v>
      </c>
      <c r="J63"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2" t="n"/>
      <c r="L63" s="2" t="inlineStr">
        <is>
          <t>Oral contraceptive</t>
        </is>
      </c>
      <c r="M63" s="2" t="inlineStr">
        <is>
          <t>Contraception</t>
        </is>
      </c>
      <c r="N63" s="2" t="inlineStr">
        <is>
          <t>PLE_CC1_2565_Day1_Key ข้อ 16</t>
        </is>
      </c>
      <c r="O63" s="2" t="n"/>
      <c r="P63" s="2" t="n"/>
    </row>
    <row r="64" ht="13.2" customHeight="1" s="49">
      <c r="A64" s="8" t="inlineStr">
        <is>
          <t>63</t>
        </is>
      </c>
      <c r="B64" s="2"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2" t="n"/>
      <c r="D64" s="2" t="inlineStr">
        <is>
          <t>Contraception</t>
        </is>
      </c>
      <c r="E64" s="2" t="inlineStr">
        <is>
          <t>Ethinylestradiol 30 mcg + Levonorgestrel 150 mcg</t>
        </is>
      </c>
      <c r="F64" s="2" t="inlineStr">
        <is>
          <t>Ethinylestradiol 30 mcg + Drospirenone 3 mg</t>
        </is>
      </c>
      <c r="G64" s="2" t="inlineStr">
        <is>
          <t>Ethinylestradiol 35 mcg + Cyproterone acetate 2 mg</t>
        </is>
      </c>
      <c r="H64" s="2" t="inlineStr">
        <is>
          <t>Desogestrel 75 mcg OD (Progestin-only)</t>
        </is>
      </c>
      <c r="I64" s="8" t="n">
        <v>1</v>
      </c>
      <c r="J64"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2" t="n"/>
      <c r="L64" s="2" t="inlineStr">
        <is>
          <t>Oral contraceptive</t>
        </is>
      </c>
      <c r="M64" s="2" t="inlineStr">
        <is>
          <t>Contraception</t>
        </is>
      </c>
      <c r="N64" s="2" t="inlineStr">
        <is>
          <t>PLE_CC1_2564_All_Key ข้อ 26</t>
        </is>
      </c>
      <c r="O64" s="2" t="n"/>
      <c r="P64" s="2" t="n"/>
    </row>
    <row r="65" ht="13.2" customHeight="1" s="49">
      <c r="A65" s="8" t="inlineStr">
        <is>
          <t>64</t>
        </is>
      </c>
      <c r="B65" s="2" t="inlineStr">
        <is>
          <t>ใช้อะไรในการสกัด tree tea oil จากใบและกิ่งสด</t>
        </is>
      </c>
      <c r="C65" s="2" t="n"/>
      <c r="D65" s="2" t="inlineStr">
        <is>
          <t>Soxhlet extraction</t>
        </is>
      </c>
      <c r="E65" s="2" t="inlineStr">
        <is>
          <t>สกัดด้วยน้ำ</t>
        </is>
      </c>
      <c r="F65" s="2" t="inlineStr">
        <is>
          <t>กลั่นด้วยไอน้ำ</t>
        </is>
      </c>
      <c r="G65" s="2" t="inlineStr">
        <is>
          <t>Enfleurage</t>
        </is>
      </c>
      <c r="H65" s="2" t="inlineStr">
        <is>
          <t>Soxhlet extraction</t>
        </is>
      </c>
      <c r="I65" s="8" t="n">
        <v>2</v>
      </c>
      <c r="J65" s="2" t="inlineStr">
        <is>
          <t>✅ คำตอบที่ถูกต้อง: ข้อ ข. สกัดด้วยน้ำ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2" t="n"/>
      <c r="L65" s="2" t="inlineStr">
        <is>
          <t>Oral contraceptive</t>
        </is>
      </c>
      <c r="M65" s="2" t="inlineStr">
        <is>
          <t>Contraception</t>
        </is>
      </c>
      <c r="N65" s="2" t="inlineStr">
        <is>
          <t>PLE_CC1_2564_All_Key ข้อ 85</t>
        </is>
      </c>
      <c r="O65" s="2" t="n"/>
      <c r="P65" s="2" t="n"/>
      <c r="Q65" s="2" t="n"/>
    </row>
    <row r="66" ht="13.2" customHeight="1" s="49">
      <c r="A66" s="8" t="inlineStr">
        <is>
          <t>65</t>
        </is>
      </c>
      <c r="B66" s="2" t="inlineStr">
        <is>
          <t>สากการควบคุมคุณภาพตำรับยาลดกรดที่มีส่วนผสมขอษ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2" t="n"/>
      <c r="D66" s="2" t="inlineStr">
        <is>
          <t>Contraception</t>
        </is>
      </c>
      <c r="E66" s="2" t="inlineStr">
        <is>
          <t>43 Pseudoplastic C 0.47</t>
        </is>
      </c>
      <c r="F66" s="2" t="inlineStr">
        <is>
          <t>ตำรับ B มีแนวโน้มคษตัวดีกว่าตำรับ C</t>
        </is>
      </c>
      <c r="G66" s="2" t="inlineStr">
        <is>
          <t>เพิ่มความคงตัวของตำรับ C ได้โดยการเพิ่มปริมาณ wetting agent</t>
        </is>
      </c>
      <c r="H66" s="2" t="inlineStr">
        <is>
          <t>Tolterodine 2 mg BID</t>
        </is>
      </c>
      <c r="I66" s="8" t="n">
        <v>1</v>
      </c>
      <c r="J66" s="2"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2" t="n"/>
      <c r="L66" s="2" t="inlineStr">
        <is>
          <t>Oral contraceptive</t>
        </is>
      </c>
      <c r="M66" s="2" t="inlineStr">
        <is>
          <t>Contraception</t>
        </is>
      </c>
      <c r="N66" s="2" t="inlineStr">
        <is>
          <t>PLE_CC1_2563_Q ข้อ 27</t>
        </is>
      </c>
      <c r="O66" s="2" t="n"/>
      <c r="P66" s="2" t="n"/>
    </row>
    <row r="67" ht="13.2" customHeight="1" s="49">
      <c r="A67" s="8" t="inlineStr">
        <is>
          <t>65</t>
        </is>
      </c>
      <c r="B67" s="2" t="inlineStr">
        <is>
          <t>คำแนะนำใดที่เหมาะสม หากผู้ป่วยวางแผนจะตั้งครรภ์ &amp; aeveIndiana inactancia X Type B ADR Malenuresen</t>
        </is>
      </c>
      <c r="C67" s="2" t="n"/>
      <c r="D67" s="2" t="inlineStr">
        <is>
          <t>ให้ vitamin K จนกว่าจะคลอด</t>
        </is>
      </c>
      <c r="E67" s="2" t="inlineStr">
        <is>
          <t>ให้ folic acid เสริมตั้งแต่วันนี้เป็นต้นไป</t>
        </is>
      </c>
      <c r="F67" s="2" t="inlineStr">
        <is>
          <t>รักษาอาการชักจนหายก่อนวางแผนตั้งครรภ์</t>
        </is>
      </c>
      <c r="G67" s="2" t="inlineStr">
        <is>
          <t>หยุดยารักษาอาการชักก่อนการตั้งครรภ์</t>
        </is>
      </c>
      <c r="H67" s="2" t="inlineStr">
        <is>
          <t>เปลี่ยนยารักษาอาการชักเป็น valproic acid สำหรับหญิงตั้งครรภ์</t>
        </is>
      </c>
      <c r="I67" s="8" t="n">
        <v>1</v>
      </c>
      <c r="J67" s="2"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2" t="n"/>
      <c r="L67" s="2" t="inlineStr">
        <is>
          <t>Oral contraceptive</t>
        </is>
      </c>
      <c r="M67" s="2" t="inlineStr">
        <is>
          <t>Clinic</t>
        </is>
      </c>
      <c r="N67" s="2" t="inlineStr">
        <is>
          <t>ข้อ 99 (PLE_CC1_2562_Key.md)</t>
        </is>
      </c>
      <c r="O67" s="2" t="n"/>
      <c r="P67" s="2" t="n"/>
    </row>
    <row r="68" ht="13.2" customHeight="1" s="49">
      <c r="A68" s="8" t="inlineStr">
        <is>
          <t>66</t>
        </is>
      </c>
      <c r="B68" s="2" t="inlineStr">
        <is>
          <t>หากหญิงคนนี้กินยาฮอร์โมนรวมไปได้หลายวันแล้ว มีเลือดออกกระปิดกระปอยควรแนะนำอย่างไร</t>
        </is>
      </c>
      <c r="C68" s="2" t="n"/>
      <c r="D68" s="2" t="inlineStr">
        <is>
          <t>กินไปเหมือนเดิมแล้วอาการจะหายไปหลังใช้ยาต่อเนื่อง 2-3 เดือน</t>
        </is>
      </c>
      <c r="E68" s="2" t="inlineStr">
        <is>
          <t>เพิ่มปริมาณ estrogen</t>
        </is>
      </c>
      <c r="F68" s="2" t="inlineStr">
        <is>
          <t>ลดปริมาณ estrogen</t>
        </is>
      </c>
      <c r="G68" s="2" t="inlineStr">
        <is>
          <t>เพิ่มปริมาณ progesterone</t>
        </is>
      </c>
      <c r="H68" s="2" t="inlineStr">
        <is>
          <t>ลดปริมาณ progesterone</t>
        </is>
      </c>
      <c r="I68" s="8" t="n">
        <v>1</v>
      </c>
      <c r="J68" s="2"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2" t="n"/>
      <c r="L68" s="2" t="inlineStr">
        <is>
          <t>Oral contraceptive</t>
        </is>
      </c>
      <c r="M68" s="2" t="inlineStr">
        <is>
          <t>Clinic</t>
        </is>
      </c>
      <c r="N68" s="2" t="inlineStr">
        <is>
          <t>ข้อ 48 (PLE_CC1_2562_Key.md)</t>
        </is>
      </c>
      <c r="O68" s="2" t="n"/>
      <c r="P68" s="2" t="n"/>
    </row>
    <row r="69" ht="13.2" customHeight="1" s="49">
      <c r="A69" s="8" t="inlineStr">
        <is>
          <t>67</t>
        </is>
      </c>
      <c r="B69" s="2" t="inlineStr">
        <is>
          <t>ข้อใดคือข้อห(ามใช(ยาคุมกำเนิดแบบฮอรโมนรวมตาม WHO category 4</t>
        </is>
      </c>
      <c r="C69" s="2" t="n"/>
      <c r="D69" s="2" t="inlineStr">
        <is>
          <t>สูบบุหรี่ 10 มวน/วัน</t>
        </is>
      </c>
      <c r="E69" s="2" t="inlineStr">
        <is>
          <t>เป5นโรคเส(นเลือดขอด</t>
        </is>
      </c>
      <c r="F69" s="2" t="inlineStr">
        <is>
          <t>เป5นไมเกรนแบบมีออร.า</t>
        </is>
      </c>
      <c r="G69" s="2" t="inlineStr">
        <is>
          <t>ดัชนีมวลกาย 28 kg/m2 I</t>
        </is>
      </c>
      <c r="H69" s="2" t="inlineStr">
        <is>
          <t>ระดับไขมันในเลือดผิดปกติ</t>
        </is>
      </c>
      <c r="I69" s="8" t="n">
        <v>1</v>
      </c>
      <c r="J69" s="2"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2" t="n"/>
      <c r="L69" s="2" t="inlineStr">
        <is>
          <t>Oral contraceptive</t>
        </is>
      </c>
      <c r="M69" s="2" t="inlineStr">
        <is>
          <t>Clinic</t>
        </is>
      </c>
      <c r="N69" s="2" t="inlineStr">
        <is>
          <t>ข้อ 55 (PLE_CC1_2561_Key.md)</t>
        </is>
      </c>
      <c r="O69" s="2" t="n"/>
      <c r="P69" s="2" t="n"/>
    </row>
    <row r="70" ht="13.2" customHeight="1" s="49">
      <c r="A70" s="8" t="inlineStr">
        <is>
          <t>68</t>
        </is>
      </c>
      <c r="B70" s="2" t="inlineStr">
        <is>
          <t>ข้อใดถูกต้องเกี่ยวกับยาคุมสูตรผสมชนิดแผ.นแปะ</t>
        </is>
      </c>
      <c r="C70" s="2" t="n"/>
      <c r="D70" s="2" t="inlineStr">
        <is>
          <t>ใช(กับผู(หญิงให(นมบุตรได(</t>
        </is>
      </c>
      <c r="E70" s="2" t="inlineStr">
        <is>
          <t>มีประสิทธิภาพดีกว.ายารับประทาน</t>
        </is>
      </c>
      <c r="F70" s="2" t="inlineStr">
        <is>
          <t>ใช(กับผู(หญิงที่เป5นไมเกรนแบบมีออร.าได(</t>
        </is>
      </c>
      <c r="G70" s="2" t="inlineStr">
        <is>
          <t>ไม.มีอันตรกิริยากับยาที่เหนี่ยวนำเอนไซม</t>
        </is>
      </c>
      <c r="H70" s="2" t="inlineStr">
        <is>
          <t>ความร.วมมือในการใช(ยาดีกว.ายารับประทาน progestin</t>
        </is>
      </c>
      <c r="I70" s="8" t="n">
        <v>1</v>
      </c>
      <c r="J70" s="2"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2" t="n"/>
      <c r="L70" s="2" t="inlineStr">
        <is>
          <t>Oral contraceptive</t>
        </is>
      </c>
      <c r="M70" s="2" t="inlineStr">
        <is>
          <t>Clinic</t>
        </is>
      </c>
      <c r="N70" s="2" t="inlineStr">
        <is>
          <t>ข้อ 56 (PLE_CC1_2561_Key.md)</t>
        </is>
      </c>
      <c r="O70" s="2" t="n"/>
      <c r="P70" s="2" t="n"/>
    </row>
    <row r="71" ht="13.2" customHeight="1" s="49">
      <c r="A71" s="8" t="inlineStr">
        <is>
          <t>69</t>
        </is>
      </c>
      <c r="B71" s="2" t="inlineStr">
        <is>
          <t>หากต(องการเปลี่ยนระบบกระจายยาจาก three day dose เป5น one day dose จะต(องใช(ระบบใดประกันคุณภาพ mm</t>
        </is>
      </c>
      <c r="C71" s="2" t="n"/>
      <c r="D71" s="2" t="inlineStr">
        <is>
          <t>GMP</t>
        </is>
      </c>
      <c r="E71" s="2" t="inlineStr">
        <is>
          <t>PIC/s</t>
        </is>
      </c>
      <c r="F71" s="2" t="inlineStr">
        <is>
          <t>PDCA</t>
        </is>
      </c>
      <c r="G71" s="2" t="inlineStr">
        <is>
          <t>HACCP</t>
        </is>
      </c>
      <c r="H71" s="2" t="inlineStr">
        <is>
          <t>GMP QA plando then at</t>
        </is>
      </c>
      <c r="I71" s="8" t="n">
        <v>1</v>
      </c>
      <c r="J71" s="2"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2" t="n"/>
      <c r="L71" s="2" t="inlineStr">
        <is>
          <t>Oral contraceptive</t>
        </is>
      </c>
      <c r="M71" s="2" t="inlineStr">
        <is>
          <t>Clinic</t>
        </is>
      </c>
      <c r="N71" s="2" t="inlineStr">
        <is>
          <t>ข้อ 86 (PLE_CC1_2561_Key.md)</t>
        </is>
      </c>
      <c r="O71" s="2" t="n"/>
      <c r="P71" s="2" t="n"/>
    </row>
    <row r="72" ht="13.2" customHeight="1" s="49">
      <c r="A72" s="8" t="inlineStr">
        <is>
          <t>70</t>
        </is>
      </c>
      <c r="B72" s="2" t="inlineStr">
        <is>
          <t>ยา Progestins ที่นิยมใช้ใน Progesterone only pills (POPs)</t>
        </is>
      </c>
      <c r="C72" s="2" t="n"/>
      <c r="D72" s="2" t="inlineStr">
        <is>
          <t>Desogestrel</t>
        </is>
      </c>
      <c r="E72" s="2" t="inlineStr">
        <is>
          <t>Norgestrel</t>
        </is>
      </c>
      <c r="F72" s="2" t="inlineStr">
        <is>
          <t>Gestodene</t>
        </is>
      </c>
      <c r="G72" s="2" t="inlineStr">
        <is>
          <t>Norgestimate</t>
        </is>
      </c>
      <c r="H72" s="2" t="inlineStr">
        <is>
          <t>Levonorgestrel</t>
        </is>
      </c>
      <c r="I72" s="8" t="n">
        <v>1</v>
      </c>
      <c r="J72"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2" t="n"/>
      <c r="L72" s="2" t="inlineStr">
        <is>
          <t>Hormonal replacement</t>
        </is>
      </c>
      <c r="M72" s="2" t="inlineStr">
        <is>
          <t>Clinic</t>
        </is>
      </c>
      <c r="N72" s="2" t="inlineStr">
        <is>
          <t>ข้อ 3 (PLE_CC1_2560 22 April Set 1.md)</t>
        </is>
      </c>
      <c r="O72" s="2" t="n"/>
      <c r="P72" s="2" t="n"/>
    </row>
    <row r="73" ht="13.2" customHeight="1" s="49">
      <c r="A73" s="8" t="inlineStr">
        <is>
          <t>71</t>
        </is>
      </c>
      <c r="B73" s="2" t="inlineStr">
        <is>
          <t>ยาคุมก้าเนิดในข้อใด เหมาะสมที่สุด (โจทย์มีแค่นี แหละ)</t>
        </is>
      </c>
      <c r="C73" s="2" t="n"/>
      <c r="D73" s="2" t="inlineStr">
        <is>
          <t>Levonorgestrel</t>
        </is>
      </c>
      <c r="E73" s="2" t="inlineStr">
        <is>
          <t>Lynestrenol</t>
        </is>
      </c>
      <c r="F73" s="2" t="inlineStr">
        <is>
          <t>Ethinyl estradiol + Desogestrel</t>
        </is>
      </c>
      <c r="G73" s="2" t="inlineStr">
        <is>
          <t>Ethinyl estradiol + Levonorgestrel</t>
        </is>
      </c>
      <c r="H73" s="2" t="inlineStr">
        <is>
          <t>Ethinyl estradiol + Gestodene รวมโดย Phongsathorn Phlaisaithong Rx 9 UP 19 | P a g e</t>
        </is>
      </c>
      <c r="I73" s="8" t="n">
        <v>1</v>
      </c>
      <c r="J73"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2" t="n"/>
      <c r="L73" s="2" t="inlineStr">
        <is>
          <t>Oral contraceptive</t>
        </is>
      </c>
      <c r="M73" s="2" t="inlineStr">
        <is>
          <t>Clinic</t>
        </is>
      </c>
      <c r="N73" s="2" t="inlineStr">
        <is>
          <t>ข้อ 4 (PLE_CC1_2560 22 April Set 1.md)</t>
        </is>
      </c>
      <c r="O73" s="2" t="n"/>
      <c r="P73" s="2" t="n"/>
    </row>
    <row r="74" ht="13.2" customHeight="1" s="49">
      <c r="A74" s="8" t="inlineStr">
        <is>
          <t>72</t>
        </is>
      </c>
      <c r="B74" s="2"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2" t="n"/>
      <c r="D74" s="2" t="inlineStr">
        <is>
          <t>รับประทานยาคุมต่อไปตามปกติ</t>
        </is>
      </c>
      <c r="E74" s="2" t="inlineStr">
        <is>
          <t>รับประทานยาทันที 1 เม็ด และทานยาต่อไปตามปกติ</t>
        </is>
      </c>
      <c r="F74" s="2" t="inlineStr">
        <is>
          <t>รับประทานยาทันที 1 เม็ด และทานยาต่อไปตามปกติพร้อมทั งคุมก้าเนิดวิธีอื่นร่วมด้วย 7 วัน</t>
        </is>
      </c>
      <c r="G74" s="2" t="inlineStr">
        <is>
          <t>หยุดรับประทานยาทันที รอประจ้าเดือนมาและเริ่มรับประทานยาแผงใหม่</t>
        </is>
      </c>
      <c r="H74" s="2"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8" t="n">
        <v>1</v>
      </c>
      <c r="J74" s="2"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2" t="n"/>
      <c r="L74" s="2" t="inlineStr">
        <is>
          <t>Oral contraceptive</t>
        </is>
      </c>
      <c r="M74" s="2" t="inlineStr">
        <is>
          <t>Clinic</t>
        </is>
      </c>
      <c r="N74" s="2" t="inlineStr">
        <is>
          <t>ข้อ 42 (PLE_CC1_2559.md)</t>
        </is>
      </c>
      <c r="O74" s="2" t="n"/>
      <c r="P74" s="2" t="n"/>
    </row>
    <row r="75" ht="13.2" customHeight="1" s="49">
      <c r="A75" s="8" t="inlineStr">
        <is>
          <t>73</t>
        </is>
      </c>
      <c r="B75" s="2" t="inlineStr">
        <is>
          <t>ผู้ป่วยหญิงอายุ 16 ปี ให้ EE 30 + levonorgestrel 150 เป็นสิว น้ำหนักขึ้น มาปรึกษาที่ร้านยาข้อห้ามใช้ COC ในการคุมกำเนิด ยกเว้น ข้อใด</t>
        </is>
      </c>
      <c r="C75" s="2" t="n"/>
      <c r="D75" s="2" t="inlineStr">
        <is>
          <t>IHD</t>
        </is>
      </c>
      <c r="E75" s="2" t="inlineStr">
        <is>
          <t>DVT</t>
        </is>
      </c>
      <c r="F75" s="2" t="inlineStr">
        <is>
          <t>DM</t>
        </is>
      </c>
      <c r="G75" s="2" t="inlineStr">
        <is>
          <t>มะเร็งตับ</t>
        </is>
      </c>
      <c r="H75" s="2" t="inlineStr">
        <is>
          <t>โรคหลอดเลือดสมอง</t>
        </is>
      </c>
      <c r="I75" s="8" t="n">
        <v>1</v>
      </c>
      <c r="J75" s="2" t="inlineStr">
        <is>
          <t>✅ คำตอบที่ถูกต้อง: ข้อ ก. IHD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2" t="n"/>
      <c r="L75" s="2" t="inlineStr">
        <is>
          <t>Oral contraceptive</t>
        </is>
      </c>
      <c r="M75" s="2" t="inlineStr">
        <is>
          <t>Clinic</t>
        </is>
      </c>
      <c r="N75" s="2" t="inlineStr">
        <is>
          <t>ข้อ 77 (PLE_CC1_2558_Key.md)</t>
        </is>
      </c>
      <c r="O75" s="2" t="n"/>
      <c r="P75" s="2" t="n"/>
    </row>
    <row r="76" ht="13.2" customHeight="1" s="49">
      <c r="A76" s="8" t="inlineStr">
        <is>
          <t>74</t>
        </is>
      </c>
      <c r="B76" s="2" t="inlineStr">
        <is>
          <t>หากต้องการควบคุมน้ำหนักต้องใช้ progestin ตัวใด</t>
        </is>
      </c>
      <c r="C76" s="2" t="n"/>
      <c r="D76" s="2" t="inlineStr">
        <is>
          <t>Levonorgestrel</t>
        </is>
      </c>
      <c r="E76" s="2" t="inlineStr">
        <is>
          <t>Drospirenone</t>
        </is>
      </c>
      <c r="F76" s="2" t="inlineStr">
        <is>
          <t>Cyproterone</t>
        </is>
      </c>
      <c r="G76" s="2" t="inlineStr">
        <is>
          <t>Norgesthimate</t>
        </is>
      </c>
      <c r="H76" s="2" t="inlineStr">
        <is>
          <t>Desogestrel</t>
        </is>
      </c>
      <c r="I76" s="8" t="n">
        <v>1</v>
      </c>
      <c r="J76" s="2"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2" t="n"/>
      <c r="L76" s="2" t="inlineStr">
        <is>
          <t>Oral contraceptive</t>
        </is>
      </c>
      <c r="M76" s="2" t="inlineStr">
        <is>
          <t>Clinic</t>
        </is>
      </c>
      <c r="N76" s="2" t="inlineStr">
        <is>
          <t>ข้อ 78 (PLE_CC1_2558_Key.md)</t>
        </is>
      </c>
      <c r="O76" s="2" t="n"/>
      <c r="P76" s="2" t="n"/>
    </row>
    <row r="77" ht="13.2" customHeight="1" s="49">
      <c r="A77" s="8" t="inlineStr">
        <is>
          <t>75</t>
        </is>
      </c>
      <c r="B77" s="2" t="inlineStr">
        <is>
          <t>วิธีการกินยาคุมฉุกเฉินที่ถูกต้อง</t>
        </is>
      </c>
      <c r="C77" s="2" t="n"/>
      <c r="D77" s="2" t="inlineStr">
        <is>
          <t>กิน levonorgrestrel 150 mcg 2 เม็ดใน 72 ชั่วโมง และตามด้วย 2 เม็ด ใน 12 ชม.ต่อมา</t>
        </is>
      </c>
      <c r="E77" s="2" t="inlineStr">
        <is>
          <t>กิน levonorgrestrel 150 mcg 1 เม็ดใน 72 ชั่วโมง และตามด้วย 2 เม็ด ใน 12 ชม.ต่อมา</t>
        </is>
      </c>
      <c r="F77" s="2" t="inlineStr">
        <is>
          <t>กิน levonorgrestrel 150 mcg 2 เม็ดใน 72 ชั่วโมง และตามด้วย 1 เม็ด ใน 12 ชม.ต่อมา</t>
        </is>
      </c>
      <c r="G77" s="2" t="inlineStr">
        <is>
          <t>กินยาคุม COC ที่มีปริมาณ EE รวม 300 mcg ใน 72ชั่วโมง และตามด้วย EE 300 mcg อีกครั้งใน 12 ชม.ต่อมา</t>
        </is>
      </c>
      <c r="H77" s="2" t="inlineStr">
        <is>
          <t>กิน levonorgrestrel 150 mcg 1 เม็ดใน 72 ชั่วโมง และตามด้วย 1 เม็ด ใน 12 ชม.ต่อมา</t>
        </is>
      </c>
      <c r="I77" s="8" t="n">
        <v>1</v>
      </c>
      <c r="J77" s="2" t="inlineStr">
        <is>
          <t>✅ คำตอบที่ถูกต้อง: ข้อ ก. กิน levonorgrestrel 150 mcg 2 เม็ดใน 72 ชั่วโมง และตามด้วย 2 เม็ด ใน 12 ชม.ต่อมา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2" t="n"/>
      <c r="L77" s="2" t="inlineStr">
        <is>
          <t>Oral contraceptive</t>
        </is>
      </c>
      <c r="M77" s="2" t="inlineStr">
        <is>
          <t>Clinic</t>
        </is>
      </c>
      <c r="N77" s="2" t="inlineStr">
        <is>
          <t>ข้อ 79 (PLE_CC1_2558_Key.md)</t>
        </is>
      </c>
      <c r="O77" s="2" t="n"/>
      <c r="P77" s="2" t="n"/>
    </row>
    <row r="78" ht="13.2" customHeight="1" s="49">
      <c r="A78" s="8" t="inlineStr">
        <is>
          <t>76</t>
        </is>
      </c>
      <c r="B78" s="2" t="inlineStr">
        <is>
          <t>ยาคุมที่หญิงให้นมบุตรไม่ควรใช้</t>
        </is>
      </c>
      <c r="C78" s="2" t="n"/>
      <c r="D78" s="2" t="inlineStr">
        <is>
          <t>แผ่นแปะคุมกำเนิด</t>
        </is>
      </c>
      <c r="E78" s="2" t="inlineStr">
        <is>
          <t>Minipills</t>
        </is>
      </c>
      <c r="F78" s="2" t="inlineStr">
        <is>
          <t>DMPA IM</t>
        </is>
      </c>
      <c r="G78" s="2" t="inlineStr">
        <is>
          <t>DMPA SC</t>
        </is>
      </c>
      <c r="H78" s="2" t="inlineStr">
        <is>
          <t>ห่วงคุมกำเนิด</t>
        </is>
      </c>
      <c r="I78" s="8" t="n">
        <v>1</v>
      </c>
      <c r="J78" s="2" t="inlineStr">
        <is>
          <t>✅ คำตอบที่ถูกต้อง: ข้อ ก. แผ่นแปะคุมกำเนิด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2" t="n"/>
      <c r="L78" s="2" t="inlineStr">
        <is>
          <t>Oral contraceptive</t>
        </is>
      </c>
      <c r="M78" s="2" t="inlineStr">
        <is>
          <t>Clinic</t>
        </is>
      </c>
      <c r="N78" s="2" t="inlineStr">
        <is>
          <t>ข้อ 80 (PLE_CC1_2558_Key.md)</t>
        </is>
      </c>
      <c r="O78" s="2" t="n"/>
      <c r="P78" s="2" t="n"/>
    </row>
    <row r="79" ht="13.2" customHeight="1" s="49">
      <c r="A79" s="8" t="inlineStr">
        <is>
          <t>77</t>
        </is>
      </c>
      <c r="B79" s="2" t="inlineStr">
        <is>
          <t>ห่วงคุมกำเนิดมีระบบการนำส่งยาแบบใด</t>
        </is>
      </c>
      <c r="C79" s="2" t="n"/>
      <c r="D79" s="2" t="inlineStr">
        <is>
          <t>Vaginal release system</t>
        </is>
      </c>
      <c r="E79" s="2" t="inlineStr">
        <is>
          <t>Sustained release system</t>
        </is>
      </c>
      <c r="F79" s="2" t="inlineStr">
        <is>
          <t>Osmotic release system</t>
        </is>
      </c>
      <c r="G79" s="2" t="inlineStr">
        <is>
          <t>Immediate release system</t>
        </is>
      </c>
      <c r="H79" s="2" t="inlineStr">
        <is>
          <t>Pulse release system</t>
        </is>
      </c>
      <c r="I79" s="8" t="n">
        <v>1</v>
      </c>
      <c r="J79" s="2" t="inlineStr">
        <is>
          <t>✅ คำตอบที่ถูกต้อง: ข้อ ก. Vaginal release system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2" t="n"/>
      <c r="L79" s="2" t="inlineStr">
        <is>
          <t>Oral contraceptive</t>
        </is>
      </c>
      <c r="M79" s="2" t="inlineStr">
        <is>
          <t>Clinic</t>
        </is>
      </c>
      <c r="N79" s="2" t="inlineStr">
        <is>
          <t>ข้อ 83 (PLE_CC1_2558_Key.md)</t>
        </is>
      </c>
      <c r="O79" s="2" t="n"/>
      <c r="P79" s="2" t="n"/>
    </row>
    <row r="80" ht="13.2" customHeight="1" s="49">
      <c r="A80" s="8" t="inlineStr">
        <is>
          <t>78</t>
        </is>
      </c>
      <c r="B80" s="2"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2" t="n"/>
      <c r="D80" s="2" t="inlineStr">
        <is>
          <t>Desogestrel 75 mcg OD (Progestin-only)</t>
        </is>
      </c>
      <c r="E80" s="2" t="inlineStr">
        <is>
          <t>Levonorgestrel 1.5 mg stat (Emergency)</t>
        </is>
      </c>
      <c r="F80" s="2" t="inlineStr">
        <is>
          <t>Mefenamic acid 500 mg TID</t>
        </is>
      </c>
      <c r="G80" s="2" t="inlineStr">
        <is>
          <t>Tamsulosin 0.4 mg HS</t>
        </is>
      </c>
      <c r="H80" s="2" t="inlineStr">
        <is>
          <t>Finasteride 5 mg OD</t>
        </is>
      </c>
      <c r="I80" s="8" t="n">
        <v>1</v>
      </c>
      <c r="J80"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2" t="n"/>
      <c r="L80" s="2" t="inlineStr">
        <is>
          <t>Oral contraceptive</t>
        </is>
      </c>
      <c r="M80" s="2" t="inlineStr">
        <is>
          <t>Clinic</t>
        </is>
      </c>
      <c r="N80" s="2" t="inlineStr">
        <is>
          <t>ข้อ 84 (PLE_CC1_2558_Key.md)</t>
        </is>
      </c>
      <c r="O80" s="2" t="n"/>
      <c r="P80" s="2" t="n"/>
    </row>
    <row r="81" ht="13.2" customHeight="1" s="49">
      <c r="A81" s="8" t="inlineStr">
        <is>
          <t>79</t>
        </is>
      </c>
      <c r="B81" s="2" t="inlineStr">
        <is>
          <t>ภาวะใดต่อไปนี้สามารถใช้ฮอร์โมนในการรักษาหรือทดแทนในกลุ่มที่ขาดฮอร์โมนได้</t>
        </is>
      </c>
      <c r="C81" s="2" t="n"/>
      <c r="D81" s="2" t="inlineStr">
        <is>
          <t>มะเร็งเต้านม</t>
        </is>
      </c>
      <c r="E81" s="2" t="inlineStr">
        <is>
          <t>เบาหวานร่วมกับภาวะไขมันในเลือดสูง</t>
        </is>
      </c>
      <c r="F81" s="2" t="inlineStr">
        <is>
          <t>ภาวะลิ่มเลือดอุดตันหลอดเลือดดำ หรือภาวะหลอดเลือดดำอักเสบ</t>
        </is>
      </c>
      <c r="G81" s="2" t="inlineStr">
        <is>
          <t>ภาวะตับอักเสบเฉียบพลัน</t>
        </is>
      </c>
      <c r="H81" s="2" t="inlineStr">
        <is>
          <t>เลือดออกผิดปกติทางชองคลอดโดยไม่ทราบสาเหตุ</t>
        </is>
      </c>
      <c r="I81" s="8" t="n">
        <v>1</v>
      </c>
      <c r="J81" s="2" t="inlineStr">
        <is>
          <t>✅ คำตอบที่ถูกต้อง: ข้อ ก.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2" t="n"/>
      <c r="L81" s="2" t="inlineStr">
        <is>
          <t>Oral contraceptive</t>
        </is>
      </c>
      <c r="M81" s="2" t="inlineStr">
        <is>
          <t>Clinic</t>
        </is>
      </c>
      <c r="N81" s="2" t="inlineStr">
        <is>
          <t>ข้อ 69 (Pharmtutor_2024_Set1.md)</t>
        </is>
      </c>
      <c r="O81" s="2" t="n"/>
      <c r="P81" s="2" t="n"/>
    </row>
    <row r="82" ht="13.2" customHeight="1" s="49">
      <c r="A82" s="8" t="inlineStr">
        <is>
          <t>80</t>
        </is>
      </c>
      <c r="B82" s="2"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2" t="n"/>
      <c r="D82" s="2" t="inlineStr">
        <is>
          <t>มีเพศสัมพันธ์แบบไม่สวมถุงยางอนามัย</t>
        </is>
      </c>
      <c r="E82" s="2" t="inlineStr">
        <is>
          <t>การสวนล้างช่องคลอด</t>
        </is>
      </c>
      <c r="F82" s="2" t="inlineStr">
        <is>
          <t>การรับประทานยาชนิดฮอร์โมนรวม</t>
        </is>
      </c>
      <c r="G82" s="2" t="inlineStr">
        <is>
          <t>การรับประทานอาหารหมักดอง</t>
        </is>
      </c>
      <c r="H82" s="2" t="inlineStr">
        <is>
          <t>ถูกทุกข้อ</t>
        </is>
      </c>
      <c r="I82" s="8" t="n">
        <v>1</v>
      </c>
      <c r="J82" s="2" t="inlineStr">
        <is>
          <t>✅ คำตอบที่ถูกต้อง: ข้อ ก. มีเพศสัมพันธ์แบบไม่สวมถุงยางอนามัย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2" t="n"/>
      <c r="L82" s="2" t="inlineStr">
        <is>
          <t>Oral contraceptive</t>
        </is>
      </c>
      <c r="M82" s="2" t="inlineStr">
        <is>
          <t>Clinic</t>
        </is>
      </c>
      <c r="N82" s="2" t="inlineStr">
        <is>
          <t>ข้อ 42 (Pharmtutor_2024_Set2.md)</t>
        </is>
      </c>
      <c r="O82" s="2" t="n"/>
      <c r="P82" s="2" t="n"/>
    </row>
    <row r="83" ht="13.2" customHeight="1" s="49">
      <c r="A83" s="8" t="inlineStr">
        <is>
          <t>81</t>
        </is>
      </c>
      <c r="B83" s="2"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2" t="n"/>
      <c r="D83" s="2" t="inlineStr">
        <is>
          <t>การใช้ Progestin เดี่ยวให้ผลดีกว่าการใช้สูตรผสม</t>
        </is>
      </c>
      <c r="E83" s="2" t="inlineStr">
        <is>
          <t>การใช้สูตรผสม Estrogen สามารถขับออกทางน้ำนมอาจส่งผลข้างเคียงให้ทารกได้</t>
        </is>
      </c>
      <c r="F83" s="2" t="inlineStr">
        <is>
          <t>Estrogen ทำให้ปริมาณของน้ำนมลดลง</t>
        </is>
      </c>
      <c r="G83" s="2"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2" t="inlineStr">
        <is>
          <t>ไม่มีข้อใดถูก</t>
        </is>
      </c>
      <c r="I83" s="8" t="n">
        <v>1</v>
      </c>
      <c r="J83" s="2" t="inlineStr">
        <is>
          <t>✅ คำตอบที่ถูกต้อง: ข้อ ก. การใช้ Progestin เดี่ยวให้ผลดีกว่าการใช้สูตรผสม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2" t="n"/>
      <c r="L83" s="2" t="inlineStr">
        <is>
          <t>Oral contraceptive</t>
        </is>
      </c>
      <c r="M83" s="2" t="inlineStr">
        <is>
          <t>Clinic</t>
        </is>
      </c>
      <c r="N83" s="2" t="inlineStr">
        <is>
          <t>ข้อ 66 (Pharmtutor_2024_Set2.md)</t>
        </is>
      </c>
      <c r="O83" s="2" t="n"/>
      <c r="P83" s="2" t="n"/>
    </row>
    <row r="84" ht="13.2" customHeight="1" s="49">
      <c r="A84" s="8" t="inlineStr">
        <is>
          <t>82</t>
        </is>
      </c>
      <c r="B84" s="2"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2" t="n"/>
      <c r="D84" s="2" t="inlineStr">
        <is>
          <t>Cyproterone</t>
        </is>
      </c>
      <c r="E84" s="2" t="inlineStr">
        <is>
          <t>Drospirenone</t>
        </is>
      </c>
      <c r="F84" s="2" t="inlineStr">
        <is>
          <t>Desogestrel</t>
        </is>
      </c>
      <c r="G84" s="2" t="inlineStr">
        <is>
          <t>ข้อ a และ b ถูก</t>
        </is>
      </c>
      <c r="H84" s="2" t="inlineStr">
        <is>
          <t>ข้อ a b และ c ถูก</t>
        </is>
      </c>
      <c r="I84" s="8" t="n">
        <v>1</v>
      </c>
      <c r="J84" s="2" t="inlineStr">
        <is>
          <t>✅ คำตอบที่ถูกต้อง: ข้อ ก. Cyproterone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2" t="n"/>
      <c r="L84" s="2" t="inlineStr">
        <is>
          <t>Oral contraceptive</t>
        </is>
      </c>
      <c r="M84" s="2" t="inlineStr">
        <is>
          <t>Clinic</t>
        </is>
      </c>
      <c r="N84" s="2" t="inlineStr">
        <is>
          <t>ข้อ 67 (Pharmtutor_2024_Set2.md)</t>
        </is>
      </c>
      <c r="O84" s="2" t="n"/>
      <c r="P84" s="2" t="n"/>
    </row>
    <row r="85" ht="13.2" customHeight="1" s="49">
      <c r="A85" s="8" t="inlineStr">
        <is>
          <t>83</t>
        </is>
      </c>
      <c r="B85" s="2" t="inlineStr">
        <is>
          <t>คำแนะนำการปฏิบัติตัวเมื_x001E_อลืมรับประทานยาคุมกำเนิด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ให้รับประทานทันทีที_x0003_นึก ได้ และรับประทานเม็ดต่อไปตามปกติ โดยไม่ต้องใช้ วิธีคุมกำเนิดอื_x0003_นร่วมด้วย (2) ลืมรับประทาน 2 เม็ดใด ๆ ให้รับประทาน 1 เม็ดทันที ที_x0003_นึกได้ และรับประทานเม็ดต่อไปตามปกติ ส่วนอีก 1 เม็ดที_x0003_ลืมจะรับประทานหรือไม่ก็ได้ โดยไม่ต้องใช้วิธี คุมกำเนิดอื_x0003_นร่วมด้วย (3) ในกรณีที_x0003_ขึ_x001B_นแผงใหม่ช้าไปตั_x001B_งแต่ 3 วันขึ_x001B_นไป และมี เพศสัมพันธ์ในช่วงเวลาดังกล่าว ให้ใช้ยาคุมกำเนิด ฉุกเฉินร่วมด้วย (4) ในกรณีที_x0003_ลืมรับประทานยาในช่วงสัปดาห์ที_x0003_ 2 จำนวน 1 เม็ด ให้รับประทานทันทีที_x0003_นึกได้ และรับประทาน เม็ดต่อไปตามปกติ โดยไม่ต้องใช้วิธีคุมกำเนิดอื_x0003_นร่วม ด้วย (5) ในกรณีที_x0003_ลืมรับประทานยา 2 เม็ดในช่วงสัปดาห์ที_x0003_ 3 ให้ทิ_x001B_งเม็ดที_x0003_เหลือไป แล้วเริ_x0003_มแผงใหม่ทันที MCQ 12 | 1/2557 | Page 20</t>
        </is>
      </c>
      <c r="C85" s="2" t="n"/>
      <c r="D85" s="2" t="inlineStr">
        <is>
          <t>Finasteride 5 mg OD</t>
        </is>
      </c>
      <c r="E85" s="2" t="inlineStr">
        <is>
          <t>Oxybutynin 5 mg BID</t>
        </is>
      </c>
      <c r="F85" s="2" t="inlineStr">
        <is>
          <t>Tolterodine 2 mg BID</t>
        </is>
      </c>
      <c r="G85" s="2" t="inlineStr">
        <is>
          <t>Dydrogesterone 10 mg BID</t>
        </is>
      </c>
      <c r="H85" s="2" t="inlineStr">
        <is>
          <t>Ethinylestradiol 30 mcg + Levonorgestrel 150 mcg</t>
        </is>
      </c>
      <c r="I85" s="8" t="n">
        <v>1</v>
      </c>
      <c r="J85"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2" t="n"/>
      <c r="L85" s="2" t="inlineStr">
        <is>
          <t>Oral contraceptive</t>
        </is>
      </c>
      <c r="M85" s="2" t="inlineStr">
        <is>
          <t>Clinic</t>
        </is>
      </c>
      <c r="N85" s="2" t="inlineStr">
        <is>
          <t>ข้อ 38 (PLE_CC1_2557.md)</t>
        </is>
      </c>
      <c r="O85" s="2" t="n"/>
      <c r="P85" s="2" t="n"/>
    </row>
    <row r="86" ht="13.2" customHeight="1" s="49">
      <c r="A86" s="8" t="inlineStr">
        <is>
          <t>84</t>
        </is>
      </c>
      <c r="B86" s="2" t="inlineStr">
        <is>
          <t>จากโครงสร้างของยาต่อไปนี% ข้อใดถูกต้อง B A C (1) เป็น Estrogen (2) โครงสร้างคล้าย progesterone (3) โครงสร้างส่วน A ช่วยเพิ_x0003_มฤทธิ&lt; anti-androgen (4) โครงสร้างส่วน B ที_x0003_เป็น ethyl สามารถลดฤทธิ&lt; androgen ได้มากกว่า methyl (5) โครงสร้างส่วน C ไม่จำเป็นต่อการออกฤทธิ&lt; Final version | Maximum’2017 Rx30 | Prince of Songkla University</t>
        </is>
      </c>
      <c r="C86" s="2" t="n"/>
      <c r="D86" s="2" t="inlineStr">
        <is>
          <t>Dydrogesterone 10 mg BID</t>
        </is>
      </c>
      <c r="E86" s="2" t="inlineStr">
        <is>
          <t>Ethinylestradiol 30 mcg + Levonorgestrel 150 mcg</t>
        </is>
      </c>
      <c r="F86" s="2" t="inlineStr">
        <is>
          <t>Ethinylestradiol 30 mcg + Drospirenone 3 mg</t>
        </is>
      </c>
      <c r="G86" s="2" t="inlineStr">
        <is>
          <t>Ethinylestradiol 35 mcg + Cyproterone acetate 2 mg</t>
        </is>
      </c>
      <c r="H86" s="2" t="inlineStr">
        <is>
          <t>Desogestrel 75 mcg OD (Progestin-only)</t>
        </is>
      </c>
      <c r="I86" s="8" t="n">
        <v>1</v>
      </c>
      <c r="J86"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2" t="n"/>
      <c r="L86" s="2" t="inlineStr">
        <is>
          <t>Hormonal replacement</t>
        </is>
      </c>
      <c r="M86" s="2" t="inlineStr">
        <is>
          <t>Clinic</t>
        </is>
      </c>
      <c r="N86" s="2" t="inlineStr">
        <is>
          <t>ข้อ 40 (PLE_CC1_2557.md)</t>
        </is>
      </c>
      <c r="O86" s="2" t="n"/>
      <c r="P86" s="2" t="n"/>
    </row>
    <row r="87" ht="13.2" customHeight="1" s="49">
      <c r="A87" s="8" t="inlineStr">
        <is>
          <t>85</t>
        </is>
      </c>
      <c r="B87" s="2" t="inlineStr">
        <is>
          <t>ควรจ่ายยาคุมกำเนิดแบบไหนให้แก่ผู้หญิงรายนี้</t>
        </is>
      </c>
      <c r="C87" s="2" t="n"/>
      <c r="D87" s="2" t="inlineStr">
        <is>
          <t>Conjugated estrogen</t>
        </is>
      </c>
      <c r="E87" s="2" t="inlineStr">
        <is>
          <t>Lynestrenol</t>
        </is>
      </c>
      <c r="F87" s="2" t="inlineStr">
        <is>
          <t>Ethenyl estradiol + Desogestrel</t>
        </is>
      </c>
      <c r="G87" s="2" t="inlineStr">
        <is>
          <t>Ethenyl estradiol + Norethisterone</t>
        </is>
      </c>
      <c r="H87" s="2" t="inlineStr">
        <is>
          <t>Ethenyl estradiol + Cyproterone acetate</t>
        </is>
      </c>
      <c r="I87" s="8" t="n">
        <v>1</v>
      </c>
      <c r="J87" s="2"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2" t="n"/>
      <c r="L87" s="2" t="inlineStr">
        <is>
          <t>Oral contraceptive</t>
        </is>
      </c>
      <c r="M87" s="2" t="inlineStr">
        <is>
          <t>Clinic</t>
        </is>
      </c>
      <c r="N87" s="2" t="inlineStr">
        <is>
          <t>ข้อ 71 (PLE_CC1_2555 Day 1.md)</t>
        </is>
      </c>
      <c r="O87" s="2" t="n"/>
      <c r="P87" s="2" t="n"/>
    </row>
    <row r="88" ht="13.2" customHeight="1" s="49">
      <c r="A88" s="8" t="inlineStr">
        <is>
          <t>86</t>
        </is>
      </c>
      <c r="B88" s="2" t="inlineStr">
        <is>
          <t>ข้อใดคือเหตุผลในการเลือกยาคุมกำเนิดข้างต้น</t>
        </is>
      </c>
      <c r="C88" s="2" t="n"/>
      <c r="D88" s="2" t="inlineStr">
        <is>
          <t>เพราะมีฮอร์โมนบางชนิดสามารถยับยั้งการหลั่งฮอร์โมน prolactin</t>
        </is>
      </c>
      <c r="E88" s="2" t="inlineStr">
        <is>
          <t>เพราะผนังมดลูกยังไม่แข็งแรงพอ</t>
        </is>
      </c>
      <c r="F88" s="2" t="inlineStr">
        <is>
          <t>เพื่อป้องกันผนังมดลูกหนาตัวขึ้น</t>
        </is>
      </c>
      <c r="G88" s="2" t="inlineStr">
        <is>
          <t>.........</t>
        </is>
      </c>
      <c r="H88" s="2" t="inlineStr">
        <is>
          <t>...........</t>
        </is>
      </c>
      <c r="I88" s="8" t="n">
        <v>1</v>
      </c>
      <c r="J88" s="2"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2" t="n"/>
      <c r="L88" s="2" t="inlineStr">
        <is>
          <t>Oral contraceptive</t>
        </is>
      </c>
      <c r="M88" s="2" t="inlineStr">
        <is>
          <t>Clinic</t>
        </is>
      </c>
      <c r="N88" s="2" t="inlineStr">
        <is>
          <t>ข้อ 72 (PLE_CC1_2555 Day 1.md)</t>
        </is>
      </c>
      <c r="O88" s="2" t="n"/>
      <c r="P88" s="2" t="n"/>
    </row>
    <row r="89" ht="13.2" customHeight="1" s="49">
      <c r="A89" s="8" t="inlineStr">
        <is>
          <t>87</t>
        </is>
      </c>
      <c r="B89" s="2" t="inlineStr">
        <is>
          <t>หากผู้ป่วยไม่ต้องการมีประจำเดือนอีกแล้ว และไม่มีข้อห้ามใช้ Estrogen จะต้องได้ยาคุมกำเนิดแบบใด</t>
        </is>
      </c>
      <c r="C89" s="2" t="n"/>
      <c r="D89" s="2" t="inlineStr">
        <is>
          <t>Estrogen เดี่ยวๆ 28 เม็ด</t>
        </is>
      </c>
      <c r="E89" s="2" t="inlineStr">
        <is>
          <t>Progestrin เดี่ยวๆ 28 เม็ด</t>
        </is>
      </c>
      <c r="F89" s="2" t="inlineStr">
        <is>
          <t>Estrogen + progestrin อย่างละ 28 เม็ด</t>
        </is>
      </c>
      <c r="G89" s="2" t="inlineStr">
        <is>
          <t>Estrogen 21 เม็ด + progestrin 7 เม็ด</t>
        </is>
      </c>
      <c r="H89" s="2" t="inlineStr">
        <is>
          <t>Estrogen 16 เม็ด + progestrin 12 เม็ด คณะเภสัชศาสตร์</t>
        </is>
      </c>
      <c r="I89" s="8" t="n">
        <v>1</v>
      </c>
      <c r="J89" s="2"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89" s="2" t="n"/>
      <c r="L89" s="2" t="inlineStr">
        <is>
          <t>Oral contraceptive</t>
        </is>
      </c>
      <c r="M89" s="2" t="inlineStr">
        <is>
          <t>Clinic</t>
        </is>
      </c>
      <c r="N89" s="2" t="inlineStr">
        <is>
          <t>ข้อ 73 (PLE_CC1_2555 Day 1.md)</t>
        </is>
      </c>
      <c r="O89" s="2" t="n"/>
      <c r="P89" s="2" t="n"/>
    </row>
    <row r="90" ht="13.2" customHeight="1" s="49">
      <c r="A90" s="8" t="inlineStr">
        <is>
          <t>88</t>
        </is>
      </c>
      <c r="B90" s="2" t="inlineStr">
        <is>
          <t>หากผู้ป่วยเป็น cystitis แล้วเกิดตั้งครรภ์ ควรเปลี่ยนยา ciprofloxacin เป็นยาในข้อใดสำหรับผู้ป่วยรายนี้</t>
        </is>
      </c>
      <c r="C90" s="2" t="n"/>
      <c r="D90" s="2" t="inlineStr">
        <is>
          <t>Cotrimoxazole</t>
        </is>
      </c>
      <c r="E90" s="2" t="inlineStr">
        <is>
          <t>Cefalexin</t>
        </is>
      </c>
      <c r="F90" s="2" t="inlineStr">
        <is>
          <t>Cloxacillin</t>
        </is>
      </c>
      <c r="G90" s="2" t="inlineStr">
        <is>
          <t>Doxycycline</t>
        </is>
      </c>
      <c r="H90" s="2" t="inlineStr">
        <is>
          <t>......</t>
        </is>
      </c>
      <c r="I90" s="8" t="n">
        <v>1</v>
      </c>
      <c r="J90" s="2"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2" t="n"/>
      <c r="L90" s="2" t="inlineStr">
        <is>
          <t>Oral contraceptive</t>
        </is>
      </c>
      <c r="M90" s="2" t="inlineStr">
        <is>
          <t>Clinic</t>
        </is>
      </c>
      <c r="N90" s="2" t="inlineStr">
        <is>
          <t>ข้อ 91 (PLE_CC1_2555 Day 1.md)</t>
        </is>
      </c>
      <c r="O90" s="2" t="n"/>
      <c r="P90" s="2" t="n"/>
    </row>
    <row r="91" ht="13.2" customHeight="1" s="49">
      <c r="A91" s="8" t="inlineStr">
        <is>
          <t>89</t>
        </is>
      </c>
      <c r="B91" s="2" t="inlineStr">
        <is>
          <t>ควรรับประทานยาคุมเพื่อป้องกันการตั้งครรภ์ทารกวิรูป</t>
        </is>
      </c>
      <c r="C91" s="2" t="n"/>
      <c r="D91" s="2" t="inlineStr">
        <is>
          <t>Desogestrel 75 mcg OD (Progestin-only)</t>
        </is>
      </c>
      <c r="E91" s="2" t="inlineStr">
        <is>
          <t>Levonorgestrel 1.5 mg stat (Emergency)</t>
        </is>
      </c>
      <c r="F91" s="2" t="inlineStr">
        <is>
          <t>Mefenamic acid 500 mg TID</t>
        </is>
      </c>
      <c r="G91" s="2" t="inlineStr">
        <is>
          <t>Tamsulosin 0.4 mg HS</t>
        </is>
      </c>
      <c r="H91" s="2" t="inlineStr">
        <is>
          <t>Finasteride 5 mg OD</t>
        </is>
      </c>
      <c r="I91" s="8" t="n">
        <v>1</v>
      </c>
      <c r="J91"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2" t="n"/>
      <c r="L91" s="2" t="inlineStr">
        <is>
          <t>Oral contraceptive</t>
        </is>
      </c>
      <c r="M91" s="2" t="inlineStr">
        <is>
          <t>Clinic</t>
        </is>
      </c>
      <c r="N91" s="2" t="inlineStr">
        <is>
          <t>ข้อ 1 (PLE_CC1_2555 Day 2.md)</t>
        </is>
      </c>
      <c r="O91" s="2" t="n"/>
      <c r="P91" s="2" t="n"/>
    </row>
    <row r="92" ht="13.2" customHeight="1" s="49">
      <c r="A92" s="8" t="inlineStr">
        <is>
          <t>90</t>
        </is>
      </c>
      <c r="B92" s="2" t="inlineStr">
        <is>
          <t>เหตุใดจึงต้องระมัดระวังในการยาคุมกำเนิดที่มี Estrogen ให้กับหญิงที่อยู่ระหว่างให้นมบุตร</t>
        </is>
      </c>
      <c r="C92" s="2" t="n"/>
      <c r="D92" s="2" t="inlineStr">
        <is>
          <t>Tamsulosin 0.4 mg HS</t>
        </is>
      </c>
      <c r="E92" s="2" t="inlineStr">
        <is>
          <t>Finasteride 5 mg OD</t>
        </is>
      </c>
      <c r="F92" s="2" t="inlineStr">
        <is>
          <t>Oxybutynin 5 mg BID</t>
        </is>
      </c>
      <c r="G92" s="2" t="inlineStr">
        <is>
          <t>Tolterodine 2 mg BID</t>
        </is>
      </c>
      <c r="H92" s="2" t="inlineStr">
        <is>
          <t>Dydrogesterone 10 mg BID</t>
        </is>
      </c>
      <c r="I92" s="8" t="n">
        <v>1</v>
      </c>
      <c r="J92"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2" t="n"/>
      <c r="L92" s="2" t="inlineStr">
        <is>
          <t>Oral contraceptive</t>
        </is>
      </c>
      <c r="M92" s="2" t="inlineStr">
        <is>
          <t>Clinic</t>
        </is>
      </c>
      <c r="N92" s="2" t="inlineStr">
        <is>
          <t>ข้อ 2 (PLE_CC1_2555 Day 2.md)</t>
        </is>
      </c>
      <c r="O92" s="2" t="n"/>
      <c r="P92" s="2" t="n"/>
    </row>
    <row r="93" ht="13.2" customHeight="1" s="49">
      <c r="A93" s="8" t="inlineStr">
        <is>
          <t>91</t>
        </is>
      </c>
      <c r="B93" s="2" t="inlineStr">
        <is>
          <t>เนื่องจากยาอาจมีผลลดฮอร์โมน Prolactin</t>
        </is>
      </c>
      <c r="C93" s="2" t="n"/>
      <c r="D93" s="2" t="inlineStr">
        <is>
          <t>Tolterodine 2 mg BID</t>
        </is>
      </c>
      <c r="E93" s="2" t="inlineStr">
        <is>
          <t>Dydrogesterone 10 mg BID</t>
        </is>
      </c>
      <c r="F93" s="2" t="inlineStr">
        <is>
          <t>Ethinylestradiol 30 mcg + Levonorgestrel 150 mcg</t>
        </is>
      </c>
      <c r="G93" s="2" t="inlineStr">
        <is>
          <t>Ethinylestradiol 30 mcg + Drospirenone 3 mg</t>
        </is>
      </c>
      <c r="H93" s="2" t="inlineStr">
        <is>
          <t>Ethinylestradiol 35 mcg + Cyproterone acetate 2 mg</t>
        </is>
      </c>
      <c r="I93" s="8" t="n">
        <v>1</v>
      </c>
      <c r="J93"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2" t="n"/>
      <c r="L93" s="2" t="inlineStr">
        <is>
          <t>Oral contraceptive</t>
        </is>
      </c>
      <c r="M93" s="2" t="inlineStr">
        <is>
          <t>Clinic</t>
        </is>
      </c>
      <c r="N93" s="2" t="inlineStr">
        <is>
          <t>ข้อ 1 (PLE_CC1_2555 Day 2.md)</t>
        </is>
      </c>
      <c r="O93" s="2" t="n"/>
      <c r="P93" s="2" t="n"/>
    </row>
    <row r="94" ht="13.2" customHeight="1" s="49">
      <c r="A94" s="8" t="inlineStr">
        <is>
          <t>92</t>
        </is>
      </c>
      <c r="B94" s="2" t="inlineStr">
        <is>
          <t>เนื่องจากในหญิงให้นมบุตรมีผนังมดลูกที่บางอยู่แล้ว การใช้ยาคุมกำเนิดอาจทำให้เกิดเลือดออกระปริบกระ ปรอยได้</t>
        </is>
      </c>
      <c r="C94" s="2" t="n"/>
      <c r="D94" s="2" t="inlineStr">
        <is>
          <t>Ethinylestradiol 30 mcg + Drospirenone 3 mg</t>
        </is>
      </c>
      <c r="E94" s="2" t="inlineStr">
        <is>
          <t>Ethinylestradiol 35 mcg + Cyproterone acetate 2 mg</t>
        </is>
      </c>
      <c r="F94" s="2" t="inlineStr">
        <is>
          <t>Desogestrel 75 mcg OD (Progestin-only)</t>
        </is>
      </c>
      <c r="G94" s="2" t="inlineStr">
        <is>
          <t>Levonorgestrel 1.5 mg stat (Emergency)</t>
        </is>
      </c>
      <c r="H94" s="2" t="inlineStr">
        <is>
          <t>Mefenamic acid 500 mg TID</t>
        </is>
      </c>
      <c r="I94" s="8" t="n">
        <v>1</v>
      </c>
      <c r="J94"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2" t="n"/>
      <c r="L94" s="2" t="inlineStr">
        <is>
          <t>Oral contraceptive</t>
        </is>
      </c>
      <c r="M94" s="2" t="inlineStr">
        <is>
          <t>Clinic</t>
        </is>
      </c>
      <c r="N94" s="2" t="inlineStr">
        <is>
          <t>ข้อ 5 (PLE_CC1_2555 Day 2.md)</t>
        </is>
      </c>
      <c r="O94" s="2" t="n"/>
      <c r="P94" s="2" t="n"/>
    </row>
    <row r="95" ht="13.2" customHeight="1" s="49">
      <c r="A95" s="8" t="inlineStr">
        <is>
          <t>93</t>
        </is>
      </c>
      <c r="B95" s="2" t="inlineStr">
        <is>
          <t>ผู้ป่วยที่มีภาวะใดมีห้ามใช้ฮอร์โมนที่ประกอบด้วย Estrogen</t>
        </is>
      </c>
      <c r="C95" s="2" t="n"/>
      <c r="D95" s="2" t="inlineStr">
        <is>
          <t>Levonorgestrel 1.5 mg stat (Emergency)</t>
        </is>
      </c>
      <c r="E95" s="2" t="inlineStr">
        <is>
          <t>Mefenamic acid 500 mg TID</t>
        </is>
      </c>
      <c r="F95" s="2" t="inlineStr">
        <is>
          <t>Tamsulosin 0.4 mg HS</t>
        </is>
      </c>
      <c r="G95" s="2" t="inlineStr">
        <is>
          <t>Finasteride 5 mg OD</t>
        </is>
      </c>
      <c r="H95" s="2" t="inlineStr">
        <is>
          <t>Oxybutynin 5 mg BID</t>
        </is>
      </c>
      <c r="I95" s="8" t="n">
        <v>1</v>
      </c>
      <c r="J95"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2" t="n"/>
      <c r="L95" s="2" t="inlineStr">
        <is>
          <t>Hormonal replacement</t>
        </is>
      </c>
      <c r="M95" s="2" t="inlineStr">
        <is>
          <t>Clinic</t>
        </is>
      </c>
      <c r="N95" s="2" t="inlineStr">
        <is>
          <t>ข้อ 3 (PLE_CC1_2555 Day 2.md)</t>
        </is>
      </c>
      <c r="O95" s="2" t="n"/>
      <c r="P95" s="2" t="n"/>
    </row>
    <row r="96" ht="13.2" customHeight="1" s="49">
      <c r="A96" s="8" t="inlineStr">
        <is>
          <t>94</t>
        </is>
      </c>
      <c r="B96" s="2" t="inlineStr">
        <is>
          <t>ผู้ที่ตัดมดลูกไปแล้วสามารถใช้ estrogen อย่างเดียวได้</t>
        </is>
      </c>
      <c r="C96" s="2" t="n"/>
      <c r="D96" s="2" t="inlineStr">
        <is>
          <t>Finasteride 5 mg OD</t>
        </is>
      </c>
      <c r="E96" s="2" t="inlineStr">
        <is>
          <t>Oxybutynin 5 mg BID</t>
        </is>
      </c>
      <c r="F96" s="2" t="inlineStr">
        <is>
          <t>Tolterodine 2 mg BID</t>
        </is>
      </c>
      <c r="G96" s="2" t="inlineStr">
        <is>
          <t>Dydrogesterone 10 mg BID</t>
        </is>
      </c>
      <c r="H96" s="2" t="inlineStr">
        <is>
          <t>Ethinylestradiol 30 mcg + Levonorgestrel 150 mcg</t>
        </is>
      </c>
      <c r="I96" s="8" t="n">
        <v>1</v>
      </c>
      <c r="J96"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2" t="n"/>
      <c r="L96" s="2" t="inlineStr">
        <is>
          <t>Hormonal replacement</t>
        </is>
      </c>
      <c r="M96" s="2" t="inlineStr">
        <is>
          <t>Clinic</t>
        </is>
      </c>
      <c r="N96" s="2" t="inlineStr">
        <is>
          <t>ข้อ 2 (PLE_CC1_2555 Day 2.md)</t>
        </is>
      </c>
      <c r="O96" s="2" t="n"/>
      <c r="P96" s="2" t="n"/>
    </row>
    <row r="97" ht="13.2" customHeight="1" s="49">
      <c r="A97" s="8" t="inlineStr">
        <is>
          <t>95</t>
        </is>
      </c>
      <c r="B97" s="2" t="inlineStr">
        <is>
          <t>ข้อดีของยาคุมกำเนิดในรูปแผ่นแปะที่แตกต่างจากยาคุมกำเนิดแบบรับประทานคือข้อใด</t>
        </is>
      </c>
      <c r="C97" s="2" t="n"/>
      <c r="D97" s="2" t="inlineStr">
        <is>
          <t>Dydrogesterone 10 mg BID</t>
        </is>
      </c>
      <c r="E97" s="2" t="inlineStr">
        <is>
          <t>Ethinylestradiol 30 mcg + Levonorgestrel 150 mcg</t>
        </is>
      </c>
      <c r="F97" s="2" t="inlineStr">
        <is>
          <t>Ethinylestradiol 30 mcg + Drospirenone 3 mg</t>
        </is>
      </c>
      <c r="G97" s="2" t="inlineStr">
        <is>
          <t>Ethinylestradiol 35 mcg + Cyproterone acetate 2 mg</t>
        </is>
      </c>
      <c r="H97" s="2" t="inlineStr">
        <is>
          <t>Desogestrel 75 mcg OD (Progestin-only)</t>
        </is>
      </c>
      <c r="I97" s="8" t="n">
        <v>1</v>
      </c>
      <c r="J97"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2" t="n"/>
      <c r="L97" s="2" t="inlineStr">
        <is>
          <t>Oral contraceptive</t>
        </is>
      </c>
      <c r="M97" s="2" t="inlineStr">
        <is>
          <t>Clinic</t>
        </is>
      </c>
      <c r="N97" s="2" t="inlineStr">
        <is>
          <t>ข้อ 9 (PLE_CC1_2555 Day 2.md)</t>
        </is>
      </c>
      <c r="O97" s="2" t="n"/>
      <c r="P97" s="2" t="n"/>
    </row>
    <row r="98" ht="13.2" customHeight="1" s="49">
      <c r="A98" s="8" t="inlineStr">
        <is>
          <t>96</t>
        </is>
      </c>
      <c r="B98" s="2" t="inlineStr">
        <is>
          <t>ห้ามใช้ในหญิงตั้งครรภ์ เนื่องจากเป็น Pregnancy Category X</t>
        </is>
      </c>
      <c r="C98" s="2" t="n"/>
      <c r="D98" s="2" t="inlineStr">
        <is>
          <t>Ethinylestradiol 35 mcg + Cyproterone acetate 2 mg</t>
        </is>
      </c>
      <c r="E98" s="2" t="inlineStr">
        <is>
          <t>Desogestrel 75 mcg OD (Progestin-only)</t>
        </is>
      </c>
      <c r="F98" s="2" t="inlineStr">
        <is>
          <t>Levonorgestrel 1.5 mg stat (Emergency)</t>
        </is>
      </c>
      <c r="G98" s="2" t="inlineStr">
        <is>
          <t>Mefenamic acid 500 mg TID</t>
        </is>
      </c>
      <c r="H98" s="2" t="inlineStr">
        <is>
          <t>Tamsulosin 0.4 mg HS</t>
        </is>
      </c>
      <c r="I98" s="8" t="n">
        <v>1</v>
      </c>
      <c r="J98"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2" t="n"/>
      <c r="L98" s="2" t="inlineStr">
        <is>
          <t>Oral contraceptive</t>
        </is>
      </c>
      <c r="M98" s="2" t="inlineStr">
        <is>
          <t>Clinic</t>
        </is>
      </c>
      <c r="N98" s="2" t="inlineStr">
        <is>
          <t>ข้อ 3 (PLE_CC1_2533.md)</t>
        </is>
      </c>
      <c r="O98" s="2" t="n"/>
      <c r="P98" s="2" t="n"/>
    </row>
    <row r="99" ht="13.2" customHeight="1" s="49">
      <c r="A99" s="8" t="inlineStr">
        <is>
          <t>97</t>
        </is>
      </c>
      <c r="B99" s="2"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2" t="n"/>
      <c r="D99" s="2" t="inlineStr">
        <is>
          <t>Mefenamic acid 500 mg TID</t>
        </is>
      </c>
      <c r="E99" s="2" t="inlineStr">
        <is>
          <t>Tamsulosin 0.4 mg HS</t>
        </is>
      </c>
      <c r="F99" s="2" t="inlineStr">
        <is>
          <t>Finasteride 5 mg OD</t>
        </is>
      </c>
      <c r="G99" s="2" t="inlineStr">
        <is>
          <t>Oxybutynin 5 mg BID</t>
        </is>
      </c>
      <c r="H99" s="2" t="inlineStr">
        <is>
          <t>Tolterodine 2 mg BID</t>
        </is>
      </c>
      <c r="I99" s="8" t="n">
        <v>1</v>
      </c>
      <c r="J99"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2" t="n"/>
      <c r="L99" s="2" t="inlineStr">
        <is>
          <t>Oral contraceptive</t>
        </is>
      </c>
      <c r="M99" s="2" t="inlineStr">
        <is>
          <t>Clinic</t>
        </is>
      </c>
      <c r="N99" s="2" t="inlineStr">
        <is>
          <t>ข้อ 5 (PLE_CC1_2533.md)</t>
        </is>
      </c>
      <c r="O99" s="2" t="n"/>
      <c r="P99" s="2" t="n"/>
    </row>
    <row r="100" ht="13.2" customHeight="1" s="49">
      <c r="A100" s="8" t="inlineStr">
        <is>
          <t>98</t>
        </is>
      </c>
      <c r="B100" s="2" t="inlineStr">
        <is>
          <t>ยาฆ่าเชื้อในข้อใดมีข้อห้ามใช้ในระหว่างการตั้งครรภ์ (Pregnancy category X)</t>
        </is>
      </c>
      <c r="C100" s="2" t="n"/>
      <c r="D100" s="2" t="inlineStr">
        <is>
          <t>Amoxycillin</t>
        </is>
      </c>
      <c r="E100" s="2" t="inlineStr">
        <is>
          <t>Azithromycin</t>
        </is>
      </c>
      <c r="F100" s="2" t="inlineStr">
        <is>
          <t>Clarithromycin</t>
        </is>
      </c>
      <c r="G100" s="2" t="inlineStr">
        <is>
          <t>Chloramphenicol</t>
        </is>
      </c>
      <c r="H100" s="2" t="inlineStr">
        <is>
          <t>Ethinylestradiol 30 mcg + Drospirenone 3 mg</t>
        </is>
      </c>
      <c r="I100" s="8" t="n">
        <v>1</v>
      </c>
      <c r="J100" s="2"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2" t="n"/>
      <c r="L100" s="2" t="inlineStr">
        <is>
          <t>Oral contraceptive</t>
        </is>
      </c>
      <c r="M100" s="2" t="inlineStr">
        <is>
          <t>Clinic</t>
        </is>
      </c>
      <c r="N100" s="2" t="inlineStr">
        <is>
          <t>ข้อ 30 (PLE_CC1_Practice_Exam.md)</t>
        </is>
      </c>
      <c r="O100" s="2" t="n"/>
      <c r="P100" s="2" t="n"/>
    </row>
    <row r="101" ht="13.2" customHeight="1" s="49">
      <c r="A101" s="8" t="inlineStr">
        <is>
          <t>99</t>
        </is>
      </c>
      <c r="B101" s="2" t="inlineStr">
        <is>
          <t>ข้อใดไม่ใช่ข้อบ่งใช้ของ Estrogen replacement</t>
        </is>
      </c>
      <c r="C101" s="2" t="n"/>
      <c r="D101" s="2" t="inlineStr">
        <is>
          <t>ผู้ป่วยตัดรังไข่จากการเป็นเนื้องอก</t>
        </is>
      </c>
      <c r="E101" s="2" t="inlineStr">
        <is>
          <t>ทนแทนในสตรีวัยหมดประจำเดือน</t>
        </is>
      </c>
      <c r="F101" s="2" t="inlineStr">
        <is>
          <t>ป้องกันกระดูกพรุน</t>
        </is>
      </c>
      <c r="G101" s="2" t="inlineStr">
        <is>
          <t>มีอาการจาก vasomotor symptoms</t>
        </is>
      </c>
      <c r="H101" s="2" t="inlineStr">
        <is>
          <t>อาการทางระบบสืบพันธุ์หรือระบบขับถ่ายปัสสาวะ จงใช้โครงสร้างของ Estradiol ตอบคำถามข้อ 27</t>
        </is>
      </c>
      <c r="I101" s="8" t="n">
        <v>1</v>
      </c>
      <c r="J101" s="2"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2" t="n"/>
      <c r="L101" s="2" t="inlineStr">
        <is>
          <t>Hormonal replacement</t>
        </is>
      </c>
      <c r="M101" s="2" t="inlineStr">
        <is>
          <t>Clinic</t>
        </is>
      </c>
      <c r="N101" s="2" t="inlineStr">
        <is>
          <t>ข้อ 26 (PLE_CC1_Practice_Exam.md)</t>
        </is>
      </c>
      <c r="O101" s="2" t="n"/>
      <c r="P101" s="2" t="n"/>
    </row>
    <row r="102" ht="13.2" customHeight="1" s="49">
      <c r="A102" s="8" t="inlineStr">
        <is>
          <t>100</t>
        </is>
      </c>
      <c r="B102" s="2"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2" t="n"/>
      <c r="D102" s="2" t="inlineStr">
        <is>
          <t>ตาปลาเกิดจากการสวมรองเท้าที่ไม่พอดี</t>
        </is>
      </c>
      <c r="E102" s="2" t="inlineStr">
        <is>
          <t>ตาปลาเกิดจากการไม่ชอบสวมรองเท้าเดิน</t>
        </is>
      </c>
      <c r="F102" s="2" t="inlineStr">
        <is>
          <t>ตาปลาอาจเกิดได้จากรูปเท้าที่ผิดปกติ</t>
        </is>
      </c>
      <c r="G102" s="2" t="inlineStr">
        <is>
          <t>ตาปลาเกิดจากการติดเชื้อ ซึ่งมักเกิดตามมาหลังจากเป็นแผลที่เท้า</t>
        </is>
      </c>
      <c r="H102" s="2" t="inlineStr">
        <is>
          <t>ข้อที่กล่าวมาข้างต้นไม่มีข้อใดผิด</t>
        </is>
      </c>
      <c r="I102" s="8" t="n">
        <v>1</v>
      </c>
      <c r="J102" s="2"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102" s="2" t="n"/>
      <c r="L102" s="2" t="inlineStr">
        <is>
          <t>Oral contraceptive</t>
        </is>
      </c>
      <c r="M102" s="2" t="inlineStr">
        <is>
          <t>Clinic</t>
        </is>
      </c>
      <c r="N102" s="2" t="inlineStr">
        <is>
          <t>ข้อ 20 (PLE_CC1_Practice_Exam.md)</t>
        </is>
      </c>
      <c r="O102" s="2" t="n"/>
      <c r="P102" s="2" t="n"/>
    </row>
    <row r="103" ht="13.2" customHeight="1" s="49">
      <c r="A103" s="8" t="inlineStr">
        <is>
          <t>101</t>
        </is>
      </c>
      <c r="B103" s="2" t="inlineStr">
        <is>
          <t>จากข้อ 28 หากผู้ป่วยกำลังตั้งครรภ์ ควรได้รับการรักษาด้วยยาในข้อใด</t>
        </is>
      </c>
      <c r="C103" s="2" t="n"/>
      <c r="D103" s="2" t="inlineStr">
        <is>
          <t>1% Gamma-benzene hexachloride ข. 25 % Benzyl benzoate</t>
        </is>
      </c>
      <c r="E103" s="2" t="inlineStr">
        <is>
          <t>12.5 % Benzyl benzoate</t>
        </is>
      </c>
      <c r="F103" s="2" t="inlineStr">
        <is>
          <t>10 - 15% Precipitated sulfur</t>
        </is>
      </c>
      <c r="G103" s="2" t="inlineStr">
        <is>
          <t>5% Permethrin cream</t>
        </is>
      </c>
      <c r="H103" s="2" t="inlineStr">
        <is>
          <t>Dydrogesterone 10 mg BID</t>
        </is>
      </c>
      <c r="I103" s="8" t="n">
        <v>1</v>
      </c>
      <c r="J103" s="2"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2" t="n"/>
      <c r="L103" s="2" t="inlineStr">
        <is>
          <t>Oral contraceptive</t>
        </is>
      </c>
      <c r="M103" s="2" t="inlineStr">
        <is>
          <t>Clinic</t>
        </is>
      </c>
      <c r="N103" s="2" t="inlineStr">
        <is>
          <t>ข้อ 30 (PLE_CC1_Practice_Exam.md)</t>
        </is>
      </c>
      <c r="O103" s="2" t="n"/>
      <c r="P103" s="2" t="n"/>
    </row>
    <row r="104" ht="13.2" customHeight="1" s="49">
      <c r="A104" s="8" t="inlineStr">
        <is>
          <t>102</t>
        </is>
      </c>
      <c r="B104" s="2" t="inlineStr">
        <is>
          <t>ผู้ป่วยที่ตั้งครรภ์</t>
        </is>
      </c>
      <c r="C104" s="2" t="n"/>
      <c r="D104" s="2" t="inlineStr">
        <is>
          <t>Tolterodine 2 mg BID</t>
        </is>
      </c>
      <c r="E104" s="2" t="inlineStr">
        <is>
          <t>Dydrogesterone 10 mg BID</t>
        </is>
      </c>
      <c r="F104" s="2" t="inlineStr">
        <is>
          <t>Ethinylestradiol 30 mcg + Levonorgestrel 150 mcg</t>
        </is>
      </c>
      <c r="G104" s="2" t="inlineStr">
        <is>
          <t>Ethinylestradiol 30 mcg + Drospirenone 3 mg</t>
        </is>
      </c>
      <c r="H104" s="2" t="inlineStr">
        <is>
          <t>Ethinylestradiol 35 mcg + Cyproterone acetate 2 mg</t>
        </is>
      </c>
      <c r="I104" s="8" t="n">
        <v>1</v>
      </c>
      <c r="J104"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2" t="n"/>
      <c r="L104" s="2" t="inlineStr">
        <is>
          <t>Oral contraceptive</t>
        </is>
      </c>
      <c r="M104" s="2" t="inlineStr">
        <is>
          <t>Clinic</t>
        </is>
      </c>
      <c r="N104" s="2" t="inlineStr">
        <is>
          <t>ข้อ 5 (PLE_CC1_Practice_Exam.md)</t>
        </is>
      </c>
      <c r="O104" s="2" t="n"/>
      <c r="P104" s="2" t="n"/>
    </row>
    <row r="105" ht="13.2" customHeight="1" s="49">
      <c r="A105" s="8" t="inlineStr">
        <is>
          <t>103</t>
        </is>
      </c>
      <c r="B105" s="2" t="inlineStr">
        <is>
          <t>ข้อใดผิดเกี่ยวกับกลไกออกฤทธิ์ของยาคุมกำเนิด</t>
        </is>
      </c>
      <c r="C105" s="2" t="n"/>
      <c r="D105" s="2" t="inlineStr">
        <is>
          <t>Estrogen ยับยั้งการหลั่ง FSH กดการเจริญของ follicle</t>
        </is>
      </c>
      <c r="E105" s="2" t="inlineStr">
        <is>
          <t>Progesterone ยับยั้งการหลั่ง LH ทำให้ไม่เกิดการตกไข่</t>
        </is>
      </c>
      <c r="F105" s="2" t="inlineStr">
        <is>
          <t>Estrogen มีผลทำให้มูกที่ปากมดลูกข้นเหนียว ทำให้ sperm ผ่านได้ยาก</t>
        </is>
      </c>
      <c r="G105" s="2" t="inlineStr">
        <is>
          <t>ปริมาณของ hormone เพิ่มมากขึ้น มีผลต่อการ contraction ของ uterus และ fallopian tube</t>
        </is>
      </c>
      <c r="H105" s="2" t="inlineStr">
        <is>
          <t>ปริมาณ Estrogen และ Progesterone ไม่เหมาะสมต่อการฝังตัวของตัวอ่อน</t>
        </is>
      </c>
      <c r="I105" s="8" t="n">
        <v>1</v>
      </c>
      <c r="J105" s="2"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2" t="n"/>
      <c r="L105" s="2" t="inlineStr">
        <is>
          <t>Oral contraceptive</t>
        </is>
      </c>
      <c r="M105" s="2" t="inlineStr">
        <is>
          <t>Clinic</t>
        </is>
      </c>
      <c r="N105" s="2" t="inlineStr">
        <is>
          <t>ข้อ 7 (PLE_CC1_Practice_Exam.md)</t>
        </is>
      </c>
      <c r="O105" s="2" t="n"/>
      <c r="P105" s="2" t="n"/>
    </row>
    <row r="106" ht="13.2" customHeight="1" s="49">
      <c r="A106" s="8" t="inlineStr">
        <is>
          <t>104</t>
        </is>
      </c>
      <c r="B106" s="2" t="inlineStr">
        <is>
          <t>ยาคุมกำเนิดรับประทานขณะให้นมบุตร คือข้อใด</t>
        </is>
      </c>
      <c r="C106" s="2" t="n"/>
      <c r="D106" s="2" t="inlineStr">
        <is>
          <t>Lynestrenol</t>
        </is>
      </c>
      <c r="E106" s="2" t="inlineStr">
        <is>
          <t>Levonorgestrel</t>
        </is>
      </c>
      <c r="F106" s="2" t="inlineStr">
        <is>
          <t>Ethinyl estradiol + Levonorgestrel</t>
        </is>
      </c>
      <c r="G106" s="2" t="inlineStr">
        <is>
          <t>Ethinyl estradiol + Desogestrol</t>
        </is>
      </c>
      <c r="H106" s="2" t="inlineStr">
        <is>
          <t>Oxybutynin 5 mg BID</t>
        </is>
      </c>
      <c r="I106" s="8" t="n">
        <v>1</v>
      </c>
      <c r="J106" s="2"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2" t="n"/>
      <c r="L106" s="2" t="inlineStr">
        <is>
          <t>Oral contraceptive</t>
        </is>
      </c>
      <c r="M106" s="2" t="inlineStr">
        <is>
          <t>Clinic</t>
        </is>
      </c>
      <c r="N106" s="2" t="inlineStr">
        <is>
          <t>ข้อ 13 (PLE_CC1_Practice_Exam.md)</t>
        </is>
      </c>
      <c r="O106" s="2" t="n"/>
      <c r="P106" s="2" t="n"/>
    </row>
    <row r="107" ht="13.2" customHeight="1" s="49">
      <c r="A107" s="8" t="inlineStr">
        <is>
          <t>105</t>
        </is>
      </c>
      <c r="B107" s="2"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2" t="n"/>
      <c r="D107" s="2" t="inlineStr">
        <is>
          <t>ควรเลือกจ่าย POPs ก่อน COCs เพราะ POPs ไม่จำเป็นต้องกินยาให้ตรงเวลาเหมือน COCs</t>
        </is>
      </c>
      <c r="E107" s="2" t="inlineStr">
        <is>
          <t>สามารถเริ่มกินยาในวันใดก็ได้ ที่มั่นใจว่าไม่มีการตั้งครรภ์ และไม่ต้องมีการ Back Up</t>
        </is>
      </c>
      <c r="F107" s="2" t="inlineStr">
        <is>
          <t>เริ่มกินยาภายในไม่เกิน 5 วันแรกของการมีประจำเดือน และต้องทำการ Back Up 7 วัน</t>
        </is>
      </c>
      <c r="G107" s="2" t="inlineStr">
        <is>
          <t>กรณีลืมกินยา 1 เม็ด สามารถกินยาเม็ดที่ลืมทันทีที่นึกได้ แล้วกินเม็ดต่อไปได้ตามปกติ</t>
        </is>
      </c>
      <c r="H107" s="2"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107" s="8" t="n">
        <v>1</v>
      </c>
      <c r="J107" s="2"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107" s="2" t="n"/>
      <c r="L107" s="2" t="inlineStr">
        <is>
          <t>Oral contraceptive</t>
        </is>
      </c>
      <c r="M107" s="2" t="inlineStr">
        <is>
          <t>Clinic</t>
        </is>
      </c>
      <c r="N107" s="2" t="inlineStr">
        <is>
          <t>ข้อ 29 (PLE_CC1_Practice_Exam.md)</t>
        </is>
      </c>
      <c r="O107" s="2" t="n"/>
      <c r="P107" s="2" t="n"/>
    </row>
    <row r="108" ht="13.2" customHeight="1" s="49">
      <c r="A108" s="8" t="inlineStr">
        <is>
          <t>106</t>
        </is>
      </c>
      <c r="B108" s="2" t="inlineStr">
        <is>
          <t>ยาใดห้ำมให้ในหญิงตั้งครรภ์</t>
        </is>
      </c>
      <c r="C108" s="2" t="n"/>
      <c r="D108" s="2" t="inlineStr">
        <is>
          <t>Dydrogesterone 10 mg BID</t>
        </is>
      </c>
      <c r="E108" s="2" t="inlineStr">
        <is>
          <t>Ethinylestradiol 30 mcg + Levonorgestrel 150 mcg</t>
        </is>
      </c>
      <c r="F108" s="2" t="inlineStr">
        <is>
          <t>Ethinylestradiol 30 mcg + Drospirenone 3 mg</t>
        </is>
      </c>
      <c r="G108" s="2" t="inlineStr">
        <is>
          <t>Ethinylestradiol 35 mcg + Cyproterone acetate 2 mg</t>
        </is>
      </c>
      <c r="H108" s="2" t="inlineStr">
        <is>
          <t>Desogestrel 75 mcg OD (Progestin-only)</t>
        </is>
      </c>
      <c r="I108" s="8" t="n">
        <v>1</v>
      </c>
      <c r="J108"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2" t="n"/>
      <c r="L108" s="2" t="inlineStr">
        <is>
          <t>Oral contraceptive</t>
        </is>
      </c>
      <c r="M108" s="2" t="inlineStr">
        <is>
          <t>Clinic</t>
        </is>
      </c>
      <c r="N108" s="2" t="inlineStr">
        <is>
          <t>ข้อ 3 (PLE_CC1_Key_Rx20_UBU.md)</t>
        </is>
      </c>
      <c r="O108" s="2" t="n"/>
      <c r="P108" s="2" t="n"/>
    </row>
    <row r="109" ht="13.2" customHeight="1" s="49">
      <c r="A109" s="8" t="inlineStr">
        <is>
          <t>107</t>
        </is>
      </c>
      <c r="B109" s="2" t="inlineStr">
        <is>
          <t>ผู้หญิงต้องคุมกำเนิดตั้งแต่เดือนแรกที่ใช้ยา</t>
        </is>
      </c>
      <c r="C109" s="2" t="n"/>
      <c r="D109" s="2" t="inlineStr">
        <is>
          <t>Ethinylestradiol 35 mcg + Cyproterone acetate 2 mg</t>
        </is>
      </c>
      <c r="E109" s="2" t="inlineStr">
        <is>
          <t>Desogestrel 75 mcg OD (Progestin-only)</t>
        </is>
      </c>
      <c r="F109" s="2" t="inlineStr">
        <is>
          <t>Levonorgestrel 1.5 mg stat (Emergency)</t>
        </is>
      </c>
      <c r="G109" s="2" t="inlineStr">
        <is>
          <t>Mefenamic acid 500 mg TID</t>
        </is>
      </c>
      <c r="H109" s="2" t="inlineStr">
        <is>
          <t>Tamsulosin 0.4 mg HS</t>
        </is>
      </c>
      <c r="I109" s="8" t="n">
        <v>1</v>
      </c>
      <c r="J109"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2" t="n"/>
      <c r="L109" s="2" t="inlineStr">
        <is>
          <t>Oral contraceptive</t>
        </is>
      </c>
      <c r="M109" s="2" t="inlineStr">
        <is>
          <t>Clinic</t>
        </is>
      </c>
      <c r="N109" s="2" t="inlineStr">
        <is>
          <t>ข้อ 1 (PLE_CC1_Key_Rx20_UBU.md)</t>
        </is>
      </c>
      <c r="O109" s="2" t="n"/>
      <c r="P109" s="2" t="n"/>
    </row>
    <row r="110" ht="13.2" customHeight="1" s="49">
      <c r="A110" s="8" t="inlineStr">
        <is>
          <t>108</t>
        </is>
      </c>
      <c r="B110" s="2"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2" t="n"/>
      <c r="D110" s="2" t="inlineStr">
        <is>
          <t>Mefenamic acid 500 mg TID</t>
        </is>
      </c>
      <c r="E110" s="2" t="inlineStr">
        <is>
          <t>Tamsulosin 0.4 mg HS</t>
        </is>
      </c>
      <c r="F110" s="2" t="inlineStr">
        <is>
          <t>Finasteride 5 mg OD</t>
        </is>
      </c>
      <c r="G110" s="2" t="inlineStr">
        <is>
          <t>Oxybutynin 5 mg BID</t>
        </is>
      </c>
      <c r="H110" s="2" t="inlineStr">
        <is>
          <t>Tolterodine 2 mg BID</t>
        </is>
      </c>
      <c r="I110" s="8" t="n">
        <v>4</v>
      </c>
      <c r="J110" s="2"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2" t="n"/>
      <c r="L110" s="2" t="inlineStr">
        <is>
          <t>Oral contraceptive</t>
        </is>
      </c>
      <c r="M110" s="2" t="inlineStr">
        <is>
          <t>Clinic</t>
        </is>
      </c>
      <c r="N110" s="2" t="inlineStr">
        <is>
          <t>ข้อ 5 (PLE_CC1_Key_Rx20_UBU.md)</t>
        </is>
      </c>
      <c r="O110" s="2" t="n"/>
      <c r="P110" s="2" t="n"/>
    </row>
    <row r="111" ht="13.2" customHeight="1" s="49">
      <c r="A111" s="8" t="inlineStr">
        <is>
          <t>109</t>
        </is>
      </c>
      <c r="B111" s="2" t="inlineStr">
        <is>
          <t>เหตุใดจึงต้องระมัดระวังในการยาคุมกำเนิดที่มี Estrogen ให้กับหญิงที่อยู่ระหว่างให้นมบุตร</t>
        </is>
      </c>
      <c r="C111" s="2" t="n"/>
      <c r="D111" s="2" t="inlineStr">
        <is>
          <t>เนื่องจากยาอาจมีผลลดฮอร์โมน Prolactin</t>
        </is>
      </c>
      <c r="E111" s="2" t="inlineStr">
        <is>
          <t>เนื่องจากยาสามารถผ่านน้ำนมได้และอาจมีผลต่อตับของทารก</t>
        </is>
      </c>
      <c r="F111" s="2" t="inlineStr">
        <is>
          <t>Dydrogesterone 10 mg BID</t>
        </is>
      </c>
      <c r="G111" s="2" t="inlineStr">
        <is>
          <t>Ethinylestradiol 30 mcg + Levonorgestrel 150 mcg</t>
        </is>
      </c>
      <c r="H111" s="2" t="inlineStr">
        <is>
          <t>เนื่องจากในหญิงให้นมบุตรอาจทำให้เกิดเลือดออกกะปริบกะปรอยได้</t>
        </is>
      </c>
      <c r="I111" s="8" t="n">
        <v>1</v>
      </c>
      <c r="J111" s="2"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2" t="n"/>
      <c r="L111" s="2" t="inlineStr">
        <is>
          <t>Oral contraceptive</t>
        </is>
      </c>
      <c r="M111" s="2" t="inlineStr">
        <is>
          <t>Clinic</t>
        </is>
      </c>
      <c r="N111" s="2" t="inlineStr">
        <is>
          <t>ข้อ 2 (PLE_CC1_Key_Rx20_UBU.md)</t>
        </is>
      </c>
      <c r="O111" s="2" t="n"/>
      <c r="P111" s="2" t="n"/>
    </row>
    <row r="112" ht="13.2" customHeight="1" s="49">
      <c r="A112" s="8" t="inlineStr">
        <is>
          <t>110</t>
        </is>
      </c>
      <c r="B112" s="2" t="inlineStr">
        <is>
          <t>ผู้ป่วยที่มีภาวะใดมีห้ามใช้ฮอร์โมนที่ประกอบด้วย Estrogen</t>
        </is>
      </c>
      <c r="C112" s="2" t="n"/>
      <c r="D112" s="2" t="inlineStr">
        <is>
          <t>Ethinylestradiol 30 mcg + Levonorgestrel 150 mcg</t>
        </is>
      </c>
      <c r="E112" s="2" t="inlineStr">
        <is>
          <t>Ethinylestradiol 30 mcg + Drospirenone 3 mg</t>
        </is>
      </c>
      <c r="F112" s="2" t="inlineStr">
        <is>
          <t>ลมชัก</t>
        </is>
      </c>
      <c r="G112" s="2" t="inlineStr">
        <is>
          <t>มีภาวะลิ่มเลือดอุดตัน</t>
        </is>
      </c>
      <c r="H112" s="2" t="inlineStr">
        <is>
          <t>Levonorgestrel 1.5 mg stat (Emergency)</t>
        </is>
      </c>
      <c r="I112" s="8" t="n">
        <v>4</v>
      </c>
      <c r="J112" s="2"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2" t="n"/>
      <c r="L112" s="2" t="inlineStr">
        <is>
          <t>Hormonal replacement</t>
        </is>
      </c>
      <c r="M112" s="2" t="inlineStr">
        <is>
          <t>Clinic</t>
        </is>
      </c>
      <c r="N112" s="2" t="inlineStr">
        <is>
          <t>ข้อ 3 (PLE_CC1_Key_Rx20_UBU.md)</t>
        </is>
      </c>
      <c r="O112" s="2" t="n"/>
      <c r="P112" s="2" t="n"/>
    </row>
    <row r="113" ht="13.2" customHeight="1" s="49">
      <c r="A113" s="8" t="inlineStr">
        <is>
          <t>111</t>
        </is>
      </c>
      <c r="B113" s="2" t="inlineStr">
        <is>
          <t>ข้อดีของยาคุมกำเนิดในรูปแผ่นแปะที่แตกต่างจากยาคุมกำเนิดแบบรับประทานคือข้อใด</t>
        </is>
      </c>
      <c r="C113" s="2" t="n"/>
      <c r="D113" s="2" t="inlineStr">
        <is>
          <t>Patch ทำให้เกิดผลข้างเคียงได้น้อยกว่า oral contraceptive</t>
        </is>
      </c>
      <c r="E113" s="2" t="inlineStr">
        <is>
          <t>Patch ไม่ทำให้เกิดมะเร็งเต้านมเหมือน oral contraceptive</t>
        </is>
      </c>
      <c r="F113" s="2" t="inlineStr">
        <is>
          <t>Patch ลด first pass metabolism ของ oral contraceptive</t>
        </is>
      </c>
      <c r="G113" s="2" t="inlineStr">
        <is>
          <t>Tamsulosin 0.4 mg HS</t>
        </is>
      </c>
      <c r="H113" s="2" t="inlineStr">
        <is>
          <t>Finasteride 5 mg OD</t>
        </is>
      </c>
      <c r="I113" s="8" t="n">
        <v>3</v>
      </c>
      <c r="J113" s="2"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2" t="n"/>
      <c r="L113" s="2" t="inlineStr">
        <is>
          <t>Oral contraceptive</t>
        </is>
      </c>
      <c r="M113" s="2" t="inlineStr">
        <is>
          <t>Clinic</t>
        </is>
      </c>
      <c r="N113" s="2" t="inlineStr">
        <is>
          <t>ข้อ 9 (PLE_CC1_Key_Rx20_UBU.md)</t>
        </is>
      </c>
      <c r="O113" s="2" t="n"/>
      <c r="P113" s="2" t="n"/>
    </row>
    <row r="114" ht="13.2" customHeight="1" s="49">
      <c r="A114" s="8" t="inlineStr">
        <is>
          <t>112</t>
        </is>
      </c>
      <c r="B114" s="2" t="inlineStr">
        <is>
          <t>หากผู้ป่วย cystitis รายนี้กำลังตั้งครรภ์ด้วย ควรพิจารณายาใดให้แก่ผู้ป่วย</t>
        </is>
      </c>
      <c r="C114" s="2" t="n"/>
      <c r="D114" s="2" t="inlineStr">
        <is>
          <t>Tamsulosin 0.4 mg HS</t>
        </is>
      </c>
      <c r="E114" s="2" t="inlineStr">
        <is>
          <t>Finasteride 5 mg OD</t>
        </is>
      </c>
      <c r="F114" s="2" t="inlineStr">
        <is>
          <t>Oxybutynin 5 mg BID</t>
        </is>
      </c>
      <c r="G114" s="2" t="inlineStr">
        <is>
          <t>Tolterodine 2 mg BID</t>
        </is>
      </c>
      <c r="H114" s="2" t="inlineStr">
        <is>
          <t>Dydrogesterone 10 mg BID</t>
        </is>
      </c>
      <c r="I114" s="8" t="n">
        <v>1</v>
      </c>
      <c r="J114"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2" t="n"/>
      <c r="L114" s="2" t="inlineStr">
        <is>
          <t>Oral contraceptive</t>
        </is>
      </c>
      <c r="M114" s="2" t="inlineStr">
        <is>
          <t>Clinic</t>
        </is>
      </c>
      <c r="N114" s="2" t="inlineStr">
        <is>
          <t>ข้อ 7 (PLE_CC1_Key_Rx20_UBU.md)</t>
        </is>
      </c>
      <c r="O114" s="2" t="n"/>
      <c r="P114" s="2" t="n"/>
    </row>
    <row r="115" ht="13.2" customHeight="1" s="49">
      <c r="A115" s="8" t="inlineStr">
        <is>
          <t>113</t>
        </is>
      </c>
      <c r="B115" s="2"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2" t="n"/>
      <c r="D115" s="2" t="inlineStr">
        <is>
          <t>Tolterodine 2 mg BID</t>
        </is>
      </c>
      <c r="E115" s="2" t="inlineStr">
        <is>
          <t>Dydrogesterone 10 mg BID</t>
        </is>
      </c>
      <c r="F115" s="2" t="inlineStr">
        <is>
          <t>Ethinylestradiol 30 mcg + Levonorgestrel 150 mcg</t>
        </is>
      </c>
      <c r="G115" s="2" t="inlineStr">
        <is>
          <t>Ethinylestradiol 30 mcg + Drospirenone 3 mg</t>
        </is>
      </c>
      <c r="H115" s="2" t="inlineStr">
        <is>
          <t>Ethinylestradiol 35 mcg + Cyproterone acetate 2 mg</t>
        </is>
      </c>
      <c r="I115" s="8" t="n">
        <v>1</v>
      </c>
      <c r="J115"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2" t="n"/>
      <c r="L115" s="2" t="inlineStr">
        <is>
          <t>Oral contraceptive</t>
        </is>
      </c>
      <c r="M115" s="2" t="inlineStr">
        <is>
          <t>Clinic</t>
        </is>
      </c>
      <c r="N115" s="2" t="inlineStr">
        <is>
          <t>ข้อ 86 (PLE_CC1_Key_Rx20_UBU.md)</t>
        </is>
      </c>
      <c r="O115" s="2" t="n"/>
      <c r="P115" s="2" t="n"/>
    </row>
    <row r="116" ht="13.2" customHeight="1" s="49">
      <c r="A116" s="8" t="inlineStr">
        <is>
          <t>114</t>
        </is>
      </c>
      <c r="B116" s="2" t="inlineStr">
        <is>
          <t>ถ้าผู้ป่วยรายนี้ ซึ่งเป็นโรค psoriasis ตั้งครรภ์จะสามารถใช้ยาใดต่อไปนี้ได้</t>
        </is>
      </c>
      <c r="C116" s="2" t="n"/>
      <c r="D116" s="2" t="inlineStr">
        <is>
          <t>Ethinylestradiol 30 mcg + Drospirenone 3 mg</t>
        </is>
      </c>
      <c r="E116" s="2" t="inlineStr">
        <is>
          <t>Ethinylestradiol 35 mcg + Cyproterone acetate 2 mg</t>
        </is>
      </c>
      <c r="F116" s="2" t="inlineStr">
        <is>
          <t>Desogestrel 75 mcg OD (Progestin-only)</t>
        </is>
      </c>
      <c r="G116" s="2" t="inlineStr">
        <is>
          <t>Levonorgestrel 1.5 mg stat (Emergency)</t>
        </is>
      </c>
      <c r="H116" s="2" t="inlineStr">
        <is>
          <t>Mefenamic acid 500 mg TID</t>
        </is>
      </c>
      <c r="I116" s="8" t="n">
        <v>1</v>
      </c>
      <c r="J116"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2" t="n"/>
      <c r="L116" s="2" t="inlineStr">
        <is>
          <t>Oral contraceptive</t>
        </is>
      </c>
      <c r="M116" s="2" t="inlineStr">
        <is>
          <t>Clinic</t>
        </is>
      </c>
      <c r="N116" s="2" t="inlineStr">
        <is>
          <t>ข้อ 95 (PLE_CC1_Key_Rx20_UBU.md)</t>
        </is>
      </c>
      <c r="O116" s="2" t="n"/>
      <c r="P116" s="2" t="n"/>
    </row>
    <row r="117" ht="13.2" customHeight="1" s="49">
      <c r="A117" s="8" t="inlineStr">
        <is>
          <t>115</t>
        </is>
      </c>
      <c r="B117" s="2" t="inlineStr">
        <is>
          <t>ผู้หญิงวัยเจริญพันธุ์ไม่ต้องคุมกำเนิด</t>
        </is>
      </c>
      <c r="C117" s="2" t="n"/>
      <c r="D117" s="2" t="inlineStr">
        <is>
          <t>Levonorgestrel 1.5 mg stat (Emergency)</t>
        </is>
      </c>
      <c r="E117" s="2" t="inlineStr">
        <is>
          <t>Mefenamic acid 500 mg TID</t>
        </is>
      </c>
      <c r="F117" s="2" t="inlineStr">
        <is>
          <t>Tamsulosin 0.4 mg HS</t>
        </is>
      </c>
      <c r="G117" s="2" t="inlineStr">
        <is>
          <t>Finasteride 5 mg OD</t>
        </is>
      </c>
      <c r="H117" s="2" t="inlineStr">
        <is>
          <t>Oxybutynin 5 mg BID</t>
        </is>
      </c>
      <c r="I117" s="8" t="n">
        <v>1</v>
      </c>
      <c r="J117"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2" t="n"/>
      <c r="L117" s="2" t="inlineStr">
        <is>
          <t>Oral contraceptive</t>
        </is>
      </c>
      <c r="M117" s="2" t="inlineStr">
        <is>
          <t>Clinic</t>
        </is>
      </c>
      <c r="N117" s="2" t="inlineStr">
        <is>
          <t>ข้อ 1 (PLE_CC1_Key_Rx20_UBU.md)</t>
        </is>
      </c>
      <c r="O117" s="2" t="n"/>
      <c r="P117" s="2" t="n"/>
    </row>
    <row r="118" ht="13.2" customHeight="1" s="49">
      <c r="A118" s="8" t="inlineStr">
        <is>
          <t>116</t>
        </is>
      </c>
      <c r="B118" s="2" t="inlineStr">
        <is>
          <t>ไม่ต้องคุมกำเนิดในระหว่างการรับประทานยา</t>
        </is>
      </c>
      <c r="C118" s="2" t="n"/>
      <c r="D118" s="2" t="inlineStr">
        <is>
          <t>Finasteride 5 mg OD</t>
        </is>
      </c>
      <c r="E118" s="2" t="inlineStr">
        <is>
          <t>Oxybutynin 5 mg BID</t>
        </is>
      </c>
      <c r="F118" s="2" t="inlineStr">
        <is>
          <t>Tolterodine 2 mg BID</t>
        </is>
      </c>
      <c r="G118" s="2" t="inlineStr">
        <is>
          <t>Dydrogesterone 10 mg BID</t>
        </is>
      </c>
      <c r="H118" s="2" t="inlineStr">
        <is>
          <t>Ethinylestradiol 30 mcg + Levonorgestrel 150 mcg</t>
        </is>
      </c>
      <c r="I118" s="8" t="n">
        <v>1</v>
      </c>
      <c r="J118"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2" t="n"/>
      <c r="L118" s="2" t="inlineStr">
        <is>
          <t>Oral contraceptive</t>
        </is>
      </c>
      <c r="M118" s="2" t="inlineStr">
        <is>
          <t>Clinic</t>
        </is>
      </c>
      <c r="N118" s="2" t="inlineStr">
        <is>
          <t>ข้อ 1 (PLE_CC1_Key_Rx20_UBU.md)</t>
        </is>
      </c>
      <c r="O118" s="2" t="n"/>
      <c r="P118" s="2" t="n"/>
    </row>
    <row r="119" ht="13.2" customHeight="1" s="49">
      <c r="A119" s="8" t="inlineStr">
        <is>
          <t>117</t>
        </is>
      </c>
      <c r="B119" s="2" t="inlineStr">
        <is>
          <t>ไม่ต้องคุมกำเนิดก่อน แต่คุมระหว่างได้รับยา</t>
        </is>
      </c>
      <c r="C119" s="2" t="n"/>
      <c r="D119" s="2" t="inlineStr">
        <is>
          <t>Dydrogesterone 10 mg BID</t>
        </is>
      </c>
      <c r="E119" s="2" t="inlineStr">
        <is>
          <t>Ethinylestradiol 30 mcg + Levonorgestrel 150 mcg</t>
        </is>
      </c>
      <c r="F119" s="2" t="inlineStr">
        <is>
          <t>Ethinylestradiol 30 mcg + Drospirenone 3 mg</t>
        </is>
      </c>
      <c r="G119" s="2" t="inlineStr">
        <is>
          <t>Ethinylestradiol 35 mcg + Cyproterone acetate 2 mg</t>
        </is>
      </c>
      <c r="H119" s="2" t="inlineStr">
        <is>
          <t>Desogestrel 75 mcg OD (Progestin-only)</t>
        </is>
      </c>
      <c r="I119" s="8" t="n">
        <v>1</v>
      </c>
      <c r="J119"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2" t="n"/>
      <c r="L119" s="2" t="inlineStr">
        <is>
          <t>Oral contraceptive</t>
        </is>
      </c>
      <c r="M119" s="2" t="inlineStr">
        <is>
          <t>Clinic</t>
        </is>
      </c>
      <c r="N119" s="2" t="inlineStr">
        <is>
          <t>ข้อ 2 (PLE_CC1_Key_Rx20_UBU.md)</t>
        </is>
      </c>
      <c r="O119" s="2" t="n"/>
      <c r="P119" s="2" t="n"/>
    </row>
    <row r="120" ht="13.2" customHeight="1" s="49">
      <c r="A120" s="8" t="inlineStr">
        <is>
          <t>118</t>
        </is>
      </c>
      <c r="B120" s="2" t="inlineStr">
        <is>
          <t>คุมกำเนิดก่อนใช้ยา 1 เดือน และระหว่างใช้ยา</t>
        </is>
      </c>
      <c r="C120" s="2" t="n"/>
      <c r="D120" s="2" t="inlineStr">
        <is>
          <t>Ethinylestradiol 35 mcg + Cyproterone acetate 2 mg</t>
        </is>
      </c>
      <c r="E120" s="2" t="inlineStr">
        <is>
          <t>Desogestrel 75 mcg OD (Progestin-only)</t>
        </is>
      </c>
      <c r="F120" s="2" t="inlineStr">
        <is>
          <t>Levonorgestrel 1.5 mg stat (Emergency)</t>
        </is>
      </c>
      <c r="G120" s="2" t="inlineStr">
        <is>
          <t>Mefenamic acid 500 mg TID</t>
        </is>
      </c>
      <c r="H120" s="2" t="inlineStr">
        <is>
          <t>Tamsulosin 0.4 mg HS</t>
        </is>
      </c>
      <c r="I120" s="8" t="n">
        <v>1</v>
      </c>
      <c r="J120"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2" t="n"/>
      <c r="L120" s="2" t="inlineStr">
        <is>
          <t>Oral contraceptive</t>
        </is>
      </c>
      <c r="M120" s="2" t="inlineStr">
        <is>
          <t>Clinic</t>
        </is>
      </c>
      <c r="N120" s="2" t="inlineStr">
        <is>
          <t>ข้อ 3 (PLE_CC1_Key_Rx20_UBU.md)</t>
        </is>
      </c>
      <c r="O120" s="2" t="n"/>
      <c r="P120" s="2" t="n"/>
    </row>
    <row r="121" ht="13.2" customHeight="1" s="49">
      <c r="A121" s="8" t="inlineStr">
        <is>
          <t>119</t>
        </is>
      </c>
      <c r="B121" s="2" t="inlineStr">
        <is>
          <t>คุมกำเนิดก่อนใช้ยา 1 เดือน และหลังใช้ยา 3 เดือน</t>
        </is>
      </c>
      <c r="C121" s="2" t="n"/>
      <c r="D121" s="2" t="inlineStr">
        <is>
          <t>Mefenamic acid 500 mg TID</t>
        </is>
      </c>
      <c r="E121" s="2" t="inlineStr">
        <is>
          <t>Tamsulosin 0.4 mg HS</t>
        </is>
      </c>
      <c r="F121" s="2" t="inlineStr">
        <is>
          <t>Finasteride 5 mg OD</t>
        </is>
      </c>
      <c r="G121" s="2" t="inlineStr">
        <is>
          <t>Oxybutynin 5 mg BID</t>
        </is>
      </c>
      <c r="H121" s="2" t="inlineStr">
        <is>
          <t>Tolterodine 2 mg BID</t>
        </is>
      </c>
      <c r="I121" s="8" t="n">
        <v>1</v>
      </c>
      <c r="J121"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2" t="n"/>
      <c r="L121" s="2" t="inlineStr">
        <is>
          <t>Oral contraceptive</t>
        </is>
      </c>
      <c r="M121" s="2" t="inlineStr">
        <is>
          <t>Clinic</t>
        </is>
      </c>
      <c r="N121" s="2" t="inlineStr">
        <is>
          <t>ข้อ 4 (PLE_CC1_Key_Rx20_UBU.md)</t>
        </is>
      </c>
      <c r="O121" s="2" t="n"/>
      <c r="P121" s="2" t="n"/>
    </row>
    <row r="122" ht="13.2" customHeight="1" s="49">
      <c r="A122" s="8" t="inlineStr">
        <is>
          <t>120</t>
        </is>
      </c>
      <c r="B122" s="2" t="inlineStr">
        <is>
          <t>คุมกำเนิดก่อนใช้ยา 1 เดือน ระหว่างใช้ยา และหลังใช้ยา 1 เดือน</t>
        </is>
      </c>
      <c r="C122" s="2" t="n"/>
      <c r="D122" s="2" t="inlineStr">
        <is>
          <t>Oxybutynin 5 mg BID</t>
        </is>
      </c>
      <c r="E122" s="2" t="inlineStr">
        <is>
          <t>Tolterodine 2 mg BID</t>
        </is>
      </c>
      <c r="F122" s="2" t="inlineStr">
        <is>
          <t>Dydrogesterone 10 mg BID</t>
        </is>
      </c>
      <c r="G122" s="2" t="inlineStr">
        <is>
          <t>Ethinylestradiol 30 mcg + Levonorgestrel 150 mcg</t>
        </is>
      </c>
      <c r="H122" s="2" t="inlineStr">
        <is>
          <t>Ethinylestradiol 30 mcg + Drospirenone 3 mg</t>
        </is>
      </c>
      <c r="I122" s="8" t="n">
        <v>1</v>
      </c>
      <c r="J122"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2" t="n"/>
      <c r="L122" s="2" t="inlineStr">
        <is>
          <t>Oral contraceptive</t>
        </is>
      </c>
      <c r="M122" s="2" t="inlineStr">
        <is>
          <t>Clinic</t>
        </is>
      </c>
      <c r="N122" s="2" t="inlineStr">
        <is>
          <t>ข้อ 5 (PLE_CC1_Key_Rx20_UBU.md)</t>
        </is>
      </c>
      <c r="O122" s="2" t="n"/>
      <c r="P122" s="2" t="n"/>
    </row>
    <row r="123" ht="13.2" customHeight="1" s="49">
      <c r="A123" s="8" t="inlineStr">
        <is>
          <t>121</t>
        </is>
      </c>
      <c r="B123" s="2"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2" t="n"/>
      <c r="D123" s="2" t="inlineStr">
        <is>
          <t>Ethinylestradiol 30 mcg + Levonorgestrel 150 mcg</t>
        </is>
      </c>
      <c r="E123" s="2" t="inlineStr">
        <is>
          <t>Ethinylestradiol 30 mcg + Drospirenone 3 mg</t>
        </is>
      </c>
      <c r="F123" s="2" t="inlineStr">
        <is>
          <t>Ethinylestradiol 35 mcg + Cyproterone acetate 2 mg</t>
        </is>
      </c>
      <c r="G123" s="2" t="inlineStr">
        <is>
          <t>Desogestrel 75 mcg OD (Progestin-only)</t>
        </is>
      </c>
      <c r="H123" s="2" t="inlineStr">
        <is>
          <t>Levonorgestrel 1.5 mg stat (Emergency)</t>
        </is>
      </c>
      <c r="I123" s="8" t="n">
        <v>1</v>
      </c>
      <c r="J123"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2" t="n"/>
      <c r="L123" s="2" t="inlineStr">
        <is>
          <t>Oral contraceptive</t>
        </is>
      </c>
      <c r="M123" s="2" t="inlineStr">
        <is>
          <t>Clinic</t>
        </is>
      </c>
      <c r="N123" s="2" t="inlineStr">
        <is>
          <t>ข้อ 5 (PLE_CC1_Key_Rx20_UBU.md)</t>
        </is>
      </c>
      <c r="O123" s="2" t="n"/>
      <c r="P123" s="2" t="n"/>
    </row>
    <row r="124" ht="13.2" customHeight="1" s="49">
      <c r="A124" s="8" t="inlineStr">
        <is>
          <t>122</t>
        </is>
      </c>
      <c r="B124" s="2" t="inlineStr">
        <is>
          <t>วิธีการคุมกำเนิดใดเหมาะสมกับผู้ป่วยรายนี้ - ._</t>
        </is>
      </c>
      <c r="C124" s="2" t="n"/>
      <c r="D124" s="2" t="inlineStr">
        <is>
          <t>Desogestrel 75 mcg OD (Progestin-only)</t>
        </is>
      </c>
      <c r="E124" s="2" t="inlineStr">
        <is>
          <t>Levonorgestrel 1.5 mg stat (Emergency)</t>
        </is>
      </c>
      <c r="F124" s="2" t="inlineStr">
        <is>
          <t>Mefenamic acid 500 mg TID</t>
        </is>
      </c>
      <c r="G124" s="2" t="inlineStr">
        <is>
          <t>Tamsulosin 0.4 mg HS</t>
        </is>
      </c>
      <c r="H124" s="2" t="inlineStr">
        <is>
          <t>Finasteride 5 mg OD</t>
        </is>
      </c>
      <c r="I124" s="8" t="n">
        <v>1</v>
      </c>
      <c r="J124"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2" t="n"/>
      <c r="L124" s="2" t="inlineStr">
        <is>
          <t>Oral contraceptive</t>
        </is>
      </c>
      <c r="M124" s="2" t="inlineStr">
        <is>
          <t>Clinic</t>
        </is>
      </c>
      <c r="N124" s="2" t="inlineStr">
        <is>
          <t>ข้อ 76 (PLE_CC1_Key_Rx20_UBU.md)</t>
        </is>
      </c>
      <c r="O124" s="2" t="n"/>
      <c r="P124" s="2" t="n"/>
    </row>
    <row r="125" ht="13.2" customHeight="1" s="49">
      <c r="A125" s="8" t="inlineStr">
        <is>
          <t>123</t>
        </is>
      </c>
      <c r="B125" s="2" t="inlineStr">
        <is>
          <t>ถ้าผู้ป่วยตัดสินใจเลือกยาคุมแบบรับประทาน ยาคุมชนิดใดที่เหมาะสมกับผู้ป่วยรายนี้</t>
        </is>
      </c>
      <c r="C125" s="2" t="n"/>
      <c r="D125" s="2" t="inlineStr">
        <is>
          <t>Tamsulosin 0.4 mg HS</t>
        </is>
      </c>
      <c r="E125" s="2" t="inlineStr">
        <is>
          <t>Finasteride 5 mg OD</t>
        </is>
      </c>
      <c r="F125" s="2" t="inlineStr">
        <is>
          <t>Oxybutynin 5 mg BID</t>
        </is>
      </c>
      <c r="G125" s="2" t="inlineStr">
        <is>
          <t>Tolterodine 2 mg BID</t>
        </is>
      </c>
      <c r="H125" s="2" t="inlineStr">
        <is>
          <t>Dydrogesterone 10 mg BID</t>
        </is>
      </c>
      <c r="I125" s="8" t="n">
        <v>1</v>
      </c>
      <c r="J125"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2" t="n"/>
      <c r="L125" s="2" t="inlineStr">
        <is>
          <t>Oral contraceptive</t>
        </is>
      </c>
      <c r="M125" s="2" t="inlineStr">
        <is>
          <t>Clinic</t>
        </is>
      </c>
      <c r="N125" s="2" t="inlineStr">
        <is>
          <t>ข้อ 77 (PLE_CC1_Key_Rx20_UBU.md)</t>
        </is>
      </c>
      <c r="O125" s="2" t="n"/>
      <c r="P125" s="2" t="n"/>
    </row>
    <row r="126" ht="13.2" customHeight="1" s="49">
      <c r="A126" s="8" t="inlineStr">
        <is>
          <t>124</t>
        </is>
      </c>
      <c r="B126" s="2" t="inlineStr">
        <is>
          <t>EE 30 + drospirenone</t>
        </is>
      </c>
      <c r="C126" s="2" t="n"/>
      <c r="D126" s="2" t="inlineStr">
        <is>
          <t>Tolterodine 2 mg BID</t>
        </is>
      </c>
      <c r="E126" s="2" t="inlineStr">
        <is>
          <t>Dydrogesterone 10 mg BID</t>
        </is>
      </c>
      <c r="F126" s="2" t="inlineStr">
        <is>
          <t>Ethinylestradiol 30 mcg + Levonorgestrel 150 mcg</t>
        </is>
      </c>
      <c r="G126" s="2" t="inlineStr">
        <is>
          <t>Ethinylestradiol 30 mcg + Drospirenone 3 mg</t>
        </is>
      </c>
      <c r="H126" s="2" t="inlineStr">
        <is>
          <t>Ethinylestradiol 35 mcg + Cyproterone acetate 2 mg</t>
        </is>
      </c>
      <c r="I126" s="8" t="n">
        <v>1</v>
      </c>
      <c r="J126"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2" t="n"/>
      <c r="L126" s="2" t="inlineStr">
        <is>
          <t>Oral contraceptive</t>
        </is>
      </c>
      <c r="M126" s="2" t="inlineStr">
        <is>
          <t>Clinic</t>
        </is>
      </c>
      <c r="N126" s="2" t="inlineStr">
        <is>
          <t>ข้อ 3 (PLE_CC1_Key_Rx20_UBU.md)</t>
        </is>
      </c>
      <c r="O126" s="2" t="n"/>
      <c r="P126" s="2" t="n"/>
    </row>
    <row r="127" ht="13.2" customHeight="1" s="49">
      <c r="A127" s="8" t="inlineStr">
        <is>
          <t>125</t>
        </is>
      </c>
      <c r="B127" s="2" t="inlineStr">
        <is>
          <t>EE 30 + Levonorgestrel</t>
        </is>
      </c>
      <c r="C127" s="2" t="n"/>
      <c r="D127" s="2" t="inlineStr">
        <is>
          <t>Ethinylestradiol 30 mcg + Drospirenone 3 mg</t>
        </is>
      </c>
      <c r="E127" s="2" t="inlineStr">
        <is>
          <t>Ethinylestradiol 35 mcg + Cyproterone acetate 2 mg</t>
        </is>
      </c>
      <c r="F127" s="2" t="inlineStr">
        <is>
          <t>Desogestrel 75 mcg OD (Progestin-only)</t>
        </is>
      </c>
      <c r="G127" s="2" t="inlineStr">
        <is>
          <t>Levonorgestrel 1.5 mg stat (Emergency)</t>
        </is>
      </c>
      <c r="H127" s="2" t="inlineStr">
        <is>
          <t>Mefenamic acid 500 mg TID</t>
        </is>
      </c>
      <c r="I127" s="8" t="n">
        <v>1</v>
      </c>
      <c r="J127"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2" t="n"/>
      <c r="L127" s="2" t="inlineStr">
        <is>
          <t>Oral contraceptive</t>
        </is>
      </c>
      <c r="M127" s="2" t="inlineStr">
        <is>
          <t>Clinic</t>
        </is>
      </c>
      <c r="N127" s="2" t="inlineStr">
        <is>
          <t>ข้อ 4 (PLE_CC1_Key_Rx20_UBU.md)</t>
        </is>
      </c>
      <c r="O127" s="2" t="n"/>
      <c r="P127" s="2" t="n"/>
    </row>
    <row r="128" ht="13.2" customHeight="1" s="49">
      <c r="A128" s="8" t="inlineStr">
        <is>
          <t>126</t>
        </is>
      </c>
      <c r="B128" s="2" t="inlineStr">
        <is>
          <t>คำแนะนำในการใช้ยาคุมกำเนิด ในเรื่องของอาการไม่พึงประสงค์คือข้อใด</t>
        </is>
      </c>
      <c r="C128" s="2" t="n"/>
      <c r="D128" s="2" t="inlineStr">
        <is>
          <t>Levonorgestrel 1.5 mg stat (Emergency)</t>
        </is>
      </c>
      <c r="E128" s="2" t="inlineStr">
        <is>
          <t>Mefenamic acid 500 mg TID</t>
        </is>
      </c>
      <c r="F128" s="2" t="inlineStr">
        <is>
          <t>Tamsulosin 0.4 mg HS</t>
        </is>
      </c>
      <c r="G128" s="2" t="inlineStr">
        <is>
          <t>Finasteride 5 mg OD</t>
        </is>
      </c>
      <c r="H128" s="2" t="inlineStr">
        <is>
          <t>Oxybutynin 5 mg BID</t>
        </is>
      </c>
      <c r="I128" s="8" t="n">
        <v>1</v>
      </c>
      <c r="J128"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2" t="n"/>
      <c r="L128" s="2" t="inlineStr">
        <is>
          <t>Oral contraceptive</t>
        </is>
      </c>
      <c r="M128" s="2" t="inlineStr">
        <is>
          <t>Clinic</t>
        </is>
      </c>
      <c r="N128" s="2" t="inlineStr">
        <is>
          <t>ข้อ 78 (PLE_CC1_Key_Rx20_UBU.md)</t>
        </is>
      </c>
      <c r="O128" s="2" t="n"/>
      <c r="P128" s="2" t="n"/>
    </row>
    <row r="129" ht="13.2" customHeight="1" s="49">
      <c r="A129" s="8" t="inlineStr">
        <is>
          <t>127</t>
        </is>
      </c>
      <c r="B129" s="2" t="inlineStr">
        <is>
          <t>หากมีประจำเดือนมากผิดปกติ ให้แจ้งเพื่อปรับขนาดยาให้มี Estrogen ที่สูงขึ้น</t>
        </is>
      </c>
      <c r="C129" s="2" t="n"/>
      <c r="D129" s="2" t="inlineStr">
        <is>
          <t>Finasteride 5 mg OD</t>
        </is>
      </c>
      <c r="E129" s="2" t="inlineStr">
        <is>
          <t>Oxybutynin 5 mg BID</t>
        </is>
      </c>
      <c r="F129" s="2" t="inlineStr">
        <is>
          <t>Tolterodine 2 mg BID</t>
        </is>
      </c>
      <c r="G129" s="2" t="inlineStr">
        <is>
          <t>Dydrogesterone 10 mg BID</t>
        </is>
      </c>
      <c r="H129" s="2" t="inlineStr">
        <is>
          <t>Ethinylestradiol 30 mcg + Levonorgestrel 150 mcg</t>
        </is>
      </c>
      <c r="I129" s="8" t="n">
        <v>1</v>
      </c>
      <c r="J129"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2" t="n"/>
      <c r="L129" s="2" t="inlineStr">
        <is>
          <t>Hormonal replacement</t>
        </is>
      </c>
      <c r="M129" s="2" t="inlineStr">
        <is>
          <t>Clinic</t>
        </is>
      </c>
      <c r="N129" s="2" t="inlineStr">
        <is>
          <t>ข้อ 3 (PLE_CC1_Key_Rx20_UBU.md)</t>
        </is>
      </c>
      <c r="O129" s="2" t="n"/>
      <c r="P129" s="2" t="n"/>
    </row>
    <row r="130" ht="13.2" customHeight="1" s="49">
      <c r="A130" s="8" t="inlineStr">
        <is>
          <t>128</t>
        </is>
      </c>
      <c r="B130" s="2" t="inlineStr">
        <is>
          <t>หากผู้ป่วยใช้ยาคุมกำเนิดชนิด EE 30 าg แล้วลืมกินไป 2 เม็ดจะต้องให้คำแนะนำแก่ผู้ป่วยอย่างไร -</t>
        </is>
      </c>
      <c r="C130" s="2" t="n"/>
      <c r="D130" s="2" t="inlineStr">
        <is>
          <t>Dydrogesterone 10 mg BID</t>
        </is>
      </c>
      <c r="E130" s="2" t="inlineStr">
        <is>
          <t>Ethinylestradiol 30 mcg + Levonorgestrel 150 mcg</t>
        </is>
      </c>
      <c r="F130" s="2" t="inlineStr">
        <is>
          <t>Ethinylestradiol 30 mcg + Drospirenone 3 mg</t>
        </is>
      </c>
      <c r="G130" s="2" t="inlineStr">
        <is>
          <t>Ethinylestradiol 35 mcg + Cyproterone acetate 2 mg</t>
        </is>
      </c>
      <c r="H130" s="2" t="inlineStr">
        <is>
          <t>Desogestrel 75 mcg OD (Progestin-only)</t>
        </is>
      </c>
      <c r="I130" s="8" t="n">
        <v>1</v>
      </c>
      <c r="J130"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2" t="n"/>
      <c r="L130" s="2" t="inlineStr">
        <is>
          <t>Oral contraceptive</t>
        </is>
      </c>
      <c r="M130" s="2" t="inlineStr">
        <is>
          <t>Clinic</t>
        </is>
      </c>
      <c r="N130" s="2" t="inlineStr">
        <is>
          <t>ข้อ 79 (PLE_CC1_Key_Rx20_UBU.md)</t>
        </is>
      </c>
      <c r="O130" s="2" t="n"/>
      <c r="P130" s="2" t="n"/>
    </row>
    <row r="131" ht="13.2" customHeight="1" s="49">
      <c r="A131" s="8" t="inlineStr">
        <is>
          <t>129</t>
        </is>
      </c>
      <c r="B131" s="2" t="inlineStr">
        <is>
          <t>ให้กิน 2 เม็ดทันที แล้วกินต่อตามปกติและใช้การคุมกำเนิดวิธีอื่นร่วมด้วย</t>
        </is>
      </c>
      <c r="C131" s="2" t="n"/>
      <c r="D131" s="2" t="inlineStr">
        <is>
          <t>Ethinylestradiol 35 mcg + Cyproterone acetate 2 mg</t>
        </is>
      </c>
      <c r="E131" s="2" t="inlineStr">
        <is>
          <t>Desogestrel 75 mcg OD (Progestin-only)</t>
        </is>
      </c>
      <c r="F131" s="2" t="inlineStr">
        <is>
          <t>Levonorgestrel 1.5 mg stat (Emergency)</t>
        </is>
      </c>
      <c r="G131" s="2" t="inlineStr">
        <is>
          <t>Mefenamic acid 500 mg TID</t>
        </is>
      </c>
      <c r="H131" s="2" t="inlineStr">
        <is>
          <t>Tamsulosin 0.4 mg HS</t>
        </is>
      </c>
      <c r="I131" s="8" t="n">
        <v>1</v>
      </c>
      <c r="J131"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2" t="n"/>
      <c r="L131" s="2" t="inlineStr">
        <is>
          <t>Oral contraceptive</t>
        </is>
      </c>
      <c r="M131" s="2" t="inlineStr">
        <is>
          <t>Clinic</t>
        </is>
      </c>
      <c r="N131" s="2" t="inlineStr">
        <is>
          <t>ข้อ 1 (PLE_CC1_Key_Rx20_UBU.md)</t>
        </is>
      </c>
      <c r="O131" s="2" t="n"/>
      <c r="P131" s="2" t="n"/>
    </row>
    <row r="132" ht="13.2" customHeight="1" s="49">
      <c r="A132" s="8" t="inlineStr">
        <is>
          <t>130</t>
        </is>
      </c>
      <c r="B132" s="2" t="inlineStr">
        <is>
          <t>ให้กินยาวันละ 2 เม็ด เป็นเวลา 2 วัน แล้วกินต่อตามปกติและใช้การคุมกำเนิดวิธีอื่นร่วม</t>
        </is>
      </c>
      <c r="C132" s="2" t="n"/>
      <c r="D132" s="2" t="inlineStr">
        <is>
          <t>Mefenamic acid 500 mg TID</t>
        </is>
      </c>
      <c r="E132" s="2" t="inlineStr">
        <is>
          <t>Tamsulosin 0.4 mg HS</t>
        </is>
      </c>
      <c r="F132" s="2" t="inlineStr">
        <is>
          <t>Finasteride 5 mg OD</t>
        </is>
      </c>
      <c r="G132" s="2" t="inlineStr">
        <is>
          <t>Oxybutynin 5 mg BID</t>
        </is>
      </c>
      <c r="H132" s="2" t="inlineStr">
        <is>
          <t>Tolterodine 2 mg BID</t>
        </is>
      </c>
      <c r="I132" s="8" t="n">
        <v>1</v>
      </c>
      <c r="J132"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2" t="n"/>
      <c r="L132" s="2" t="inlineStr">
        <is>
          <t>Oral contraceptive</t>
        </is>
      </c>
      <c r="M132" s="2" t="inlineStr">
        <is>
          <t>Clinic</t>
        </is>
      </c>
      <c r="N132" s="2" t="inlineStr">
        <is>
          <t>ข้อ 2 (PLE_CC1_Key_Rx20_UBU.md)</t>
        </is>
      </c>
      <c r="O132" s="2" t="n"/>
      <c r="P132" s="2" t="n"/>
    </row>
    <row r="133" ht="13.2" customHeight="1" s="49">
      <c r="A133" s="8" t="inlineStr">
        <is>
          <t>131</t>
        </is>
      </c>
      <c r="B133" s="2" t="inlineStr">
        <is>
          <t>ให้กินยาคุมกำเนิดฉุกเฉินทันที</t>
        </is>
      </c>
      <c r="C133" s="2" t="n"/>
      <c r="D133" s="2" t="inlineStr">
        <is>
          <t>Oxybutynin 5 mg BID</t>
        </is>
      </c>
      <c r="E133" s="2" t="inlineStr">
        <is>
          <t>Tolterodine 2 mg BID</t>
        </is>
      </c>
      <c r="F133" s="2" t="inlineStr">
        <is>
          <t>Dydrogesterone 10 mg BID</t>
        </is>
      </c>
      <c r="G133" s="2" t="inlineStr">
        <is>
          <t>Ethinylestradiol 30 mcg + Levonorgestrel 150 mcg</t>
        </is>
      </c>
      <c r="H133" s="2" t="inlineStr">
        <is>
          <t>Ethinylestradiol 30 mcg + Drospirenone 3 mg</t>
        </is>
      </c>
      <c r="I133" s="8" t="n">
        <v>1</v>
      </c>
      <c r="J133"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2" t="n"/>
      <c r="L133" s="2" t="inlineStr">
        <is>
          <t>Oral contraceptive</t>
        </is>
      </c>
      <c r="M133" s="2" t="inlineStr">
        <is>
          <t>Clinic</t>
        </is>
      </c>
      <c r="N133" s="2" t="inlineStr">
        <is>
          <t>ข้อ 3 (PLE_CC1_Key_Rx20_UBU.md)</t>
        </is>
      </c>
      <c r="O133" s="2" t="n"/>
      <c r="P133" s="2" t="n"/>
    </row>
    <row r="134" ht="13.2" customHeight="1" s="49">
      <c r="A134" s="8" t="inlineStr">
        <is>
          <t>132</t>
        </is>
      </c>
      <c r="B134" s="2"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2" t="n"/>
      <c r="D134" s="2" t="inlineStr">
        <is>
          <t>Ethinylestradiol 30 mcg + Levonorgestrel 150 mcg</t>
        </is>
      </c>
      <c r="E134" s="2" t="inlineStr">
        <is>
          <t>Ethinylestradiol 30 mcg + Drospirenone 3 mg</t>
        </is>
      </c>
      <c r="F134" s="2" t="inlineStr">
        <is>
          <t>Ethinylestradiol 35 mcg + Cyproterone acetate 2 mg</t>
        </is>
      </c>
      <c r="G134" s="2" t="inlineStr">
        <is>
          <t>Desogestrel 75 mcg OD (Progestin-only)</t>
        </is>
      </c>
      <c r="H134" s="2" t="inlineStr">
        <is>
          <t>Levonorgestrel 1.5 mg stat (Emergency)</t>
        </is>
      </c>
      <c r="I134" s="8" t="n">
        <v>1</v>
      </c>
      <c r="J134"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2" t="n"/>
      <c r="L134" s="2" t="inlineStr">
        <is>
          <t>Oral contraceptive</t>
        </is>
      </c>
      <c r="M134" s="2" t="inlineStr">
        <is>
          <t>Clinic</t>
        </is>
      </c>
      <c r="N134" s="2" t="inlineStr">
        <is>
          <t>ข้อ 5 (PLE_CC1_Key_Rx20_UBU.md)</t>
        </is>
      </c>
      <c r="O134" s="2" t="n"/>
      <c r="P134" s="2" t="n"/>
    </row>
    <row r="135" ht="13.2" customHeight="1" s="49">
      <c r="A135" s="8" t="inlineStr">
        <is>
          <t>133</t>
        </is>
      </c>
      <c r="B135" s="2" t="inlineStr">
        <is>
          <t>ยาใดมีอันตรกิริยากับยาคุมกำเนิดอย่างมีนัยสำคัญทางคลินิก ๐ และใhการsมtเuดvนwวมxายาyน -</t>
        </is>
      </c>
      <c r="C135" s="2" t="n"/>
      <c r="D135" s="2" t="inlineStr">
        <is>
          <t>Desogestrel 75 mcg OD (Progestin-only)</t>
        </is>
      </c>
      <c r="E135" s="2" t="inlineStr">
        <is>
          <t>Levonorgestrel 1.5 mg stat (Emergency)</t>
        </is>
      </c>
      <c r="F135" s="2" t="inlineStr">
        <is>
          <t>Mefenamic acid 500 mg TID</t>
        </is>
      </c>
      <c r="G135" s="2" t="inlineStr">
        <is>
          <t>Tamsulosin 0.4 mg HS</t>
        </is>
      </c>
      <c r="H135" s="2" t="inlineStr">
        <is>
          <t>Finasteride 5 mg OD</t>
        </is>
      </c>
      <c r="I135" s="8" t="n">
        <v>1</v>
      </c>
      <c r="J135"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2" t="n"/>
      <c r="L135" s="2" t="inlineStr">
        <is>
          <t>Oral contraceptive</t>
        </is>
      </c>
      <c r="M135" s="2" t="inlineStr">
        <is>
          <t>Clinic</t>
        </is>
      </c>
      <c r="N135" s="2" t="inlineStr">
        <is>
          <t>ข้อ 80 (PLE_CC1_Key_Rx20_UBU.md)</t>
        </is>
      </c>
      <c r="O135" s="2" t="n"/>
      <c r="P135" s="2" t="n"/>
    </row>
    <row r="136" ht="13.2" customHeight="1" s="49">
      <c r="A136" s="8" t="inlineStr">
        <is>
          <t>134</t>
        </is>
      </c>
      <c r="B136" s="2" t="inlineStr">
        <is>
          <t>Metronidazole ตอบ 4. Rifampicin ผ่าน CYP 2C9 inducer เพิ่มการ metabolism ของยาคุมกำเนิด ทำให้ลด efficacy ของยาคุมกำเนิดลง - -0</t>
        </is>
      </c>
      <c r="C136" s="2" t="n"/>
      <c r="D136" s="2" t="inlineStr">
        <is>
          <t>Tamsulosin 0.4 mg HS</t>
        </is>
      </c>
      <c r="E136" s="2" t="inlineStr">
        <is>
          <t>Finasteride 5 mg OD</t>
        </is>
      </c>
      <c r="F136" s="2" t="inlineStr">
        <is>
          <t>Oxybutynin 5 mg BID</t>
        </is>
      </c>
      <c r="G136" s="2" t="inlineStr">
        <is>
          <t>Tolterodine 2 mg BID</t>
        </is>
      </c>
      <c r="H136" s="2" t="inlineStr">
        <is>
          <t>Dydrogesterone 10 mg BID</t>
        </is>
      </c>
      <c r="I136" s="8" t="n">
        <v>1</v>
      </c>
      <c r="J136"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2" t="n"/>
      <c r="L136" s="2" t="inlineStr">
        <is>
          <t>Oral contraceptive</t>
        </is>
      </c>
      <c r="M136" s="2" t="inlineStr">
        <is>
          <t>Clinic</t>
        </is>
      </c>
      <c r="N136" s="2" t="inlineStr">
        <is>
          <t>ข้อ 5 (PLE_CC1_Key_Rx20_UBU.md)</t>
        </is>
      </c>
      <c r="O136" s="2" t="n"/>
      <c r="P136" s="2" t="n"/>
    </row>
    <row r="137" ht="13.2" customHeight="1" s="49">
      <c r="A137" s="8" t="inlineStr">
        <is>
          <t>135</t>
        </is>
      </c>
      <c r="B137" s="2" t="inlineStr">
        <is>
          <t>EE 0.035 mg + cypoterone acetate 2 mg เพื่อนแนะนำให$ซื้อยา isotetrinoin capsule ทางอินเตอร_เนต</t>
        </is>
      </c>
      <c r="C137" s="2" t="n"/>
      <c r="D137" s="2" t="inlineStr">
        <is>
          <t>Tolterodine 2 mg BID</t>
        </is>
      </c>
      <c r="E137" s="2" t="inlineStr">
        <is>
          <t>Dydrogesterone 10 mg BID</t>
        </is>
      </c>
      <c r="F137" s="2" t="inlineStr">
        <is>
          <t>Ethinylestradiol 30 mcg + Levonorgestrel 150 mcg</t>
        </is>
      </c>
      <c r="G137" s="2" t="inlineStr">
        <is>
          <t>Ethinylestradiol 30 mcg + Drospirenone 3 mg</t>
        </is>
      </c>
      <c r="H137" s="2" t="inlineStr">
        <is>
          <t>Ethinylestradiol 35 mcg + Cyproterone acetate 2 mg</t>
        </is>
      </c>
      <c r="I137" s="8" t="n">
        <v>2</v>
      </c>
      <c r="J137" s="2"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2" t="n"/>
      <c r="L137" s="2" t="inlineStr">
        <is>
          <t>Oral contraceptive</t>
        </is>
      </c>
      <c r="M137" s="2" t="inlineStr">
        <is>
          <t>Clinic</t>
        </is>
      </c>
      <c r="N137" s="2" t="inlineStr">
        <is>
          <t>ข้อ 5 (PLE_CC1_Key_Rx20_UBU.md)</t>
        </is>
      </c>
      <c r="O137" s="2" t="n"/>
      <c r="P137" s="2" t="n"/>
    </row>
    <row r="138" ht="13.2" customHeight="1" s="49">
      <c r="A138" s="8" t="inlineStr">
        <is>
          <t>136</t>
        </is>
      </c>
      <c r="B138" s="2" t="inlineStr">
        <is>
          <t>ต$องคุมกำเนิดกGอนใช$ยา 1 เดือน</t>
        </is>
      </c>
      <c r="C138" s="2" t="n"/>
      <c r="D138" s="2" t="inlineStr">
        <is>
          <t>Ethinylestradiol 30 mcg + Drospirenone 3 mg</t>
        </is>
      </c>
      <c r="E138" s="2" t="inlineStr">
        <is>
          <t>Ethinylestradiol 35 mcg + Cyproterone acetate 2 mg</t>
        </is>
      </c>
      <c r="F138" s="2" t="inlineStr">
        <is>
          <t>Desogestrel 75 mcg OD (Progestin-only)</t>
        </is>
      </c>
      <c r="G138" s="2" t="inlineStr">
        <is>
          <t>Levonorgestrel 1.5 mg stat (Emergency)</t>
        </is>
      </c>
      <c r="H138" s="2" t="inlineStr">
        <is>
          <t>Mefenamic acid 500 mg TID</t>
        </is>
      </c>
      <c r="I138" s="8" t="n">
        <v>1</v>
      </c>
      <c r="J138"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2" t="n"/>
      <c r="L138" s="2" t="inlineStr">
        <is>
          <t>Oral contraceptive</t>
        </is>
      </c>
      <c r="M138" s="2" t="inlineStr">
        <is>
          <t>Clinic</t>
        </is>
      </c>
      <c r="N138" s="2" t="inlineStr">
        <is>
          <t>ข้อ 3 (PLE_CC1_Key_Rx20_UBU.md)</t>
        </is>
      </c>
      <c r="O138" s="2" t="n"/>
      <c r="P138" s="2" t="n"/>
    </row>
    <row r="139" ht="13.2" customHeight="1" s="49">
      <c r="A139" s="8" t="inlineStr">
        <is>
          <t>137</t>
        </is>
      </c>
      <c r="B139" s="2" t="inlineStr">
        <is>
          <t>ไมGควรเริ่มยาคุมกำเนิดในวันแรกที่มีประจำเดือน เนื่องจากจะทำให$....</t>
        </is>
      </c>
      <c r="C139" s="2" t="n"/>
      <c r="D139" s="2" t="inlineStr">
        <is>
          <t>Levonorgestrel 1.5 mg stat (Emergency)</t>
        </is>
      </c>
      <c r="E139" s="2" t="inlineStr">
        <is>
          <t>Mefenamic acid 500 mg TID</t>
        </is>
      </c>
      <c r="F139" s="2" t="inlineStr">
        <is>
          <t>Tamsulosin 0.4 mg HS</t>
        </is>
      </c>
      <c r="G139" s="2" t="inlineStr">
        <is>
          <t>Finasteride 5 mg OD</t>
        </is>
      </c>
      <c r="H139" s="2" t="inlineStr">
        <is>
          <t>Oxybutynin 5 mg BID</t>
        </is>
      </c>
      <c r="I139" s="8" t="n">
        <v>1</v>
      </c>
      <c r="J139" s="2"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2" t="n"/>
      <c r="L139" s="2" t="inlineStr">
        <is>
          <t>Oral contraceptive</t>
        </is>
      </c>
      <c r="M139" s="2" t="inlineStr">
        <is>
          <t>Clinic</t>
        </is>
      </c>
      <c r="N139" s="2" t="inlineStr">
        <is>
          <t>ข้อ 2 (PLE_CC1_Key_Rx20_UBU.md)</t>
        </is>
      </c>
      <c r="O139" s="2" t="n"/>
      <c r="P139" s="2" t="n"/>
    </row>
    <row r="140" ht="13.2" customHeight="1" s="49">
      <c r="A140" s="8" t="inlineStr">
        <is>
          <t>138</t>
        </is>
      </c>
      <c r="B140" s="2" t="inlineStr">
        <is>
          <t>หากลืมกินยาคุมกำเนิด 2 เม็ดใน 14 วันแรกให$รับประทานมื้อตGอไปได$ปกติ</t>
        </is>
      </c>
      <c r="C140" s="2" t="n"/>
      <c r="D140" s="2" t="inlineStr">
        <is>
          <t>Finasteride 5 mg OD</t>
        </is>
      </c>
      <c r="E140" s="2" t="inlineStr">
        <is>
          <t>Oxybutynin 5 mg BID</t>
        </is>
      </c>
      <c r="F140" s="2" t="inlineStr">
        <is>
          <t>Tolterodine 2 mg BID</t>
        </is>
      </c>
      <c r="G140" s="2" t="inlineStr">
        <is>
          <t>Dydrogesterone 10 mg BID</t>
        </is>
      </c>
      <c r="H140" s="2" t="inlineStr">
        <is>
          <t>Ethinylestradiol 30 mcg + Levonorgestrel 150 mcg</t>
        </is>
      </c>
      <c r="I140" s="8" t="n">
        <v>1</v>
      </c>
      <c r="J140"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2" t="n"/>
      <c r="L140" s="2" t="inlineStr">
        <is>
          <t>Oral contraceptive</t>
        </is>
      </c>
      <c r="M140" s="2" t="inlineStr">
        <is>
          <t>Clinic</t>
        </is>
      </c>
      <c r="N140" s="2" t="inlineStr">
        <is>
          <t>ข้อ 3 (PLE_CC1_Key_Rx20_UBU.md)</t>
        </is>
      </c>
      <c r="O140" s="2" t="n"/>
      <c r="P140" s="2" t="n"/>
    </row>
    <row r="141" ht="13.2" customHeight="1" s="49">
      <c r="A141" s="8" t="inlineStr">
        <is>
          <t>139</t>
        </is>
      </c>
      <c r="B141" s="2" t="inlineStr">
        <is>
          <t>หากลืมทานยาคุมกำเนิด 2 เม็ดใน 14 วันหลัง ให$รับประทานยาคุม 2 เม็ดเปญนเวลา 2 วันและคุมกำเนิดอื่นรGวมด$วย 7 วัน</t>
        </is>
      </c>
      <c r="C141" s="2" t="n"/>
      <c r="D141" s="2" t="inlineStr">
        <is>
          <t>Dydrogesterone 10 mg BID</t>
        </is>
      </c>
      <c r="E141" s="2" t="inlineStr">
        <is>
          <t>Ethinylestradiol 30 mcg + Levonorgestrel 150 mcg</t>
        </is>
      </c>
      <c r="F141" s="2" t="inlineStr">
        <is>
          <t>Ethinylestradiol 30 mcg + Drospirenone 3 mg</t>
        </is>
      </c>
      <c r="G141" s="2" t="inlineStr">
        <is>
          <t>Ethinylestradiol 35 mcg + Cyproterone acetate 2 mg</t>
        </is>
      </c>
      <c r="H141" s="2" t="inlineStr">
        <is>
          <t>Desogestrel 75 mcg OD (Progestin-only)</t>
        </is>
      </c>
      <c r="I141" s="8" t="n">
        <v>1</v>
      </c>
      <c r="J141"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2" t="n"/>
      <c r="L141" s="2" t="inlineStr">
        <is>
          <t>Oral contraceptive</t>
        </is>
      </c>
      <c r="M141" s="2" t="inlineStr">
        <is>
          <t>Clinic</t>
        </is>
      </c>
      <c r="N141" s="2" t="inlineStr">
        <is>
          <t>ข้อ 4 (PLE_CC1_Key_Rx20_UBU.md)</t>
        </is>
      </c>
      <c r="O141" s="2" t="n"/>
      <c r="P141" s="2" t="n"/>
    </row>
    <row r="142" ht="13.2" customHeight="1" s="49">
      <c r="A142" s="8" t="inlineStr">
        <is>
          <t>140</t>
        </is>
      </c>
      <c r="B142" s="2" t="inlineStr">
        <is>
          <t>ข$อใดไมGใชGอาการไมGพึงประสงค_จากการใช$ยาคุมกำเนิดชนิดฮอร_โมนรวม</t>
        </is>
      </c>
      <c r="C142" s="2" t="n"/>
      <c r="D142" s="2" t="inlineStr">
        <is>
          <t>Ethinylestradiol 35 mcg + Cyproterone acetate 2 mg</t>
        </is>
      </c>
      <c r="E142" s="2" t="inlineStr">
        <is>
          <t>Desogestrel 75 mcg OD (Progestin-only)</t>
        </is>
      </c>
      <c r="F142" s="2" t="inlineStr">
        <is>
          <t>Levonorgestrel 1.5 mg stat (Emergency)</t>
        </is>
      </c>
      <c r="G142" s="2" t="inlineStr">
        <is>
          <t>Mefenamic acid 500 mg TID</t>
        </is>
      </c>
      <c r="H142" s="2" t="inlineStr">
        <is>
          <t>Tamsulosin 0.4 mg HS</t>
        </is>
      </c>
      <c r="I142" s="8" t="n">
        <v>1</v>
      </c>
      <c r="J142"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2" t="n"/>
      <c r="L142" s="2" t="inlineStr">
        <is>
          <t>Oral contraceptive</t>
        </is>
      </c>
      <c r="M142" s="2" t="inlineStr">
        <is>
          <t>Clinic</t>
        </is>
      </c>
      <c r="N142" s="2" t="inlineStr">
        <is>
          <t>ข้อ 43 (PLE_CC1_Key_Rx20_UBU.md)</t>
        </is>
      </c>
      <c r="O142" s="2" t="n"/>
      <c r="P142" s="2" t="n"/>
    </row>
    <row r="143" ht="13.2" customHeight="1" s="49">
      <c r="A143" s="8" t="inlineStr">
        <is>
          <t>141</t>
        </is>
      </c>
      <c r="B143" s="2"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2" t="n"/>
      <c r="D143" s="2" t="inlineStr">
        <is>
          <t>Mefenamic acid 500 mg TID</t>
        </is>
      </c>
      <c r="E143" s="2" t="inlineStr">
        <is>
          <t>Tamsulosin 0.4 mg HS</t>
        </is>
      </c>
      <c r="F143" s="2" t="inlineStr">
        <is>
          <t>Finasteride 5 mg OD</t>
        </is>
      </c>
      <c r="G143" s="2" t="inlineStr">
        <is>
          <t>Oxybutynin 5 mg BID</t>
        </is>
      </c>
      <c r="H143" s="2" t="inlineStr">
        <is>
          <t>Tolterodine 2 mg BID</t>
        </is>
      </c>
      <c r="I143" s="8" t="n">
        <v>2</v>
      </c>
      <c r="J143" s="2"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2" t="n"/>
      <c r="L143" s="2" t="inlineStr">
        <is>
          <t>Oral contraceptive</t>
        </is>
      </c>
      <c r="M143" s="2" t="inlineStr">
        <is>
          <t>Clinic</t>
        </is>
      </c>
      <c r="N143" s="2" t="inlineStr">
        <is>
          <t>ข้อ 5 (PLE_CC1_Key_Rx20_UBU.md)</t>
        </is>
      </c>
      <c r="O143" s="2" t="n"/>
      <c r="P143" s="2" t="n"/>
    </row>
    <row r="144" ht="13.2" customHeight="1" s="49">
      <c r="A144" s="8" t="inlineStr">
        <is>
          <t>142</t>
        </is>
      </c>
      <c r="B144" s="2" t="inlineStr">
        <is>
          <t>ข$อใดเปญนวิธีการแก$ไขอาการไมGพึงประสงค_จากยาคุมกำเนิดชนิดฮอร_โมรวมที่เหมาะสมที่สุด</t>
        </is>
      </c>
      <c r="C144" s="2" t="n"/>
      <c r="D144" s="2" t="inlineStr">
        <is>
          <t>Oxybutynin 5 mg BID</t>
        </is>
      </c>
      <c r="E144" s="2" t="inlineStr">
        <is>
          <t>Tolterodine 2 mg BID</t>
        </is>
      </c>
      <c r="F144" s="2" t="inlineStr">
        <is>
          <t>Dydrogesterone 10 mg BID</t>
        </is>
      </c>
      <c r="G144" s="2" t="inlineStr">
        <is>
          <t>Ethinylestradiol 30 mcg + Levonorgestrel 150 mcg</t>
        </is>
      </c>
      <c r="H144" s="2" t="inlineStr">
        <is>
          <t>Ethinylestradiol 30 mcg + Drospirenone 3 mg</t>
        </is>
      </c>
      <c r="I144" s="8" t="n">
        <v>1</v>
      </c>
      <c r="J144"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2" t="n"/>
      <c r="L144" s="2" t="inlineStr">
        <is>
          <t>Oral contraceptive</t>
        </is>
      </c>
      <c r="M144" s="2" t="inlineStr">
        <is>
          <t>Clinic</t>
        </is>
      </c>
      <c r="N144" s="2" t="inlineStr">
        <is>
          <t>ข้อ 44 (PLE_CC1_Key_Rx20_UBU.md)</t>
        </is>
      </c>
      <c r="O144" s="2" t="n"/>
      <c r="P144" s="2" t="n"/>
    </row>
    <row r="145" ht="13.2" customHeight="1" s="49">
      <c r="A145" s="8" t="inlineStr">
        <is>
          <t>143</t>
        </is>
      </c>
      <c r="B145" s="2" t="inlineStr">
        <is>
          <t>ในชGวง 1-10 วันแรกของการใช$ยาคุมกำเนิด หากมีเลือดออกกระปØดกระปอยควรปรับเพิ่มปริมาณ เอสโตรเจนให$สูงขึ้น</t>
        </is>
      </c>
      <c r="C145" s="2" t="n"/>
      <c r="D145" s="2" t="inlineStr">
        <is>
          <t>Ethinylestradiol 30 mcg + Levonorgestrel 150 mcg</t>
        </is>
      </c>
      <c r="E145" s="2" t="inlineStr">
        <is>
          <t>Ethinylestradiol 30 mcg + Drospirenone 3 mg</t>
        </is>
      </c>
      <c r="F145" s="2" t="inlineStr">
        <is>
          <t>Ethinylestradiol 35 mcg + Cyproterone acetate 2 mg</t>
        </is>
      </c>
      <c r="G145" s="2" t="inlineStr">
        <is>
          <t>Desogestrel 75 mcg OD (Progestin-only)</t>
        </is>
      </c>
      <c r="H145" s="2" t="inlineStr">
        <is>
          <t>Levonorgestrel 1.5 mg stat (Emergency)</t>
        </is>
      </c>
      <c r="I145" s="8" t="n">
        <v>1</v>
      </c>
      <c r="J145"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2" t="n"/>
      <c r="L145" s="2" t="inlineStr">
        <is>
          <t>Oral contraceptive</t>
        </is>
      </c>
      <c r="M145" s="2" t="inlineStr">
        <is>
          <t>Clinic</t>
        </is>
      </c>
      <c r="N145" s="2" t="inlineStr">
        <is>
          <t>ข้อ 1 (PLE_CC1_Key_Rx20_UBU.md)</t>
        </is>
      </c>
      <c r="O145" s="2" t="n"/>
      <c r="P145" s="2" t="n"/>
    </row>
    <row r="146" ht="13.2" customHeight="1" s="49">
      <c r="A146" s="8" t="inlineStr">
        <is>
          <t>144</t>
        </is>
      </c>
      <c r="B146" s="2" t="inlineStr">
        <is>
          <t>หากผู้ป่วยให้นมบุตร ไม่ควรใช้ยาคุมกำเนิดแบบใด</t>
        </is>
      </c>
      <c r="C146" s="2" t="n"/>
      <c r="D146" s="2" t="inlineStr">
        <is>
          <t>Desogestrel 75 mcg OD (Progestin-only)</t>
        </is>
      </c>
      <c r="E146" s="2" t="inlineStr">
        <is>
          <t>Levonorgestrel 1.5 mg stat (Emergency)</t>
        </is>
      </c>
      <c r="F146" s="2" t="inlineStr">
        <is>
          <t>Mefenamic acid 500 mg TID</t>
        </is>
      </c>
      <c r="G146" s="2" t="inlineStr">
        <is>
          <t>Tamsulosin 0.4 mg HS</t>
        </is>
      </c>
      <c r="H146" s="2" t="inlineStr">
        <is>
          <t>Finasteride 5 mg OD</t>
        </is>
      </c>
      <c r="I146" s="8" t="n">
        <v>1</v>
      </c>
      <c r="J146"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2" t="n"/>
      <c r="L146" s="2" t="inlineStr">
        <is>
          <t>Oral contraceptive</t>
        </is>
      </c>
      <c r="M146" s="2" t="inlineStr">
        <is>
          <t>Clinic</t>
        </is>
      </c>
      <c r="N146" s="2" t="inlineStr">
        <is>
          <t>ข้อ 3 (PLE_CC1_Key_Rx20_UBU.md)</t>
        </is>
      </c>
      <c r="O146" s="2" t="n"/>
      <c r="P146" s="2" t="n"/>
    </row>
    <row r="147" ht="13.2" customHeight="1" s="49">
      <c r="A147" s="8" t="inlineStr">
        <is>
          <t>145</t>
        </is>
      </c>
      <c r="B147" s="2" t="inlineStr">
        <is>
          <t>ยาคุมแบบห่วงอนามัย</t>
        </is>
      </c>
      <c r="C147" s="2" t="n"/>
      <c r="D147" s="2" t="inlineStr">
        <is>
          <t>Tamsulosin 0.4 mg HS</t>
        </is>
      </c>
      <c r="E147" s="2" t="inlineStr">
        <is>
          <t>Finasteride 5 mg OD</t>
        </is>
      </c>
      <c r="F147" s="2" t="inlineStr">
        <is>
          <t>Oxybutynin 5 mg BID</t>
        </is>
      </c>
      <c r="G147" s="2" t="inlineStr">
        <is>
          <t>Tolterodine 2 mg BID</t>
        </is>
      </c>
      <c r="H147" s="2" t="inlineStr">
        <is>
          <t>Dydrogesterone 10 mg BID</t>
        </is>
      </c>
      <c r="I147" s="8" t="n">
        <v>1</v>
      </c>
      <c r="J147" s="2"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2" t="n"/>
      <c r="L147" s="2" t="inlineStr">
        <is>
          <t>Oral contraceptive</t>
        </is>
      </c>
      <c r="M147" s="2" t="inlineStr">
        <is>
          <t>Clinic</t>
        </is>
      </c>
      <c r="N147" s="2" t="inlineStr">
        <is>
          <t>ข้อ 3 (PLE_CC1_Key_Rx20_UBU.md)</t>
        </is>
      </c>
      <c r="O147" s="2" t="n"/>
      <c r="P147" s="2" t="n"/>
    </row>
    <row r="148" ht="13.2" customHeight="1" s="49">
      <c r="A148" s="8" t="inlineStr">
        <is>
          <t>146</t>
        </is>
      </c>
      <c r="B148" s="2" t="inlineStr">
        <is>
          <t>ยาคุมแบบฝังใต้ผิวหนัง</t>
        </is>
      </c>
      <c r="C148" s="2" t="n"/>
      <c r="D148" s="2" t="inlineStr">
        <is>
          <t>Tolterodine 2 mg BID</t>
        </is>
      </c>
      <c r="E148" s="2" t="inlineStr">
        <is>
          <t>Dydrogesterone 10 mg BID</t>
        </is>
      </c>
      <c r="F148" s="2" t="inlineStr">
        <is>
          <t>Ethinylestradiol 30 mcg + Levonorgestrel 150 mcg</t>
        </is>
      </c>
      <c r="G148" s="2" t="inlineStr">
        <is>
          <t>Ethinylestradiol 30 mcg + Drospirenone 3 mg</t>
        </is>
      </c>
      <c r="H148" s="2" t="inlineStr">
        <is>
          <t>Ethinylestradiol 35 mcg + Cyproterone acetate 2 mg</t>
        </is>
      </c>
      <c r="I148" s="8" t="n">
        <v>1</v>
      </c>
      <c r="J148" s="2"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2" t="n"/>
      <c r="L148" s="2" t="inlineStr">
        <is>
          <t>Oral contraceptive</t>
        </is>
      </c>
      <c r="M148" s="2" t="inlineStr">
        <is>
          <t>Clinic</t>
        </is>
      </c>
      <c r="N148" s="2" t="inlineStr">
        <is>
          <t>ข้อ 4 (PLE_CC1_Key_Rx20_UBU.md)</t>
        </is>
      </c>
      <c r="O148" s="2" t="n"/>
      <c r="P148" s="2" t="n"/>
    </row>
    <row r="149" ht="13.2" customHeight="1" s="49">
      <c r="A149" s="8" t="inlineStr">
        <is>
          <t>147</t>
        </is>
      </c>
      <c r="B149" s="2" t="inlineStr">
        <is>
          <t>ยาคุมแบบฉีด</t>
        </is>
      </c>
      <c r="C149" s="2" t="n"/>
      <c r="D149" s="2" t="inlineStr">
        <is>
          <t>Ethinylestradiol 30 mcg + Drospirenone 3 mg</t>
        </is>
      </c>
      <c r="E149" s="2" t="inlineStr">
        <is>
          <t>Ethinylestradiol 35 mcg + Cyproterone acetate 2 mg</t>
        </is>
      </c>
      <c r="F149" s="2" t="inlineStr">
        <is>
          <t>Desogestrel 75 mcg OD (Progestin-only)</t>
        </is>
      </c>
      <c r="G149" s="2" t="inlineStr">
        <is>
          <t>Levonorgestrel 1.5 mg stat (Emergency)</t>
        </is>
      </c>
      <c r="H149" s="2" t="inlineStr">
        <is>
          <t>Mefenamic acid 500 mg TID</t>
        </is>
      </c>
      <c r="I149" s="8" t="n">
        <v>1</v>
      </c>
      <c r="J149" s="2"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2" t="n"/>
      <c r="L149" s="2" t="inlineStr">
        <is>
          <t>Oral contraceptive</t>
        </is>
      </c>
      <c r="M149" s="2" t="inlineStr">
        <is>
          <t>Clinic</t>
        </is>
      </c>
      <c r="N149" s="2" t="inlineStr">
        <is>
          <t>ข้อ 5 (PLE_CC1_Key_Rx20_UBU.md)</t>
        </is>
      </c>
      <c r="O149" s="2" t="n"/>
      <c r="P149" s="2" t="n"/>
    </row>
    <row r="150" ht="13.2" customHeight="1" s="49">
      <c r="A150" s="8" t="inlineStr">
        <is>
          <t>148</t>
        </is>
      </c>
      <c r="B150" s="2"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2" t="n"/>
      <c r="D150" s="2" t="inlineStr">
        <is>
          <t>Levonorgestrel 1.5 mg stat (Emergency)</t>
        </is>
      </c>
      <c r="E150" s="2" t="inlineStr">
        <is>
          <t>Mefenamic acid 500 mg TID</t>
        </is>
      </c>
      <c r="F150" s="2" t="inlineStr">
        <is>
          <t>Tamsulosin 0.4 mg HS</t>
        </is>
      </c>
      <c r="G150" s="2" t="inlineStr">
        <is>
          <t>Finasteride 5 mg OD</t>
        </is>
      </c>
      <c r="H150" s="2" t="inlineStr">
        <is>
          <t>Oxybutynin 5 mg BID</t>
        </is>
      </c>
      <c r="I150" s="8" t="n">
        <v>4</v>
      </c>
      <c r="J150" s="2"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2" t="n"/>
      <c r="L150" s="2" t="inlineStr">
        <is>
          <t>Oral contraceptive</t>
        </is>
      </c>
      <c r="M150" s="2" t="inlineStr">
        <is>
          <t>Clinic</t>
        </is>
      </c>
      <c r="N150" s="2" t="inlineStr">
        <is>
          <t>ข้อ 5 (PLE_CC1_Key_Rx20_UBU.md)</t>
        </is>
      </c>
      <c r="O150" s="2" t="n"/>
      <c r="P150" s="2" t="n"/>
    </row>
    <row r="151" ht="13.2" customHeight="1" s="49">
      <c r="A151" s="8" t="inlineStr">
        <is>
          <t>149</t>
        </is>
      </c>
      <c r="B151" s="2" t="inlineStr">
        <is>
          <t>ห่วงคุมกำเนิดมีการออกฤทธิ์แบบใด</t>
        </is>
      </c>
      <c r="C151" s="2" t="n"/>
      <c r="D151" s="2" t="inlineStr">
        <is>
          <t>Finasteride 5 mg OD</t>
        </is>
      </c>
      <c r="E151" s="2" t="inlineStr">
        <is>
          <t>Oxybutynin 5 mg BID</t>
        </is>
      </c>
      <c r="F151" s="2" t="inlineStr">
        <is>
          <t>Tolterodine 2 mg BID</t>
        </is>
      </c>
      <c r="G151" s="2" t="inlineStr">
        <is>
          <t>Dydrogesterone 10 mg BID</t>
        </is>
      </c>
      <c r="H151" s="2" t="inlineStr">
        <is>
          <t>Ethinylestradiol 30 mcg + Levonorgestrel 150 mcg</t>
        </is>
      </c>
      <c r="I151" s="8" t="n">
        <v>1</v>
      </c>
      <c r="J151" s="2"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2" t="n"/>
      <c r="L151" s="2" t="inlineStr">
        <is>
          <t>Oral contraceptive</t>
        </is>
      </c>
      <c r="M151" s="2" t="inlineStr">
        <is>
          <t>Clinic</t>
        </is>
      </c>
      <c r="N151" s="2" t="inlineStr">
        <is>
          <t>ข้อ 5 (PLE_CC1_Key_Rx20_UBU.md)</t>
        </is>
      </c>
      <c r="O151" s="2" t="n"/>
      <c r="P151" s="2" t="n"/>
    </row>
    <row r="152" ht="13.2" customHeight="1" s="49">
      <c r="A152" s="8" t="inlineStr">
        <is>
          <t>150</t>
        </is>
      </c>
      <c r="B152" s="2" t="inlineStr">
        <is>
          <t>เมื่อใช้ยาคุมกำเนิดแล้วพบว่ามีเลือดออกกระปริดกระปอยเกิดจากสาเหตุต่อไปนี้ ยกเว้นข้อใด</t>
        </is>
      </c>
      <c r="C152" s="2" t="n"/>
      <c r="D152" s="2" t="inlineStr">
        <is>
          <t>Dydrogesterone 10 mg BID</t>
        </is>
      </c>
      <c r="E152" s="2" t="inlineStr">
        <is>
          <t>Ethinylestradiol 30 mcg + Levonorgestrel 150 mcg</t>
        </is>
      </c>
      <c r="F152" s="2" t="inlineStr">
        <is>
          <t>Ethinylestradiol 30 mcg + Drospirenone 3 mg</t>
        </is>
      </c>
      <c r="G152" s="2" t="inlineStr">
        <is>
          <t>Ethinylestradiol 35 mcg + Cyproterone acetate 2 mg</t>
        </is>
      </c>
      <c r="H152" s="2" t="inlineStr">
        <is>
          <t>Desogestrel 75 mcg OD (Progestin-only)</t>
        </is>
      </c>
      <c r="I152" s="8" t="n">
        <v>1</v>
      </c>
      <c r="J152" s="2"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2" t="n"/>
      <c r="L152" s="2" t="inlineStr">
        <is>
          <t>Oral contraceptive</t>
        </is>
      </c>
      <c r="M152" s="2" t="inlineStr">
        <is>
          <t>Clinic</t>
        </is>
      </c>
      <c r="N152" s="2" t="inlineStr">
        <is>
          <t>ข้อ 7 (PLE_CC1_Key_Rx20_UBU.md)</t>
        </is>
      </c>
      <c r="O152" s="2" t="n"/>
      <c r="P152" s="2" t="n"/>
    </row>
    <row r="153" ht="13.2" customHeight="1" s="49">
      <c r="A153" s="8" t="inlineStr">
        <is>
          <t>151</t>
        </is>
      </c>
      <c r="B153" s="2" t="inlineStr">
        <is>
          <t>ปริมาณ estrogen และ progesterone น้อยเกินไป</t>
        </is>
      </c>
      <c r="C153" s="2" t="n"/>
      <c r="D153" s="2" t="inlineStr">
        <is>
          <t>Ethinylestradiol 35 mcg + Cyproterone acetate 2 mg</t>
        </is>
      </c>
      <c r="E153" s="2" t="inlineStr">
        <is>
          <t>Desogestrel 75 mcg OD (Progestin-only)</t>
        </is>
      </c>
      <c r="F153" s="2" t="inlineStr">
        <is>
          <t>Levonorgestrel 1.5 mg stat (Emergency)</t>
        </is>
      </c>
      <c r="G153" s="2" t="inlineStr">
        <is>
          <t>Mefenamic acid 500 mg TID</t>
        </is>
      </c>
      <c r="H153" s="2" t="inlineStr">
        <is>
          <t>Tamsulosin 0.4 mg HS</t>
        </is>
      </c>
      <c r="I153" s="8" t="n">
        <v>1</v>
      </c>
      <c r="J153" s="2"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2" t="n"/>
      <c r="L153" s="2" t="inlineStr">
        <is>
          <t>Hormonal replacement</t>
        </is>
      </c>
      <c r="M153" s="2" t="inlineStr">
        <is>
          <t>Clinic</t>
        </is>
      </c>
      <c r="N153" s="2" t="inlineStr">
        <is>
          <t>ข้อ 1 (PLE_CC1_Key_Rx20_UBU.md)</t>
        </is>
      </c>
      <c r="O153" s="2" t="n"/>
      <c r="P153" s="2" t="n"/>
    </row>
    <row r="154" ht="13.2" customHeight="1" s="49">
      <c r="A154" s="8" t="inlineStr">
        <is>
          <t>152</t>
        </is>
      </c>
      <c r="B154" s="2" t="inlineStr">
        <is>
          <t>กินยาคุมไม่สม่ำเสมอ</t>
        </is>
      </c>
      <c r="C154" s="2" t="n"/>
      <c r="D154" s="2" t="inlineStr">
        <is>
          <t>Mefenamic acid 500 mg TID</t>
        </is>
      </c>
      <c r="E154" s="2" t="inlineStr">
        <is>
          <t>Tamsulosin 0.4 mg HS</t>
        </is>
      </c>
      <c r="F154" s="2" t="inlineStr">
        <is>
          <t>Finasteride 5 mg OD</t>
        </is>
      </c>
      <c r="G154" s="2" t="inlineStr">
        <is>
          <t>Oxybutynin 5 mg BID</t>
        </is>
      </c>
      <c r="H154" s="2" t="inlineStr">
        <is>
          <t>Tolterodine 2 mg BID</t>
        </is>
      </c>
      <c r="I154" s="8" t="n">
        <v>1</v>
      </c>
      <c r="J154" s="2"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2" t="n"/>
      <c r="L154" s="2" t="inlineStr">
        <is>
          <t>Oral contraceptive</t>
        </is>
      </c>
      <c r="M154" s="2" t="inlineStr">
        <is>
          <t>Clinic</t>
        </is>
      </c>
      <c r="N154" s="2" t="inlineStr">
        <is>
          <t>ข้อ 2 (PLE_CC1_Key_Rx20_UBU.md)</t>
        </is>
      </c>
      <c r="O154" s="2" t="n"/>
      <c r="P154" s="2" t="n"/>
    </row>
    <row r="155" ht="13.2" customHeight="1" s="49">
      <c r="A155" s="8" t="inlineStr">
        <is>
          <t>153</t>
        </is>
      </c>
      <c r="B155" s="2"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2" t="n"/>
      <c r="D155" s="2" t="inlineStr">
        <is>
          <t>Oxybutynin 5 mg BID</t>
        </is>
      </c>
      <c r="E155" s="2" t="inlineStr">
        <is>
          <t>Tolterodine 2 mg BID</t>
        </is>
      </c>
      <c r="F155" s="2" t="inlineStr">
        <is>
          <t>Dydrogesterone 10 mg BID</t>
        </is>
      </c>
      <c r="G155" s="2" t="inlineStr">
        <is>
          <t>Ethinylestradiol 30 mcg + Levonorgestrel 150 mcg</t>
        </is>
      </c>
      <c r="H155" s="2" t="inlineStr">
        <is>
          <t>Ethinylestradiol 30 mcg + Drospirenone 3 mg</t>
        </is>
      </c>
      <c r="I155" s="8" t="n">
        <v>1</v>
      </c>
      <c r="J155" s="2"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2" t="n"/>
      <c r="L155" s="2" t="inlineStr">
        <is>
          <t>Oral contraceptive</t>
        </is>
      </c>
      <c r="M155" s="2" t="inlineStr">
        <is>
          <t>Clinic</t>
        </is>
      </c>
      <c r="N155" s="2" t="inlineStr">
        <is>
          <t>ข้อ 8 (PLE_CC1_Key_Rx20_UBU.md)</t>
        </is>
      </c>
      <c r="O155" s="2" t="n"/>
      <c r="P155" s="2" t="n"/>
    </row>
    <row r="156" ht="13.2" customHeight="1" s="49">
      <c r="A156" s="8" t="inlineStr">
        <is>
          <t>154</t>
        </is>
      </c>
      <c r="B156" s="2" t="inlineStr">
        <is>
          <t>ข้อใดไม่ใช้ข้อห้ามในการใช้ยาคุมกำเนิด</t>
        </is>
      </c>
      <c r="C156" s="2" t="n"/>
      <c r="D156" s="2" t="inlineStr">
        <is>
          <t>Ethinylestradiol 30 mcg + Levonorgestrel 150 mcg</t>
        </is>
      </c>
      <c r="E156" s="2" t="inlineStr">
        <is>
          <t>Ethinylestradiol 30 mcg + Drospirenone 3 mg</t>
        </is>
      </c>
      <c r="F156" s="2" t="inlineStr">
        <is>
          <t>Ethinylestradiol 35 mcg + Cyproterone acetate 2 mg</t>
        </is>
      </c>
      <c r="G156" s="2" t="inlineStr">
        <is>
          <t>Desogestrel 75 mcg OD (Progestin-only)</t>
        </is>
      </c>
      <c r="H156" s="2" t="inlineStr">
        <is>
          <t>Levonorgestrel 1.5 mg stat (Emergency)</t>
        </is>
      </c>
      <c r="I156" s="8" t="n">
        <v>1</v>
      </c>
      <c r="J156" s="2"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2" t="n"/>
      <c r="L156" s="2" t="inlineStr">
        <is>
          <t>Oral contraceptive</t>
        </is>
      </c>
      <c r="M156" s="2" t="inlineStr">
        <is>
          <t>Clinic</t>
        </is>
      </c>
      <c r="N156" s="2" t="inlineStr">
        <is>
          <t>ข้อ 9 (PLE_CC1_Key_Rx20_UBU.md)</t>
        </is>
      </c>
      <c r="O156" s="2" t="n"/>
      <c r="P156" s="2" t="n"/>
    </row>
    <row r="157" ht="13.2" customHeight="1" s="49">
      <c r="A157" s="8" t="inlineStr">
        <is>
          <t>155</t>
        </is>
      </c>
      <c r="B157" s="2" t="inlineStr">
        <is>
          <t>Tamoxifen เป็น non-steroidal antiestrogen</t>
        </is>
      </c>
      <c r="C157" s="2" t="n"/>
      <c r="D157" s="2" t="inlineStr">
        <is>
          <t>Desogestrel 75 mcg OD (Progestin-only)</t>
        </is>
      </c>
      <c r="E157" s="2" t="inlineStr">
        <is>
          <t>Levonorgestrel 1.5 mg stat (Emergency)</t>
        </is>
      </c>
      <c r="F157" s="2" t="inlineStr">
        <is>
          <t>Mefenamic acid 500 mg TID</t>
        </is>
      </c>
      <c r="G157" s="2" t="inlineStr">
        <is>
          <t>Tamsulosin 0.4 mg HS</t>
        </is>
      </c>
      <c r="H157" s="2" t="inlineStr">
        <is>
          <t>Finasteride 5 mg OD</t>
        </is>
      </c>
      <c r="I157" s="8" t="n">
        <v>1</v>
      </c>
      <c r="J157" s="2"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2" t="n"/>
      <c r="L157" s="2" t="inlineStr">
        <is>
          <t>Hormonal replacement</t>
        </is>
      </c>
      <c r="M157" s="2" t="inlineStr">
        <is>
          <t>Clinic</t>
        </is>
      </c>
      <c r="N157" s="2" t="inlineStr">
        <is>
          <t>ข้อ 3 (PLE_CC1_Key_Rx20_UBU.md)</t>
        </is>
      </c>
      <c r="O157" s="2" t="n"/>
      <c r="P157" s="2" t="n"/>
    </row>
    <row r="158" ht="13.2" customHeight="1" s="49">
      <c r="A158" s="8" t="inlineStr">
        <is>
          <t>156</t>
        </is>
      </c>
      <c r="B158" s="2" t="inlineStr">
        <is>
          <t>ยา Progestins ใดที่นิยมใช้ใน Progesterone only pills (POPs)</t>
        </is>
      </c>
      <c r="C158" s="2" t="n"/>
      <c r="D158" s="2" t="inlineStr">
        <is>
          <t>Desogestrel</t>
        </is>
      </c>
      <c r="E158" s="2" t="inlineStr">
        <is>
          <t>Norgestrel</t>
        </is>
      </c>
      <c r="F158" s="2" t="inlineStr">
        <is>
          <t>Gestodene</t>
        </is>
      </c>
      <c r="G158" s="2" t="inlineStr">
        <is>
          <t>Norgestimate</t>
        </is>
      </c>
      <c r="H158" s="2" t="inlineStr">
        <is>
          <t>Levonorgestrel</t>
        </is>
      </c>
      <c r="I158" s="8" t="n">
        <v>1</v>
      </c>
      <c r="J158" s="2"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2" t="n"/>
      <c r="L158" s="2" t="inlineStr">
        <is>
          <t>Hormonal replacement</t>
        </is>
      </c>
      <c r="M158" s="2" t="inlineStr">
        <is>
          <t>Clinic</t>
        </is>
      </c>
      <c r="N158" s="2" t="inlineStr">
        <is>
          <t>ข้อ 84 (PLE_CC1_Key_Rx20_UBU.md)</t>
        </is>
      </c>
      <c r="O158" s="2" t="n"/>
      <c r="P158" s="2" t="n"/>
    </row>
    <row r="159" ht="13.2" customHeight="1" s="49">
      <c r="A159" s="8" t="inlineStr">
        <is>
          <t>157</t>
        </is>
      </c>
      <c r="B159" s="2" t="inlineStr">
        <is>
          <t>ยาคุมกำเนิดในข้อใด เหมาะสมที่สุด (โจทย์มีแค่นี้)</t>
        </is>
      </c>
      <c r="C159" s="2" t="n"/>
      <c r="D159" s="2" t="inlineStr">
        <is>
          <t>Levonorgestrel</t>
        </is>
      </c>
      <c r="E159" s="2" t="inlineStr">
        <is>
          <t>Lynestrenol</t>
        </is>
      </c>
      <c r="F159" s="2" t="inlineStr">
        <is>
          <t>Ethinyl estradiol + Desogestrel</t>
        </is>
      </c>
      <c r="G159" s="2" t="inlineStr">
        <is>
          <t>Ethinyl estradiol + Levonorgestrel</t>
        </is>
      </c>
      <c r="H159" s="2" t="inlineStr">
        <is>
          <t>Ethinyl estradiol + Gestodene ในการใช้เป็นยาคุมฉุกเฉิน</t>
        </is>
      </c>
      <c r="I159" s="8" t="n">
        <v>5</v>
      </c>
      <c r="J159" s="2"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2" t="n"/>
      <c r="L159" s="2" t="inlineStr">
        <is>
          <t>Oral contraceptive</t>
        </is>
      </c>
      <c r="M159" s="2" t="inlineStr">
        <is>
          <t>Clinic</t>
        </is>
      </c>
      <c r="N159" s="2" t="inlineStr">
        <is>
          <t>ข้อ 85 (PLE_CC1_Key_Rx20_UBU.md)</t>
        </is>
      </c>
      <c r="O159" s="2" t="n"/>
      <c r="P159" s="2" t="n"/>
    </row>
    <row r="160" ht="13.2" customHeight="1" s="49">
      <c r="A160" s="8" t="inlineStr">
        <is>
          <t>158</t>
        </is>
      </c>
      <c r="B160" s="2" t="inlineStr">
        <is>
          <t>โครงสร้างในข้อใดมีฤทธิ์ Estrogenic activity</t>
        </is>
      </c>
      <c r="C160" s="2" t="n"/>
      <c r="D160" s="2" t="inlineStr">
        <is>
          <t>Ethinylestradiol 30 mcg + Drospirenone 3 mg</t>
        </is>
      </c>
      <c r="E160" s="2" t="inlineStr">
        <is>
          <t>Ethinylestradiol 35 mcg + Cyproterone acetate 2 mg</t>
        </is>
      </c>
      <c r="F160" s="2" t="inlineStr">
        <is>
          <t>Desogestrel 75 mcg OD (Progestin-only)</t>
        </is>
      </c>
      <c r="G160" s="2" t="inlineStr">
        <is>
          <t>Levonorgestrel 1.5 mg stat (Emergency)</t>
        </is>
      </c>
      <c r="H160" s="2" t="inlineStr">
        <is>
          <t>Mefenamic acid 500 mg TID</t>
        </is>
      </c>
      <c r="I160" s="8" t="n">
        <v>3</v>
      </c>
      <c r="J160" s="2"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2" t="n"/>
      <c r="L160" s="2" t="inlineStr">
        <is>
          <t>Hormonal replacement</t>
        </is>
      </c>
      <c r="M160" s="2" t="inlineStr">
        <is>
          <t>Clinic</t>
        </is>
      </c>
      <c r="N160" s="2" t="inlineStr">
        <is>
          <t>ข้อ 88 (PLE_CC1_Key_Rx20_UBU.md)</t>
        </is>
      </c>
      <c r="O160" s="2" t="n"/>
      <c r="P160" s="2" t="n"/>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5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2" t="n"/>
      <c r="D3" s="2" t="inlineStr">
        <is>
          <t>Staphylococcus aureus</t>
        </is>
      </c>
      <c r="E3" s="2" t="inlineStr">
        <is>
          <t>Staphylococcus epidermidis</t>
        </is>
      </c>
      <c r="F3" s="2" t="inlineStr">
        <is>
          <t>Streptococcus pneumoniae</t>
        </is>
      </c>
      <c r="G3" s="2" t="inlineStr">
        <is>
          <t>Neisseria gonorrhoeae</t>
        </is>
      </c>
      <c r="H3" s="2" t="inlineStr">
        <is>
          <t>Chlamydia trachomatis</t>
        </is>
      </c>
      <c r="I3" s="8" t="n">
        <v>1</v>
      </c>
      <c r="J3" s="2"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2" t="n"/>
      <c r="L3" s="2" t="inlineStr">
        <is>
          <t>Conjunctivitis</t>
        </is>
      </c>
      <c r="M3" s="2" t="inlineStr">
        <is>
          <t>Clinic</t>
        </is>
      </c>
      <c r="N3" s="2" t="inlineStr">
        <is>
          <t>ข้อ 1 Pharma Plus เล่มม่วง (เฉลยข้อ ก)</t>
        </is>
      </c>
      <c r="O3" s="2" t="n"/>
      <c r="P3" s="2" t="n"/>
    </row>
    <row r="4" ht="13.2" customHeight="1" s="49">
      <c r="A4" s="8" t="inlineStr">
        <is>
          <t>2</t>
        </is>
      </c>
      <c r="B4" s="2"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2" t="n"/>
      <c r="D4" s="2" t="inlineStr">
        <is>
          <t>Dexamethasone eye drop</t>
        </is>
      </c>
      <c r="E4" s="2" t="inlineStr">
        <is>
          <t>Oxymetazoline eye drop</t>
        </is>
      </c>
      <c r="F4" s="2" t="inlineStr">
        <is>
          <t>Idoxuridine eye drop</t>
        </is>
      </c>
      <c r="G4" s="2" t="inlineStr">
        <is>
          <t>Artificial tear</t>
        </is>
      </c>
      <c r="H4" s="2" t="inlineStr">
        <is>
          <t>Chloramphenicol eye drop</t>
        </is>
      </c>
      <c r="I4" s="8" t="n">
        <v>5</v>
      </c>
      <c r="J4" s="2"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2" t="n"/>
      <c r="L4" s="2" t="inlineStr">
        <is>
          <t>Conjunctivitis</t>
        </is>
      </c>
      <c r="M4" s="2" t="inlineStr">
        <is>
          <t>Clinic</t>
        </is>
      </c>
      <c r="N4" s="2" t="inlineStr">
        <is>
          <t>ข้อ 2 Pharma Plus เล่มม่วง (เฉลยข้อ จ)</t>
        </is>
      </c>
      <c r="O4" s="2" t="n"/>
      <c r="P4" s="2" t="n"/>
    </row>
    <row r="5" ht="13.2" customHeight="1" s="49">
      <c r="A5" s="8" t="inlineStr">
        <is>
          <t>3</t>
        </is>
      </c>
      <c r="B5" s="2" t="inlineStr">
        <is>
          <t>กลไกการออกฤทธิ์ของยาในข้อข้างต้น คือ</t>
        </is>
      </c>
      <c r="C5" s="2" t="n"/>
      <c r="D5" s="2" t="inlineStr">
        <is>
          <t>ยับยั้งการสังเคราะห์ DNA ของเชื้อ</t>
        </is>
      </c>
      <c r="E5" s="2" t="inlineStr">
        <is>
          <t>ยับยั้งการสร้างโปรตีนของเชื้อ</t>
        </is>
      </c>
      <c r="F5" s="2" t="inlineStr">
        <is>
          <t>ยับยั้งการสังเคราะห์ RNA ของเชื้อ</t>
        </is>
      </c>
      <c r="G5" s="2" t="inlineStr">
        <is>
          <t>ยับยั้งการเคลื่อนที่ของ leukocytes</t>
        </is>
      </c>
      <c r="H5" s="2" t="inlineStr">
        <is>
          <t>ยับยั้งการสร้าง cell wall</t>
        </is>
      </c>
      <c r="I5" s="8" t="n">
        <v>2</v>
      </c>
      <c r="J5" s="2"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2" t="n"/>
      <c r="L5" s="2" t="inlineStr">
        <is>
          <t>Glaucoma, Cataract</t>
        </is>
      </c>
      <c r="M5" s="2" t="inlineStr">
        <is>
          <t>Clinic</t>
        </is>
      </c>
      <c r="N5" s="2" t="inlineStr">
        <is>
          <t>ข้อ 3 Pharma Plus เล่มม่วง (เฉลยข้อ ข)</t>
        </is>
      </c>
      <c r="O5" s="2" t="n"/>
      <c r="P5" s="2" t="n"/>
    </row>
    <row r="6" ht="13.2" customHeight="1" s="49">
      <c r="A6" s="8" t="inlineStr">
        <is>
          <t>4</t>
        </is>
      </c>
      <c r="B6" s="2" t="inlineStr">
        <is>
          <t>ข้อใดถูกต้องเกี่ยวกับการเก็บยาในข้อข้างต้นหลังจากเปิดใช้แล้ว</t>
        </is>
      </c>
      <c r="C6" s="2" t="n"/>
      <c r="D6" s="2" t="inlineStr">
        <is>
          <t>อุณหภูมิ 25 c เก็บได้ 8 week</t>
        </is>
      </c>
      <c r="E6" s="2" t="inlineStr">
        <is>
          <t>อุณหภูมิ 25 c เก็บได้ 4 week</t>
        </is>
      </c>
      <c r="F6" s="2" t="inlineStr">
        <is>
          <t>อุณหภูมิ 2-8 c เก็บได้ 8 week</t>
        </is>
      </c>
      <c r="G6" s="2" t="inlineStr">
        <is>
          <t>อุณหภูมิ 2-8 c เก็บได้ 4 week</t>
        </is>
      </c>
      <c r="H6" s="2" t="inlineStr">
        <is>
          <t>อุณหภูมิ 8-15 c เก็บได้ 4 week</t>
        </is>
      </c>
      <c r="I6" s="8" t="n">
        <v>4</v>
      </c>
      <c r="J6" s="2"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2" t="n"/>
      <c r="L6" s="2" t="inlineStr">
        <is>
          <t>Glaucoma, Cataract</t>
        </is>
      </c>
      <c r="M6" s="2" t="inlineStr">
        <is>
          <t>Clinic</t>
        </is>
      </c>
      <c r="N6" s="2" t="inlineStr">
        <is>
          <t>ข้อ 4 Pharma Plus เล่มม่วง (เฉลยข้อ ง)</t>
        </is>
      </c>
      <c r="O6" s="2" t="n"/>
      <c r="P6" s="2" t="n"/>
    </row>
    <row r="7" ht="13.2" customHeight="1" s="49">
      <c r="A7" s="8" t="inlineStr">
        <is>
          <t>6</t>
        </is>
      </c>
      <c r="B7" s="2" t="inlineStr">
        <is>
          <t>จากอาการข้างต้น ท่านจะเลือกยาตัวใด</t>
        </is>
      </c>
      <c r="C7" s="2" t="n"/>
      <c r="D7" s="2" t="inlineStr">
        <is>
          <t>Prednisolone eye drop</t>
        </is>
      </c>
      <c r="E7" s="2" t="inlineStr">
        <is>
          <t>Chloramphenicol eye drop</t>
        </is>
      </c>
      <c r="F7" s="2" t="inlineStr">
        <is>
          <t>Antazoline eye drop</t>
        </is>
      </c>
      <c r="G7" s="2" t="inlineStr">
        <is>
          <t>Boric acid eye drop</t>
        </is>
      </c>
      <c r="H7" s="2" t="inlineStr">
        <is>
          <t>Hydroxypropyl methylcellulose eye drop</t>
        </is>
      </c>
      <c r="I7" s="8" t="n">
        <v>2</v>
      </c>
      <c r="J7" s="2"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2" t="n"/>
      <c r="L7" s="2" t="inlineStr">
        <is>
          <t>Glaucoma, Cataract</t>
        </is>
      </c>
      <c r="M7" s="2" t="inlineStr">
        <is>
          <t>Clinic</t>
        </is>
      </c>
      <c r="N7" s="2" t="inlineStr">
        <is>
          <t>ข้อ 6 Pharma Plus เล่มม่วง (เฉลยข้อ ข)</t>
        </is>
      </c>
      <c r="O7" s="2" t="n"/>
      <c r="P7" s="2" t="n"/>
    </row>
    <row r="8" ht="13.2" customHeight="1" s="49">
      <c r="A8" s="8" t="inlineStr">
        <is>
          <t>7</t>
        </is>
      </c>
      <c r="B8" s="2" t="inlineStr">
        <is>
          <t>กรณีจ่ายยาหยอดตาให้กับผู้ป่วยต้องแนะนำเรื่องต่อไปนี้ ยกเว้น</t>
        </is>
      </c>
      <c r="C8" s="2" t="n"/>
      <c r="D8" s="2" t="inlineStr">
        <is>
          <t>ควรล้างมือให้สะอาดก่อนใช้ยา</t>
        </is>
      </c>
      <c r="E8" s="2" t="inlineStr">
        <is>
          <t>ปรับอุณหภูมิให้เท่าอุณหภูมิร่างกาย</t>
        </is>
      </c>
      <c r="F8" s="2" t="inlineStr">
        <is>
          <t>เก็บยาในถาดใต้ช่องแช่แข็งของตู้เย็น</t>
        </is>
      </c>
      <c r="G8" s="2" t="inlineStr">
        <is>
          <t>หลังจากเปิดใช้ยาแล้ว ใช้ได้ไม่เกิน 1 เดือน</t>
        </is>
      </c>
      <c r="H8" s="2" t="inlineStr">
        <is>
          <t>กรณีที่ใช้ยาป้ายร่วมด้วย ให้ใช้ยาหยอดก่อนป้ายตา</t>
        </is>
      </c>
      <c r="I8" s="8" t="n">
        <v>3</v>
      </c>
      <c r="J8" s="2"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2" t="n"/>
      <c r="L8" s="2" t="inlineStr">
        <is>
          <t>Glaucoma, Cataract</t>
        </is>
      </c>
      <c r="M8" s="2" t="inlineStr">
        <is>
          <t>Clinic</t>
        </is>
      </c>
      <c r="N8" s="2" t="inlineStr">
        <is>
          <t>ข้อ 7 Pharma Plus เล่มม่วง (เฉลยข้อ ค)</t>
        </is>
      </c>
      <c r="O8" s="2" t="n"/>
      <c r="P8" s="2" t="n"/>
    </row>
    <row r="9" ht="13.2" customHeight="1" s="49">
      <c r="A9" s="8" t="inlineStr">
        <is>
          <t>8</t>
        </is>
      </c>
      <c r="B9" s="2" t="inlineStr">
        <is>
          <t>กรณีใดที่ต้องรีบส่งต่อผู้ป่วยรายนี้ไปโรงพยาบาล</t>
        </is>
      </c>
      <c r="C9" s="2" t="n"/>
      <c r="D9" s="2" t="inlineStr">
        <is>
          <t>ใช้ยาแล้วแสบตา</t>
        </is>
      </c>
      <c r="E9" s="2" t="inlineStr">
        <is>
          <t>ใช้ยาแล้วมีอาการขมที่ลิ้น</t>
        </is>
      </c>
      <c r="F9" s="2" t="inlineStr">
        <is>
          <t>การมองภาพ เห็นภาพซ้อน</t>
        </is>
      </c>
      <c r="G9" s="2" t="inlineStr">
        <is>
          <t>ใช้ยา 1 วันและขี้ตาไม่หายไป</t>
        </is>
      </c>
      <c r="H9" s="2" t="inlineStr">
        <is>
          <t>มีอาการปวดศีรษะร่วมด้วย</t>
        </is>
      </c>
      <c r="I9" s="8" t="n">
        <v>3</v>
      </c>
      <c r="J9" s="2"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2" t="n"/>
      <c r="L9" s="2" t="inlineStr">
        <is>
          <t>Glaucoma, Cataract</t>
        </is>
      </c>
      <c r="M9" s="2" t="inlineStr">
        <is>
          <t>Clinic</t>
        </is>
      </c>
      <c r="N9" s="2" t="inlineStr">
        <is>
          <t>ข้อ 8 Pharma Plus เล่มม่วง (เฉลยข้อ ค)</t>
        </is>
      </c>
      <c r="O9" s="2" t="n"/>
      <c r="P9" s="2" t="n"/>
    </row>
    <row r="10" ht="13.2" customHeight="1" s="49">
      <c r="A10" s="8" t="inlineStr">
        <is>
          <t>9</t>
        </is>
      </c>
      <c r="B10" s="2"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2" t="n"/>
      <c r="D10" s="2" t="inlineStr">
        <is>
          <t>Otitis media</t>
        </is>
      </c>
      <c r="E10" s="2" t="inlineStr">
        <is>
          <t>Tinnitus</t>
        </is>
      </c>
      <c r="F10" s="2" t="inlineStr">
        <is>
          <t>Influenza</t>
        </is>
      </c>
      <c r="G10" s="2" t="inlineStr">
        <is>
          <t>Sinusitis</t>
        </is>
      </c>
      <c r="H10" s="2" t="inlineStr">
        <is>
          <t>Tonsillitis</t>
        </is>
      </c>
      <c r="I10" s="8" t="n">
        <v>1</v>
      </c>
      <c r="J10" s="2"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2" t="n"/>
      <c r="L10" s="2" t="inlineStr">
        <is>
          <t>Glaucoma, Cataract</t>
        </is>
      </c>
      <c r="M10" s="2" t="inlineStr">
        <is>
          <t>Clinic</t>
        </is>
      </c>
      <c r="N10" s="2" t="inlineStr">
        <is>
          <t>ข้อ 9 Pharma Plus เล่มม่วง (เฉลยข้อ ก)</t>
        </is>
      </c>
      <c r="O10" s="2" t="n"/>
      <c r="P10" s="2" t="n"/>
    </row>
    <row r="11" ht="13.2" customHeight="1" s="49">
      <c r="A11" s="8" t="inlineStr">
        <is>
          <t>10</t>
        </is>
      </c>
      <c r="B11" s="2" t="inlineStr">
        <is>
          <t>อาการที่เกิดขึ้นสามารถเกิดได้จากเชื้อจุลชีพต่อไปนี้ ยกเว้นข้อใด</t>
        </is>
      </c>
      <c r="C11" s="2" t="n"/>
      <c r="D11" s="2" t="inlineStr">
        <is>
          <t>Streptococcus pyogenes</t>
        </is>
      </c>
      <c r="E11" s="2" t="inlineStr">
        <is>
          <t>Streptococcus pneumoniae</t>
        </is>
      </c>
      <c r="F11" s="2" t="inlineStr">
        <is>
          <t>Candida albicans</t>
        </is>
      </c>
      <c r="G11" s="2" t="inlineStr">
        <is>
          <t>Staphylococcus aureus</t>
        </is>
      </c>
      <c r="H11" s="2" t="inlineStr">
        <is>
          <t>Hemophilus influenza</t>
        </is>
      </c>
      <c r="I11" s="8" t="n">
        <v>3</v>
      </c>
      <c r="J11" s="2"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2" t="n"/>
      <c r="L11" s="2" t="inlineStr">
        <is>
          <t>Glaucoma, Cataract</t>
        </is>
      </c>
      <c r="M11" s="2" t="inlineStr">
        <is>
          <t>Clinic</t>
        </is>
      </c>
      <c r="N11" s="2" t="inlineStr">
        <is>
          <t>ข้อ 10 Pharma Plus เล่มม่วง (เฉลยข้อ ค)</t>
        </is>
      </c>
      <c r="O11" s="2" t="n"/>
      <c r="P11" s="2" t="n"/>
    </row>
    <row r="12" ht="13.2" customHeight="1" s="49">
      <c r="A12" s="8" t="inlineStr">
        <is>
          <t>11</t>
        </is>
      </c>
      <c r="B12" s="2" t="inlineStr">
        <is>
          <t>ยาต้านจุลชีพที่ควรเลือกใช้เป็นอันดับแรกสำหรับผู้ป่วยรายนี้คือ</t>
        </is>
      </c>
      <c r="C12" s="2" t="n"/>
      <c r="D12" s="2" t="inlineStr">
        <is>
          <t>Norfloxacin</t>
        </is>
      </c>
      <c r="E12" s="2" t="inlineStr">
        <is>
          <t>Tetracycline</t>
        </is>
      </c>
      <c r="F12" s="2" t="inlineStr">
        <is>
          <t>Amoxicillin</t>
        </is>
      </c>
      <c r="G12" s="2" t="inlineStr">
        <is>
          <t>Chloramphenicol</t>
        </is>
      </c>
      <c r="H12" s="2" t="inlineStr">
        <is>
          <t>Sulfamethoxazole + trimethoprim</t>
        </is>
      </c>
      <c r="I12" s="8" t="n">
        <v>3</v>
      </c>
      <c r="J12" s="2"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2" t="n"/>
      <c r="L12" s="2" t="inlineStr">
        <is>
          <t>Glaucoma, Cataract</t>
        </is>
      </c>
      <c r="M12" s="2" t="inlineStr">
        <is>
          <t>Clinic</t>
        </is>
      </c>
      <c r="N12" s="2" t="inlineStr">
        <is>
          <t>ข้อ 11 Pharma Plus เล่มม่วง (เฉลยข้อ ค)</t>
        </is>
      </c>
      <c r="O12" s="2" t="n"/>
      <c r="P12" s="2" t="n"/>
    </row>
    <row r="13" ht="13.2" customHeight="1" s="49">
      <c r="A13" s="8" t="inlineStr">
        <is>
          <t>12</t>
        </is>
      </c>
      <c r="B13" s="2" t="inlineStr">
        <is>
          <t>ข้อใดผิดเกี่ยวกับยาที่เลือกใช้ในข้อข้างต้น</t>
        </is>
      </c>
      <c r="C13" s="2" t="n"/>
      <c r="D13" s="2" t="inlineStr">
        <is>
          <t>มีฤทธิ์เป็น bacteriostatic</t>
        </is>
      </c>
      <c r="E13" s="2" t="inlineStr">
        <is>
          <t>หากเกิดการแพ้จะพบผื่นแพ้แบบ erythema multiforme</t>
        </is>
      </c>
      <c r="F13" s="2" t="inlineStr">
        <is>
          <t>กลไกการดื้อยาที่สำคัญคือเชื้อสร้าง beta-lactamase มาทำลายยา</t>
        </is>
      </c>
      <c r="G13" s="2" t="inlineStr">
        <is>
          <t>โดยทั่วไปกลุ่มนี้ออกฤทธิ์ต่อแบคทีเรียแกรมบวกได้ดีกว่าแบคทีเรียแกรมลบ</t>
        </is>
      </c>
      <c r="H13" s="2" t="inlineStr">
        <is>
          <t>ได้รับยาในขนาดสูง (toxic dose) ทำให้เกิด neuromuscular hypersensitivity</t>
        </is>
      </c>
      <c r="I13" s="8" t="n">
        <v>1</v>
      </c>
      <c r="J13" s="2"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2" t="n"/>
      <c r="L13" s="2" t="inlineStr">
        <is>
          <t>Glaucoma, Cataract</t>
        </is>
      </c>
      <c r="M13" s="2" t="inlineStr">
        <is>
          <t>Clinic</t>
        </is>
      </c>
      <c r="N13" s="2" t="inlineStr">
        <is>
          <t>ข้อ 12 Pharma Plus เล่มม่วง (เฉลยข้อ ก ข จ)</t>
        </is>
      </c>
      <c r="O13" s="2" t="n"/>
      <c r="P13" s="2" t="n"/>
    </row>
    <row r="14" ht="13.2" customHeight="1" s="49">
      <c r="A14" s="8" t="inlineStr">
        <is>
          <t>13</t>
        </is>
      </c>
      <c r="B14" s="2"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2" t="n"/>
      <c r="D14" s="2" t="inlineStr">
        <is>
          <t>รับประทานยาครั้งละ 1/4 ช้อนชา วันละ 4 ครั้ง</t>
        </is>
      </c>
      <c r="E14" s="2" t="inlineStr">
        <is>
          <t>รับประทานยาครั้งละ 1/2 ช้อนชา วันละ 3 ครั้ง</t>
        </is>
      </c>
      <c r="F14" s="2" t="inlineStr">
        <is>
          <t>รับประทานยาครั้งละ 3/4 ช้อนชา วันละ 3 ครั้ง</t>
        </is>
      </c>
      <c r="G14" s="2" t="inlineStr">
        <is>
          <t>รับประทานยาครั้งละ 1 ช้อนชา วันละ 3 ครั้ง</t>
        </is>
      </c>
      <c r="H14" s="2" t="inlineStr">
        <is>
          <t>รับประทานยาครั้งละ 1 ช้อนชา วันละ 4 ครั้ง</t>
        </is>
      </c>
      <c r="I14" s="8" t="n">
        <v>2</v>
      </c>
      <c r="J14" s="2"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2" t="n"/>
      <c r="L14" s="2" t="inlineStr">
        <is>
          <t>Glaucoma, Cataract</t>
        </is>
      </c>
      <c r="M14" s="2" t="inlineStr">
        <is>
          <t>Clinic</t>
        </is>
      </c>
      <c r="N14" s="2" t="inlineStr">
        <is>
          <t>ข้อ 13 Pharma Plus เล่มม่วง (เฉลยข้อ ข)</t>
        </is>
      </c>
      <c r="O14" s="2" t="n"/>
      <c r="P14" s="2" t="n"/>
    </row>
    <row r="15" ht="13.2" customHeight="1" s="49">
      <c r="A15" s="8" t="inlineStr">
        <is>
          <t>14</t>
        </is>
      </c>
      <c r="B15" s="2"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2" t="n"/>
      <c r="D15" s="2" t="inlineStr">
        <is>
          <t>Blepharitis</t>
        </is>
      </c>
      <c r="E15" s="2" t="inlineStr">
        <is>
          <t>Hordeolum</t>
        </is>
      </c>
      <c r="F15" s="2" t="inlineStr">
        <is>
          <t>Glaucoma</t>
        </is>
      </c>
      <c r="G15" s="2" t="inlineStr">
        <is>
          <t>Bacterial conjunctivitis</t>
        </is>
      </c>
      <c r="H15" s="2" t="inlineStr">
        <is>
          <t>Allergic conjunctivitis</t>
        </is>
      </c>
      <c r="I15" s="8" t="n">
        <v>5</v>
      </c>
      <c r="J15" s="2"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2" t="n"/>
      <c r="L15" s="2" t="inlineStr">
        <is>
          <t>Conjunctivitis</t>
        </is>
      </c>
      <c r="M15" s="2" t="inlineStr">
        <is>
          <t>Clinic</t>
        </is>
      </c>
      <c r="N15" s="2" t="inlineStr">
        <is>
          <t>ข้อ 14 Pharma Plus เล่มม่วง (เฉลยข้อ จ)</t>
        </is>
      </c>
      <c r="O15" s="2" t="n"/>
      <c r="P15" s="2" t="n"/>
    </row>
    <row r="16" ht="13.2" customHeight="1" s="49">
      <c r="A16" s="8" t="inlineStr">
        <is>
          <t>15</t>
        </is>
      </c>
      <c r="B16" s="2"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2" t="n"/>
      <c r="D16" s="2" t="inlineStr">
        <is>
          <t>ใส่ contact lens ตามปกติแล้วหยอดตา</t>
        </is>
      </c>
      <c r="E16" s="2" t="inlineStr">
        <is>
          <t>ใส่ contact lens ให้น้อยลง เช่น วันเว้นวัน</t>
        </is>
      </c>
      <c r="F16" s="2" t="inlineStr">
        <is>
          <t>หากจำเป็นต้องหยอดตา ให้หยอดตาก่อนใส่ contact lens 1-2 นาที</t>
        </is>
      </c>
      <c r="G16" s="2" t="inlineStr">
        <is>
          <t>หากจำเป็นต้องหยอดตา ให้ใส่ contact lens ก่อนหยอดตา</t>
        </is>
      </c>
      <c r="H16" s="2" t="inlineStr">
        <is>
          <t>งดใส่ contact lens ในช่วงที่มีอาการ</t>
        </is>
      </c>
      <c r="I16" s="8" t="n">
        <v>5</v>
      </c>
      <c r="J16" s="2"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2" t="n"/>
      <c r="L16" s="2" t="inlineStr">
        <is>
          <t>Conjunctivitis</t>
        </is>
      </c>
      <c r="M16" s="2" t="inlineStr">
        <is>
          <t>Clinic</t>
        </is>
      </c>
      <c r="N16" s="2" t="inlineStr">
        <is>
          <t>ข้อ 15 Pharma Plus เล่มม่วง (เฉลยข้อ จ)</t>
        </is>
      </c>
      <c r="O16" s="2" t="n"/>
      <c r="P16" s="2" t="n"/>
    </row>
    <row r="17" ht="13.2" customHeight="1" s="49">
      <c r="A17" s="8" t="inlineStr">
        <is>
          <t>16</t>
        </is>
      </c>
      <c r="B17" s="2" t="inlineStr">
        <is>
          <t>ข้อใดไม่ใช่ ophthalmic decongestant</t>
        </is>
      </c>
      <c r="C17" s="2" t="n"/>
      <c r="D17" s="2" t="inlineStr">
        <is>
          <t>Boric acid</t>
        </is>
      </c>
      <c r="E17" s="2" t="inlineStr">
        <is>
          <t>Phenylephrine</t>
        </is>
      </c>
      <c r="F17" s="2" t="inlineStr">
        <is>
          <t>Oxymetazoline</t>
        </is>
      </c>
      <c r="G17" s="2" t="inlineStr">
        <is>
          <t>Naphazoline</t>
        </is>
      </c>
      <c r="H17" s="2" t="inlineStr">
        <is>
          <t>Tetrahydrozoline</t>
        </is>
      </c>
      <c r="I17" s="8" t="n">
        <v>1</v>
      </c>
      <c r="J17" s="2"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2" t="n"/>
      <c r="L17" s="2" t="inlineStr">
        <is>
          <t>Glaucoma, Cataract</t>
        </is>
      </c>
      <c r="M17" s="2" t="inlineStr">
        <is>
          <t>Clinic</t>
        </is>
      </c>
      <c r="N17" s="2" t="inlineStr">
        <is>
          <t>ข้อ 16 Pharma Plus เล่มม่วง (เฉลยข้อ ก)</t>
        </is>
      </c>
      <c r="O17" s="2" t="n"/>
      <c r="P17" s="2" t="n"/>
    </row>
    <row r="18" ht="13.2" customHeight="1" s="49">
      <c r="A18" s="8" t="inlineStr">
        <is>
          <t>17</t>
        </is>
      </c>
      <c r="B18" s="2" t="inlineStr">
        <is>
          <t>กรณีที่ผู้ป่วยเป็นตาแดงจากการติดเชื้อ เชื้อในข้อใดเป็นสาเหตุที่พบได้บ่อย</t>
        </is>
      </c>
      <c r="C18" s="2" t="n"/>
      <c r="D18" s="2" t="inlineStr">
        <is>
          <t>Escherichia coli</t>
        </is>
      </c>
      <c r="E18" s="2" t="inlineStr">
        <is>
          <t>Staphylococcus aureus</t>
        </is>
      </c>
      <c r="F18" s="2" t="inlineStr">
        <is>
          <t>Acinetobacter spp.</t>
        </is>
      </c>
      <c r="G18" s="2" t="inlineStr">
        <is>
          <t>Neisseria gonorrhoeae</t>
        </is>
      </c>
      <c r="H18" s="2" t="inlineStr">
        <is>
          <t>Buekholderia pseudomallei</t>
        </is>
      </c>
      <c r="I18" s="8" t="n">
        <v>2</v>
      </c>
      <c r="J18" s="2"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2" t="n"/>
      <c r="L18" s="2" t="inlineStr">
        <is>
          <t>Conjunctivitis</t>
        </is>
      </c>
      <c r="M18" s="2" t="inlineStr">
        <is>
          <t>Clinic</t>
        </is>
      </c>
      <c r="N18" s="2" t="inlineStr">
        <is>
          <t>ข้อ 17 Pharma Plus เล่มม่วง (เฉลยข้อ ข)</t>
        </is>
      </c>
      <c r="O18" s="2" t="n"/>
      <c r="P18" s="2" t="n"/>
    </row>
    <row r="19" ht="13.2" customHeight="1" s="49">
      <c r="A19" s="8" t="inlineStr">
        <is>
          <t>18</t>
        </is>
      </c>
      <c r="B19"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2" t="n"/>
      <c r="D19" s="2" t="inlineStr">
        <is>
          <t>โรคต้อกระจก</t>
        </is>
      </c>
      <c r="E19" s="2" t="inlineStr">
        <is>
          <t>โรคตาแดง</t>
        </is>
      </c>
      <c r="F19" s="2" t="inlineStr">
        <is>
          <t>โรคต้อเนื้อ</t>
        </is>
      </c>
      <c r="G19" s="2" t="inlineStr">
        <is>
          <t>โรคต้อกุ้งยิง</t>
        </is>
      </c>
      <c r="H19" s="2" t="inlineStr">
        <is>
          <t>โรคต้อหิน</t>
        </is>
      </c>
      <c r="I19" s="8" t="n">
        <v>5</v>
      </c>
      <c r="J19" s="2"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2" t="n"/>
      <c r="L19" s="2" t="inlineStr">
        <is>
          <t>Glaucoma, Cataract</t>
        </is>
      </c>
      <c r="M19" s="2" t="inlineStr">
        <is>
          <t>Clinic</t>
        </is>
      </c>
      <c r="N19" s="2" t="inlineStr">
        <is>
          <t>ข้อ 18 Pharma Plus เล่มม่วง (เฉลยข้อ จ)</t>
        </is>
      </c>
      <c r="O19" s="2" t="n"/>
      <c r="P19" s="2" t="n"/>
    </row>
    <row r="20" ht="13.2" customHeight="1" s="49">
      <c r="A20" s="8" t="inlineStr">
        <is>
          <t>19</t>
        </is>
      </c>
      <c r="B20" s="2"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เภสัชกรจึงได้ให้คำแนะนำแก่ผู้ป่วย อยากทราบว่าข้อใดไม่ถูกต้อง</t>
        </is>
      </c>
      <c r="C20" s="2" t="n"/>
      <c r="D20" s="2" t="inlineStr">
        <is>
          <t>เกิดจากความดันโลหิตสูงกว่าปกติ</t>
        </is>
      </c>
      <c r="E20" s="2" t="inlineStr">
        <is>
          <t>[NEED_REVIEW]</t>
        </is>
      </c>
      <c r="F20" s="2" t="inlineStr">
        <is>
          <t>หากไม่รับการรักษาจะทำให้เกิดตาบอดได้</t>
        </is>
      </c>
      <c r="G20" s="2" t="inlineStr">
        <is>
          <t>การรักษาสามารถใช้ยาหยอดตา atropine เพื่อควบคุมอาการได้</t>
        </is>
      </c>
      <c r="H20" s="2" t="inlineStr">
        <is>
          <t>แพทย์จะพิจารณารักษาตาอีกข้าง (ในกรณีที่เป็นตาข้างเดียว) เฉียบพลันในอนาคตได้</t>
        </is>
      </c>
      <c r="I20" s="8" t="n">
        <v>1</v>
      </c>
      <c r="J20" s="2" t="inlineStr">
        <is>
          <t>✅ คำตอบที่ถูกต้อง: ข้อ ก. เกิดจากความดันโลหิตสูงกว่าปกติ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เกิดจากความดันโลหิตสูงกว่าปกติ ห้ามใช้ยา Atropine (mydriatics) ในผู้ป่วยต้อหินมุมปิดเด็ดขาด เนื่องจากจะทำให้ม่านตาขยายและไปปิดมุมตามากยิ่งขึ้น ส่งผลให้ความดันในลูกตาสูงขึ้นอย่างรุนแรงและอาการแย่ลง
🔍 ข้ออื่นผิดเพราะอะไร:
• ข้อ ข. (สามารถพบได้ในผู้ที่มีการใช้ steroid เป็นประจำ): สามารถพบได้ในผู้ที่มีการใช้ steroid เป็นประจำ ไม่ตรงกับข้อบ่งใช้หรือกลไกการออกฤทธิ์ที่ถูกต้องตาม AAO Preferred Practice Pattern / Thai Ophthalmological Society Guidelines
• ข้อ ค. (หากไม่รับการรักษาจะทำให้เกิดตาบอดได้): หากไม่รับการรักษาจะทำให้เกิดตาบอดได้ ไม่ตรงกับข้อบ่งใช้หรือกลไกการออกฤทธิ์ที่ถูกต้องตาม AAO Preferred Practice Pattern / Thai Ophthalmological Society Guidelines
• ข้อ ง. (การรักษาสามารถใช้ยาหยอดตา atropine เพื่อควบคุมอาการได้): การรักษาสามารถใช้ยาหยอดตา atropine เพื่อควบคุมอาการได้ ไม่ตรงกับข้อบ่งใช้หรือกลไกการออกฤทธิ์ที่ถูกต้องตาม AAO Preferred Practice Pattern / Thai Ophthalmological Society Guidelines
• ข้อ จ. (แพทย์จะพิจารณารักษาตาอีกข้าง (ในกรณีที่เป็นตาข้างเดียว) เฉียบพลันในอนาคตได้): แพทย์จะพิจารณารักษาตาอีกข้าง (ในกรณีที่เป็นตาข้างเดียว) เฉียบพลันในอนาคตได้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 s="2" t="n"/>
      <c r="L20" s="2" t="inlineStr">
        <is>
          <t>Glaucoma, Cataract</t>
        </is>
      </c>
      <c r="M20" s="2" t="inlineStr">
        <is>
          <t>Clinic</t>
        </is>
      </c>
      <c r="N20" s="2" t="inlineStr">
        <is>
          <t>ข้อ 19 Pharma Plus เล่มม่วง (เฉลยข้อ ก ง)</t>
        </is>
      </c>
      <c r="O20" s="2" t="n"/>
      <c r="P20" s="2" t="n"/>
    </row>
    <row r="21" ht="13.2" customHeight="1" s="49">
      <c r="A21" s="8" t="inlineStr">
        <is>
          <t>20</t>
        </is>
      </c>
      <c r="B21" s="2" t="inlineStr">
        <is>
          <t>สารชนิดใดที่สามารถใช้รักษาได้โดยมีฤทธิ์ลด aqueous humor ภายในลูกตา</t>
        </is>
      </c>
      <c r="C21" s="2" t="n"/>
      <c r="D21" s="2" t="inlineStr">
        <is>
          <t>Timolol</t>
        </is>
      </c>
      <c r="E21" s="2" t="inlineStr">
        <is>
          <t>Pilocarpine</t>
        </is>
      </c>
      <c r="F21" s="2" t="inlineStr">
        <is>
          <t>Mannitol</t>
        </is>
      </c>
      <c r="G21" s="2" t="inlineStr">
        <is>
          <t>Thiazide</t>
        </is>
      </c>
      <c r="H21" s="2" t="inlineStr">
        <is>
          <t>Carbachol</t>
        </is>
      </c>
      <c r="I21" s="8" t="n">
        <v>1</v>
      </c>
      <c r="J21"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2" t="n"/>
      <c r="L21" s="2" t="inlineStr">
        <is>
          <t>Glaucoma, Cataract</t>
        </is>
      </c>
      <c r="M21" s="2" t="inlineStr">
        <is>
          <t>Clinic</t>
        </is>
      </c>
      <c r="N21" s="2" t="inlineStr">
        <is>
          <t>ข้อ 20 Pharma Plus เล่มม่วง (เฉลยข้อ ก)</t>
        </is>
      </c>
      <c r="O21" s="2" t="n"/>
      <c r="P21" s="2" t="n"/>
    </row>
    <row r="22" ht="13.2" customHeight="1" s="49">
      <c r="A22" s="8" t="inlineStr">
        <is>
          <t>21</t>
        </is>
      </c>
      <c r="B22" s="2" t="inlineStr">
        <is>
          <t>ข้อใดเป็นคำแนะนำการใช้ยาตาที่ไม่ถูกต้อง</t>
        </is>
      </c>
      <c r="C22" s="2" t="n"/>
      <c r="D22" s="2" t="inlineStr">
        <is>
          <t>ล้างมือให้สะอาดก่อนและหลังหยอดตา</t>
        </is>
      </c>
      <c r="E22" s="2" t="inlineStr">
        <is>
          <t>เอนตัวไปข้างหน้าเล็กน้อย</t>
        </is>
      </c>
      <c r="F22" s="2" t="inlineStr">
        <is>
          <t>ดึงหนังตาล่างออกเป็นกระพุ้ง</t>
        </is>
      </c>
      <c r="G22" s="2" t="inlineStr">
        <is>
          <t>เมื่อหยอดยาเสร็จ กดที่หัวตาเบาๆ 2-3 นาที เพื่อมีให้ยาไหลลงในท่อน้ำตา</t>
        </is>
      </c>
      <c r="H22" s="2" t="inlineStr">
        <is>
          <t>หากต้องหยอดยาตา 2 ชนิด ให้หยอดห่างกัน 5 นาที</t>
        </is>
      </c>
      <c r="I22" s="8" t="n">
        <v>2</v>
      </c>
      <c r="J22" s="2"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2" t="n"/>
      <c r="L22" s="2" t="inlineStr">
        <is>
          <t>Glaucoma, Cataract</t>
        </is>
      </c>
      <c r="M22" s="2" t="inlineStr">
        <is>
          <t>Clinic</t>
        </is>
      </c>
      <c r="N22" s="2" t="inlineStr">
        <is>
          <t>ข้อ 21 Pharma Plus เล่มม่วง (เฉลยข้อ ข)</t>
        </is>
      </c>
      <c r="O22" s="2" t="n"/>
      <c r="P22" s="2" t="n"/>
    </row>
    <row r="23" ht="13.2" customHeight="1" s="49">
      <c r="A23" s="8" t="inlineStr">
        <is>
          <t>22</t>
        </is>
      </c>
      <c r="B23" s="2" t="inlineStr">
        <is>
          <t>ยาชนิดใดต่อไปนี้ไม่มีข้อห้ามใช้ หรือข้อควรระวังในผู้ป่วยโรคต้อหิน</t>
        </is>
      </c>
      <c r="C23" s="2" t="n"/>
      <c r="D23" s="2" t="inlineStr">
        <is>
          <t>0.1% Diclofenac ED.</t>
        </is>
      </c>
      <c r="E23" s="2" t="inlineStr">
        <is>
          <t>0.1% Fluorometholone ED</t>
        </is>
      </c>
      <c r="F23" s="2" t="inlineStr">
        <is>
          <t>0.1% Dexamethasone ED</t>
        </is>
      </c>
      <c r="G23" s="2" t="inlineStr">
        <is>
          <t>0.5% Atropine ED</t>
        </is>
      </c>
      <c r="H23" s="2" t="inlineStr">
        <is>
          <t>0.05% Naphazoline ED</t>
        </is>
      </c>
      <c r="I23" s="8" t="n">
        <v>1</v>
      </c>
      <c r="J23" s="2"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2" t="n"/>
      <c r="L23" s="2" t="inlineStr">
        <is>
          <t>Glaucoma, Cataract</t>
        </is>
      </c>
      <c r="M23" s="2" t="inlineStr">
        <is>
          <t>Clinic</t>
        </is>
      </c>
      <c r="N23" s="2" t="inlineStr">
        <is>
          <t>ข้อ 22 Pharma Plus เล่มม่วง (เฉลยข้อ ก จ)</t>
        </is>
      </c>
      <c r="O23" s="2" t="n"/>
      <c r="P23" s="2" t="n"/>
    </row>
    <row r="24" ht="13.2" customHeight="1" s="49">
      <c r="A24" s="8" t="inlineStr">
        <is>
          <t>23</t>
        </is>
      </c>
      <c r="B24" s="2" t="inlineStr">
        <is>
          <t>ข้อใดคือเสียของการใช้ dexamethasone eye drops เป็นเวลานาน Zero ↓ Ifname first order kinetic first T90 % = % Te , shelf-life &amp;85</t>
        </is>
      </c>
      <c r="C24" s="2" t="n"/>
      <c r="D24" s="2" t="inlineStr">
        <is>
          <t>Eye irritation</t>
        </is>
      </c>
      <c r="E24" s="2" t="inlineStr">
        <is>
          <t>Cataract</t>
        </is>
      </c>
      <c r="F24" s="2" t="inlineStr">
        <is>
          <t>Decrease intraocular pressure</t>
        </is>
      </c>
      <c r="G24" s="2" t="inlineStr">
        <is>
          <t>Eyelash lengthener</t>
        </is>
      </c>
      <c r="H24" s="2" t="inlineStr">
        <is>
          <t>Retinitis pigmentosa</t>
        </is>
      </c>
      <c r="I24" s="8" t="n">
        <v>1</v>
      </c>
      <c r="J24" s="2"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2" t="n"/>
      <c r="L24" s="2" t="inlineStr">
        <is>
          <t>Glaucoma, Cataract</t>
        </is>
      </c>
      <c r="M24" s="2" t="inlineStr">
        <is>
          <t>Clinic</t>
        </is>
      </c>
      <c r="N24" s="2" t="inlineStr">
        <is>
          <t>ข้อ 16 (PLE_CC1_2562_Key.md)</t>
        </is>
      </c>
      <c r="O24" s="2" t="n"/>
      <c r="P24" s="2" t="n"/>
    </row>
    <row r="25" ht="13.2" customHeight="1" s="49">
      <c r="A25" s="8" t="inlineStr">
        <is>
          <t>24</t>
        </is>
      </c>
      <c r="B25" s="2" t="inlineStr">
        <is>
          <t>ในปัจจุบันยาชนิดใกที่ช่วยรักษาอาการของต้อหินได้ครบทุกกลไกของการเกิดโรค</t>
        </is>
      </c>
      <c r="C25" s="2" t="n"/>
      <c r="D25" s="2" t="inlineStr">
        <is>
          <t>Timolol</t>
        </is>
      </c>
      <c r="E25" s="2" t="inlineStr">
        <is>
          <t>Latanoprost</t>
        </is>
      </c>
      <c r="F25" s="2" t="inlineStr">
        <is>
          <t>Acetazolamide</t>
        </is>
      </c>
      <c r="G25" s="2" t="inlineStr">
        <is>
          <t>Apraclonidine</t>
        </is>
      </c>
      <c r="H25" s="2" t="inlineStr">
        <is>
          <t>Pilocarpine</t>
        </is>
      </c>
      <c r="I25" s="8" t="n">
        <v>1</v>
      </c>
      <c r="J25" s="2"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2" t="n"/>
      <c r="L25" s="2" t="inlineStr">
        <is>
          <t>Glaucoma, Cataract</t>
        </is>
      </c>
      <c r="M25" s="2" t="inlineStr">
        <is>
          <t>Clinic</t>
        </is>
      </c>
      <c r="N25" s="2" t="inlineStr">
        <is>
          <t>ข้อ 75 (Pharmtutor_2024_Set2.md)</t>
        </is>
      </c>
      <c r="O25" s="2" t="n"/>
      <c r="P25" s="2" t="n"/>
    </row>
    <row r="26" ht="13.2" customHeight="1" s="49">
      <c r="A26" s="8" t="inlineStr">
        <is>
          <t>25</t>
        </is>
      </c>
      <c r="B26" s="2"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2" t="n"/>
      <c r="D26" s="2" t="inlineStr">
        <is>
          <t>ยาปลอม</t>
        </is>
      </c>
      <c r="E26" s="2" t="inlineStr">
        <is>
          <t>ยาเสื่อมคุณภาพ</t>
        </is>
      </c>
      <c r="F26" s="2" t="inlineStr">
        <is>
          <t>ยาผิดมาตรฐาน</t>
        </is>
      </c>
      <c r="G26" s="2" t="inlineStr">
        <is>
          <t>ยาเทียม</t>
        </is>
      </c>
      <c r="H26" s="2" t="inlineStr">
        <is>
          <t>ยาแปรสภาพ ตะลุยโจทย์เภสัชจุฬาฯ สอบผ่าน 100%</t>
        </is>
      </c>
      <c r="I26" s="8" t="n">
        <v>1</v>
      </c>
      <c r="J26" s="2"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2" t="n"/>
      <c r="L26" s="2" t="inlineStr">
        <is>
          <t>Glaucoma, Cataract</t>
        </is>
      </c>
      <c r="M26" s="2" t="inlineStr">
        <is>
          <t>Clinic</t>
        </is>
      </c>
      <c r="N26" s="2" t="inlineStr">
        <is>
          <t>ข้อ 3 (LAW-CU-71.md)</t>
        </is>
      </c>
      <c r="O26" s="2" t="n"/>
      <c r="P26" s="2" t="n"/>
    </row>
    <row r="27" ht="13.2" customHeight="1" s="49">
      <c r="A27" s="8" t="inlineStr">
        <is>
          <t>26</t>
        </is>
      </c>
      <c r="B27" s="2" t="inlineStr">
        <is>
          <t>Sodium starch glycolate เป็นสารช่วยแตกตัว Case 4: Conjunctivitis</t>
        </is>
      </c>
      <c r="C27" s="2" t="n"/>
      <c r="D27" s="2" t="inlineStr">
        <is>
          <t>Prednisolone acetate 1% eye drops</t>
        </is>
      </c>
      <c r="E27" s="2" t="inlineStr">
        <is>
          <t>Acetazolamide 250 mg BID</t>
        </is>
      </c>
      <c r="F27" s="2" t="inlineStr">
        <is>
          <t>Timolol 0.5% eye drops 1 drop BID</t>
        </is>
      </c>
      <c r="G27" s="2" t="inlineStr">
        <is>
          <t>Latanoprost 0.005% eye drops 1 drop HS</t>
        </is>
      </c>
      <c r="H27" s="2" t="inlineStr">
        <is>
          <t>Brimonidine 0.2% eye drops 1 drop BID</t>
        </is>
      </c>
      <c r="I27" s="8" t="n">
        <v>1</v>
      </c>
      <c r="J2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2" t="n"/>
      <c r="L27" s="2" t="inlineStr">
        <is>
          <t>Conjunctivitis</t>
        </is>
      </c>
      <c r="M27" s="2" t="inlineStr">
        <is>
          <t>Clinic</t>
        </is>
      </c>
      <c r="N27" s="2" t="inlineStr">
        <is>
          <t>ข้อ 1 (PLE_CC1_2555 Day 2.md)</t>
        </is>
      </c>
      <c r="O27" s="2" t="n"/>
      <c r="P27" s="2" t="n"/>
    </row>
    <row r="28" ht="13.2" customHeight="1" s="49">
      <c r="A28" s="8" t="inlineStr">
        <is>
          <t>27</t>
        </is>
      </c>
      <c r="B2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2" t="n"/>
      <c r="D28" s="2" t="inlineStr">
        <is>
          <t>Latanoprost 0.005% eye drops 1 drop HS</t>
        </is>
      </c>
      <c r="E28" s="2" t="inlineStr">
        <is>
          <t>Brimonidine 0.2% eye drops 1 drop BID</t>
        </is>
      </c>
      <c r="F28" s="2" t="inlineStr">
        <is>
          <t>Dorzolamide 2% eye drops 1 drop BID</t>
        </is>
      </c>
      <c r="G28" s="2" t="inlineStr">
        <is>
          <t>Tobramycin 0.3% eye drops 1 drop QID</t>
        </is>
      </c>
      <c r="H28" s="2" t="inlineStr">
        <is>
          <t>Chloramphenicol 0.5% eye drops 1 drop QID</t>
        </is>
      </c>
      <c r="I28" s="8" t="n">
        <v>1</v>
      </c>
      <c r="J2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2" t="n"/>
      <c r="L28" s="2" t="inlineStr">
        <is>
          <t>Conjunctivitis</t>
        </is>
      </c>
      <c r="M28" s="2" t="inlineStr">
        <is>
          <t>Clinic</t>
        </is>
      </c>
      <c r="N28" s="2" t="inlineStr">
        <is>
          <t>ข้อ 1 (PLE_CC1_2555 Day 2.md)</t>
        </is>
      </c>
      <c r="O28" s="2" t="n"/>
      <c r="P28" s="2" t="n"/>
    </row>
    <row r="29" ht="13.2" customHeight="1" s="49">
      <c r="A29" s="8" t="inlineStr">
        <is>
          <t>28</t>
        </is>
      </c>
      <c r="B29" s="2" t="inlineStr">
        <is>
          <t>เก็บยาหยอดตาไว้ที่อุณหภูมิห้องปกติ ให้แสงสว่างส่องถึง</t>
        </is>
      </c>
      <c r="C29" s="2" t="n"/>
      <c r="D29" s="2" t="inlineStr">
        <is>
          <t>Tobramycin 0.3% eye drops 1 drop QID</t>
        </is>
      </c>
      <c r="E29" s="2" t="inlineStr">
        <is>
          <t>Chloramphenicol 0.5% eye drops 1 drop QID</t>
        </is>
      </c>
      <c r="F29" s="2" t="inlineStr">
        <is>
          <t>Artificial tears 1 drop QID</t>
        </is>
      </c>
      <c r="G29" s="2" t="inlineStr">
        <is>
          <t>Antazoline/Tetrahydrozoline eye drops 1 drop TID</t>
        </is>
      </c>
      <c r="H29" s="2" t="inlineStr">
        <is>
          <t>Prednisolone acetate 1% eye drops</t>
        </is>
      </c>
      <c r="I29" s="8" t="n">
        <v>1</v>
      </c>
      <c r="J2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2" t="n"/>
      <c r="L29" s="2" t="inlineStr">
        <is>
          <t>Glaucoma, Cataract</t>
        </is>
      </c>
      <c r="M29" s="2" t="inlineStr">
        <is>
          <t>Clinic</t>
        </is>
      </c>
      <c r="N29" s="2" t="inlineStr">
        <is>
          <t>ข้อ 1 (PLE_CC1_2555 Day 2.md)</t>
        </is>
      </c>
      <c r="O29" s="2" t="n"/>
      <c r="P29" s="2" t="n"/>
    </row>
    <row r="30" ht="13.2" customHeight="1" s="49">
      <c r="A30" s="8" t="inlineStr">
        <is>
          <t>29</t>
        </is>
      </c>
      <c r="B30" s="2" t="inlineStr">
        <is>
          <t>เมื่อหยอดตาเสร็จแล้ว หลับตาสักครู่ และไม่ควรใช้ยาร่วมกับผู้อื่น</t>
        </is>
      </c>
      <c r="C30" s="2" t="n"/>
      <c r="D30" s="2" t="inlineStr">
        <is>
          <t>Antazoline/Tetrahydrozoline eye drops 1 drop TID</t>
        </is>
      </c>
      <c r="E30" s="2" t="inlineStr">
        <is>
          <t>Prednisolone acetate 1% eye drops</t>
        </is>
      </c>
      <c r="F30" s="2" t="inlineStr">
        <is>
          <t>Acetazolamide 250 mg BID</t>
        </is>
      </c>
      <c r="G30" s="2" t="inlineStr">
        <is>
          <t>Timolol 0.5% eye drops 1 drop BID</t>
        </is>
      </c>
      <c r="H30" s="2" t="inlineStr">
        <is>
          <t>Latanoprost 0.005% eye drops 1 drop HS</t>
        </is>
      </c>
      <c r="I30" s="8" t="n">
        <v>1</v>
      </c>
      <c r="J30" s="2"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2" t="n"/>
      <c r="L30" s="2" t="inlineStr">
        <is>
          <t>Glaucoma, Cataract</t>
        </is>
      </c>
      <c r="M30" s="2" t="inlineStr">
        <is>
          <t>Clinic</t>
        </is>
      </c>
      <c r="N30" s="2" t="inlineStr">
        <is>
          <t>ข้อ 2 (PLE_CC1_2555 Day 2.md)</t>
        </is>
      </c>
      <c r="O30" s="2" t="n"/>
      <c r="P30" s="2" t="n"/>
    </row>
    <row r="31" ht="13.2" customHeight="1" s="49">
      <c r="A31" s="8" t="inlineStr">
        <is>
          <t>30</t>
        </is>
      </c>
      <c r="B31" s="2" t="inlineStr">
        <is>
          <t>หากลืมหยอดตา สามารถหยอดพร้อมกัน 2 หยดในครั้งถัดไปได้</t>
        </is>
      </c>
      <c r="C31" s="2" t="n"/>
      <c r="D31" s="2" t="inlineStr">
        <is>
          <t>Timolol 0.5% eye drops 1 drop BID</t>
        </is>
      </c>
      <c r="E31" s="2" t="inlineStr">
        <is>
          <t>Latanoprost 0.005% eye drops 1 drop HS</t>
        </is>
      </c>
      <c r="F31" s="2" t="inlineStr">
        <is>
          <t>Brimonidine 0.2% eye drops 1 drop BID</t>
        </is>
      </c>
      <c r="G31" s="2" t="inlineStr">
        <is>
          <t>Dorzolamide 2% eye drops 1 drop BID</t>
        </is>
      </c>
      <c r="H31" s="2" t="inlineStr">
        <is>
          <t>Tobramycin 0.3% eye drops 1 drop QID</t>
        </is>
      </c>
      <c r="I31" s="8" t="n">
        <v>1</v>
      </c>
      <c r="J31" s="2"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2" t="n"/>
      <c r="L31" s="2" t="inlineStr">
        <is>
          <t>Glaucoma, Cataract</t>
        </is>
      </c>
      <c r="M31" s="2" t="inlineStr">
        <is>
          <t>Clinic</t>
        </is>
      </c>
      <c r="N31" s="2" t="inlineStr">
        <is>
          <t>ข้อ 4 (PLE_CC1_2555 Day 2.md)</t>
        </is>
      </c>
      <c r="O31" s="2" t="n"/>
      <c r="P31" s="2" t="n"/>
    </row>
    <row r="32" ht="13.2" customHeight="1" s="49">
      <c r="A32" s="8" t="inlineStr">
        <is>
          <t>31</t>
        </is>
      </c>
      <c r="B32" s="2" t="inlineStr">
        <is>
          <t>ยาใดจะทำให้อาการตาแดงของผู้หญิงรายนี้หายไปได้ดีที่สุด</t>
        </is>
      </c>
      <c r="C32" s="2" t="n"/>
      <c r="D32" s="2" t="inlineStr">
        <is>
          <t>Antihistamines</t>
        </is>
      </c>
      <c r="E32" s="2" t="inlineStr">
        <is>
          <t>Antibacterials</t>
        </is>
      </c>
      <c r="F32" s="2" t="inlineStr">
        <is>
          <t>Antivirals</t>
        </is>
      </c>
      <c r="G32" s="2" t="inlineStr">
        <is>
          <t>Vasoconstrictors</t>
        </is>
      </c>
      <c r="H32" s="2" t="inlineStr">
        <is>
          <t>mast cell stabilizers decongestant หรือ oral antihistamine (ref: หนังสือ survival guideline on pharmacotherapy Rx30 care&amp; Rx31 science,Pharmacy, PSU)</t>
        </is>
      </c>
      <c r="I32" s="8" t="n">
        <v>1</v>
      </c>
      <c r="J32" s="2"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2" t="n"/>
      <c r="L32" s="2" t="inlineStr">
        <is>
          <t>Conjunctivitis</t>
        </is>
      </c>
      <c r="M32" s="2" t="inlineStr">
        <is>
          <t>Clinic</t>
        </is>
      </c>
      <c r="N32" s="2" t="inlineStr">
        <is>
          <t>ข้อ 2 (PLE_CC1_2554 SET2.md)</t>
        </is>
      </c>
      <c r="O32" s="2" t="n"/>
      <c r="P32" s="2" t="n"/>
    </row>
    <row r="33" ht="13.2" customHeight="1" s="49">
      <c r="A33" s="8" t="inlineStr">
        <is>
          <t>32</t>
        </is>
      </c>
      <c r="B33" s="2" t="inlineStr">
        <is>
          <t>ข้อใดผิดเกี่ยวกับคำแนะนาในการหยอดตา</t>
        </is>
      </c>
      <c r="C33" s="2" t="n"/>
      <c r="D33" s="2" t="inlineStr">
        <is>
          <t>การป้องกันรสขมจากยาหยอดตา ทำได้โดยการกดบริเวณหัวตา</t>
        </is>
      </c>
      <c r="E33" s="2" t="inlineStr">
        <is>
          <t>ควรใช้ขี้ผึ้งป้ายตา หลัง ยาหยอดตา 5-10 นาที</t>
        </is>
      </c>
      <c r="F33" s="2" t="inlineStr">
        <is>
          <t>อายุของยาหยอดตา คือ 1 เดือนหลังจากเปิดใช้</t>
        </is>
      </c>
      <c r="G33" s="2" t="inlineStr">
        <is>
          <t>ยาหยอดตาทุกชนิด ต้องเก็บในตู้เย็น</t>
        </is>
      </c>
      <c r="H33" s="2" t="inlineStr">
        <is>
          <t>ไม่สามารถใช้แทนกันได้ทุกกรณี</t>
        </is>
      </c>
      <c r="I33" s="8" t="n">
        <v>4</v>
      </c>
      <c r="J33" s="2"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2" t="n"/>
      <c r="L33" s="2" t="inlineStr">
        <is>
          <t>Glaucoma, Cataract</t>
        </is>
      </c>
      <c r="M33" s="2" t="inlineStr">
        <is>
          <t>Clinic</t>
        </is>
      </c>
      <c r="N33" s="2" t="inlineStr">
        <is>
          <t>ข้อ 6 (PLE_CC1_2554 SET2.md)</t>
        </is>
      </c>
      <c r="O33" s="2" t="n"/>
      <c r="P33" s="2" t="n"/>
    </row>
    <row r="34" ht="13.2" customHeight="1" s="49">
      <c r="A34" s="8" t="inlineStr">
        <is>
          <t>33</t>
        </is>
      </c>
      <c r="B34" s="2" t="inlineStr">
        <is>
          <t>เชื้อก่อโรคใดต่อไปนี้พบเป็นสาเหตุน้อยที่สุดที่ทำให้เกิดเยื่อบุตาอักเสบ (conjunctivitis)</t>
        </is>
      </c>
      <c r="C34" s="2" t="n"/>
      <c r="D34" s="2" t="inlineStr">
        <is>
          <t>Adenovirus</t>
        </is>
      </c>
      <c r="E34" s="2" t="inlineStr">
        <is>
          <t>Rhinovirus</t>
        </is>
      </c>
      <c r="F34" s="2" t="inlineStr">
        <is>
          <t>Streptococcous spp.</t>
        </is>
      </c>
      <c r="G34" s="2" t="inlineStr">
        <is>
          <t>Haemophilus influenza</t>
        </is>
      </c>
      <c r="H34" s="2" t="inlineStr">
        <is>
          <t>Staphylococcous spp.</t>
        </is>
      </c>
      <c r="I34" s="8" t="n">
        <v>1</v>
      </c>
      <c r="J34" s="2"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2" t="n"/>
      <c r="L34" s="2" t="inlineStr">
        <is>
          <t>Conjunctivitis</t>
        </is>
      </c>
      <c r="M34" s="2" t="inlineStr">
        <is>
          <t>Clinic</t>
        </is>
      </c>
      <c r="N34" s="2" t="inlineStr">
        <is>
          <t>ข้อ 28 (PLE_CC1_Practice_Exam.md)</t>
        </is>
      </c>
      <c r="O34" s="2" t="n"/>
      <c r="P34" s="2" t="n"/>
    </row>
    <row r="35" ht="13.2" customHeight="1" s="49">
      <c r="A35" s="8" t="inlineStr">
        <is>
          <t>34</t>
        </is>
      </c>
      <c r="B35" s="2"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2" t="n"/>
      <c r="D35" s="2" t="inlineStr">
        <is>
          <t>ซักประวัติหาสาเหตุที่เกิดขึ้นพร้อมกับจ่ายยาตัวเดิมเพื่อบรรเทาอาการ</t>
        </is>
      </c>
      <c r="E35" s="2" t="inlineStr">
        <is>
          <t>เปลี่ยนตัวยาที่มีข้อบ่งใช้เดิมแต่เป็นยากลุ่มใหม่เนื่องจากผู้ป่วยยังคงมีอาการเกี่ยวกับดวงตาอยู่</t>
        </is>
      </c>
      <c r="F35" s="2" t="inlineStr">
        <is>
          <t>ซักประวัติเพิ่มเติมเกี่ยวกับโรคประจำตัว การใช้ยาก่อนหน้า การมองเห็น</t>
        </is>
      </c>
      <c r="G35" s="2" t="inlineStr">
        <is>
          <t>แนะนำให้ผู้ป่วยสังเกตอาการไปก่อนถ้าไม่ดีขึ้นให้กลับมาพบเภสัชกรอีกครั้งเพื่อหาสาเหตุ</t>
        </is>
      </c>
      <c r="H35" s="2"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8" t="n">
        <v>1</v>
      </c>
      <c r="J35" s="2"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2" t="n"/>
      <c r="L35" s="2" t="inlineStr">
        <is>
          <t>Glaucoma, Cataract</t>
        </is>
      </c>
      <c r="M35" s="2" t="inlineStr">
        <is>
          <t>Clinic</t>
        </is>
      </c>
      <c r="N35" s="2" t="inlineStr">
        <is>
          <t>ข้อ 9 (PLE_CC1_Practice_Exam.md)</t>
        </is>
      </c>
      <c r="O35" s="2" t="n"/>
      <c r="P35" s="2" t="n"/>
    </row>
    <row r="36" ht="13.2" customHeight="1" s="49">
      <c r="A36" s="8" t="inlineStr">
        <is>
          <t>35</t>
        </is>
      </c>
      <c r="B36" s="2"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2" t="n"/>
      <c r="D36" s="2" t="inlineStr">
        <is>
          <t>จ่ายยา Actifedห</t>
        </is>
      </c>
      <c r="E36" s="2" t="inlineStr">
        <is>
          <t>จ่ายยา Hydroxyzine</t>
        </is>
      </c>
      <c r="F36" s="2" t="inlineStr">
        <is>
          <t>จ่ายยา Fexofenadine</t>
        </is>
      </c>
      <c r="G36" s="2" t="inlineStr">
        <is>
          <t>จ่ายยา Brompheniramine</t>
        </is>
      </c>
      <c r="H36" s="2" t="inlineStr">
        <is>
          <t>จ่ายยา Chlorpheniramine</t>
        </is>
      </c>
      <c r="I36" s="8" t="n">
        <v>1</v>
      </c>
      <c r="J36" s="2"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2" t="n"/>
      <c r="L36" s="2" t="inlineStr">
        <is>
          <t>Glaucoma, Cataract</t>
        </is>
      </c>
      <c r="M36" s="2" t="inlineStr">
        <is>
          <t>Clinic</t>
        </is>
      </c>
      <c r="N36" s="2" t="inlineStr">
        <is>
          <t>ข้อ 27 (PLE_CC1_Practice_Exam.md)</t>
        </is>
      </c>
      <c r="O36" s="2" t="n"/>
      <c r="P36" s="2" t="n"/>
    </row>
    <row r="37" ht="13.2" customHeight="1" s="49">
      <c r="A37" s="8" t="inlineStr">
        <is>
          <t>36</t>
        </is>
      </c>
      <c r="B37" s="2" t="inlineStr">
        <is>
          <t>Sodium starch glycolate เป็นสารช่วยแตกตัว เรื่องที่ 4 Conjunctivitis</t>
        </is>
      </c>
      <c r="C37" s="2" t="n"/>
      <c r="D37" s="2" t="inlineStr">
        <is>
          <t>Prednisolone acetate 1% eye drops</t>
        </is>
      </c>
      <c r="E37" s="2" t="inlineStr">
        <is>
          <t>Acetazolamide 250 mg BID</t>
        </is>
      </c>
      <c r="F37" s="2" t="inlineStr">
        <is>
          <t>Timolol 0.5% eye drops 1 drop BID</t>
        </is>
      </c>
      <c r="G37" s="2" t="inlineStr">
        <is>
          <t>Latanoprost 0.005% eye drops 1 drop HS</t>
        </is>
      </c>
      <c r="H37" s="2" t="inlineStr">
        <is>
          <t>Brimonidine 0.2% eye drops 1 drop BID</t>
        </is>
      </c>
      <c r="I37" s="8" t="n">
        <v>1</v>
      </c>
      <c r="J3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2" t="n"/>
      <c r="L37" s="2" t="inlineStr">
        <is>
          <t>Conjunctivitis</t>
        </is>
      </c>
      <c r="M37" s="2" t="inlineStr">
        <is>
          <t>Clinic</t>
        </is>
      </c>
      <c r="N37" s="2" t="inlineStr">
        <is>
          <t>ข้อ 1 (PLE_CC1_Key_Rx20_UBU.md)</t>
        </is>
      </c>
      <c r="O37" s="2" t="n"/>
      <c r="P37" s="2" t="n"/>
    </row>
    <row r="38" ht="13.2" customHeight="1" s="49">
      <c r="A38" s="8" t="inlineStr">
        <is>
          <t>37</t>
        </is>
      </c>
      <c r="B38" s="2"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2" t="n"/>
      <c r="D38" s="2" t="inlineStr">
        <is>
          <t>Latanoprost 0.005% eye drops 1 drop HS</t>
        </is>
      </c>
      <c r="E38" s="2" t="inlineStr">
        <is>
          <t>Brimonidine 0.2% eye drops 1 drop BID</t>
        </is>
      </c>
      <c r="F38" s="2" t="inlineStr">
        <is>
          <t>Dorzolamide 2% eye drops 1 drop BID</t>
        </is>
      </c>
      <c r="G38" s="2" t="inlineStr">
        <is>
          <t>Tobramycin 0.3% eye drops 1 drop QID</t>
        </is>
      </c>
      <c r="H38" s="2" t="inlineStr">
        <is>
          <t>Chloramphenicol 0.5% eye drops 1 drop QID</t>
        </is>
      </c>
      <c r="I38" s="8" t="n">
        <v>1</v>
      </c>
      <c r="J3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2" t="n"/>
      <c r="L38" s="2" t="inlineStr">
        <is>
          <t>Conjunctivitis</t>
        </is>
      </c>
      <c r="M38" s="2" t="inlineStr">
        <is>
          <t>Clinic</t>
        </is>
      </c>
      <c r="N38" s="2" t="inlineStr">
        <is>
          <t>ข้อ 1 (PLE_CC1_Key_Rx20_UBU.md)</t>
        </is>
      </c>
      <c r="O38" s="2" t="n"/>
      <c r="P38" s="2" t="n"/>
    </row>
    <row r="39" ht="13.2" customHeight="1" s="49">
      <c r="A39" s="8" t="inlineStr">
        <is>
          <t>38</t>
        </is>
      </c>
      <c r="B39" s="2" t="inlineStr">
        <is>
          <t>เมื่อหยอดตาเสร็จแล้ว หลับตาสักครู่ และไม่ควรใช้ยาร่วมกับผู้อื่น</t>
        </is>
      </c>
      <c r="C39" s="2" t="n"/>
      <c r="D39" s="2" t="inlineStr">
        <is>
          <t>Tobramycin 0.3% eye drops 1 drop QID</t>
        </is>
      </c>
      <c r="E39" s="2" t="inlineStr">
        <is>
          <t>Chloramphenicol 0.5% eye drops 1 drop QID</t>
        </is>
      </c>
      <c r="F39" s="2" t="inlineStr">
        <is>
          <t>Artificial tears 1 drop QID</t>
        </is>
      </c>
      <c r="G39" s="2" t="inlineStr">
        <is>
          <t>Antazoline/Tetrahydrozoline eye drops 1 drop TID</t>
        </is>
      </c>
      <c r="H39" s="2" t="inlineStr">
        <is>
          <t>Prednisolone acetate 1% eye drops</t>
        </is>
      </c>
      <c r="I39" s="8" t="n">
        <v>1</v>
      </c>
      <c r="J39" s="2"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2" t="n"/>
      <c r="L39" s="2" t="inlineStr">
        <is>
          <t>Glaucoma, Cataract</t>
        </is>
      </c>
      <c r="M39" s="2" t="inlineStr">
        <is>
          <t>Clinic</t>
        </is>
      </c>
      <c r="N39" s="2" t="inlineStr">
        <is>
          <t>ข้อ 2 (PLE_CC1_Key_Rx20_UBU.md)</t>
        </is>
      </c>
      <c r="O39" s="2" t="n"/>
      <c r="P39" s="2" t="n"/>
    </row>
    <row r="40" ht="13.2" customHeight="1" s="49">
      <c r="A40" s="8" t="inlineStr">
        <is>
          <t>39</t>
        </is>
      </c>
      <c r="B40" s="2"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2" t="n"/>
      <c r="D40" s="2" t="inlineStr">
        <is>
          <t>Antazoline/Tetrahydrozoline eye drops 1 drop TID</t>
        </is>
      </c>
      <c r="E40" s="2" t="inlineStr">
        <is>
          <t>Prednisolone acetate 1% eye drops</t>
        </is>
      </c>
      <c r="F40" s="2" t="inlineStr">
        <is>
          <t>Acetazolamide 250 mg BID</t>
        </is>
      </c>
      <c r="G40" s="2" t="inlineStr">
        <is>
          <t>Timolol 0.5% eye drops 1 drop BID</t>
        </is>
      </c>
      <c r="H40" s="2" t="inlineStr">
        <is>
          <t>Latanoprost 0.005% eye drops 1 drop HS</t>
        </is>
      </c>
      <c r="I40" s="8" t="n">
        <v>5</v>
      </c>
      <c r="J40" s="2"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2" t="n"/>
      <c r="L40" s="2" t="inlineStr">
        <is>
          <t>Conjunctivitis</t>
        </is>
      </c>
      <c r="M40" s="2" t="inlineStr">
        <is>
          <t>Clinic</t>
        </is>
      </c>
      <c r="N40" s="2" t="inlineStr">
        <is>
          <t>ข้อ 5 (PLE_CC1_Key_Rx20_UBU.md)</t>
        </is>
      </c>
      <c r="O40" s="2" t="n"/>
      <c r="P40" s="2" t="n"/>
    </row>
    <row r="41" ht="13.2" customHeight="1" s="49">
      <c r="A41" s="8" t="inlineStr">
        <is>
          <t>40</t>
        </is>
      </c>
      <c r="B41" s="2" t="inlineStr">
        <is>
          <t>ยาหยอดตาในข้อใดที่สามารถใช้รักษาเชื้อที่ย้อมแกรมพบได้ก่อนหน้านี้</t>
        </is>
      </c>
      <c r="C41" s="2" t="n"/>
      <c r="D41" s="2" t="inlineStr">
        <is>
          <t>Polymyxin B + Neomycin + Gramicidin</t>
        </is>
      </c>
      <c r="E41" s="2" t="inlineStr">
        <is>
          <t>Chloramphenicol</t>
        </is>
      </c>
      <c r="F41" s="2" t="inlineStr">
        <is>
          <t>Latanoprost</t>
        </is>
      </c>
      <c r="G41" s="2" t="inlineStr">
        <is>
          <t>Antazoline</t>
        </is>
      </c>
      <c r="H41" s="2" t="inlineStr">
        <is>
          <t>Dexamethasone</t>
        </is>
      </c>
      <c r="I41" s="8" t="n">
        <v>1</v>
      </c>
      <c r="J41" s="2"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2" t="n"/>
      <c r="L41" s="2" t="inlineStr">
        <is>
          <t>Glaucoma, Cataract</t>
        </is>
      </c>
      <c r="M41" s="2" t="inlineStr">
        <is>
          <t>Clinic</t>
        </is>
      </c>
      <c r="N41" s="2" t="inlineStr">
        <is>
          <t>ข้อ 4 (PLE_CC1_Key_Rx20_UBU.md)</t>
        </is>
      </c>
      <c r="O41" s="2" t="n"/>
      <c r="P41" s="2" t="n"/>
    </row>
    <row r="42" ht="13.2" customHeight="1" s="49">
      <c r="A42" s="8" t="inlineStr">
        <is>
          <t>41</t>
        </is>
      </c>
      <c r="B42" s="2" t="inlineStr">
        <is>
          <t>Bacterial conjunctivitis</t>
        </is>
      </c>
      <c r="C42" s="2" t="n"/>
      <c r="D42" s="2" t="inlineStr">
        <is>
          <t>Dorzolamide 2% eye drops 1 drop BID</t>
        </is>
      </c>
      <c r="E42" s="2" t="inlineStr">
        <is>
          <t>Tobramycin 0.3% eye drops 1 drop QID</t>
        </is>
      </c>
      <c r="F42" s="2" t="inlineStr">
        <is>
          <t>Chloramphenicol 0.5% eye drops 1 drop QID</t>
        </is>
      </c>
      <c r="G42" s="2" t="inlineStr">
        <is>
          <t>Artificial tears 1 drop QID</t>
        </is>
      </c>
      <c r="H42" s="2" t="inlineStr">
        <is>
          <t>Antazoline/Tetrahydrozoline eye drops 1 drop TID</t>
        </is>
      </c>
      <c r="I42" s="8" t="n">
        <v>1</v>
      </c>
      <c r="J42" s="2"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2" t="n"/>
      <c r="L42" s="2" t="inlineStr">
        <is>
          <t>Conjunctivitis</t>
        </is>
      </c>
      <c r="M42" s="2" t="inlineStr">
        <is>
          <t>Clinic</t>
        </is>
      </c>
      <c r="N42" s="2" t="inlineStr">
        <is>
          <t>ข้อ 1 (PLE_CC1_Key_Rx20_UBU.md)</t>
        </is>
      </c>
      <c r="O42" s="2" t="n"/>
      <c r="P42" s="2" t="n"/>
    </row>
    <row r="43" ht="13.2" customHeight="1" s="49">
      <c r="A43" s="8" t="inlineStr">
        <is>
          <t>42</t>
        </is>
      </c>
      <c r="B43" s="2" t="inlineStr">
        <is>
          <t>หากลืมหยอดตา ให$หยอดทันทีที่นึกได$ หากใกล$เวลาหยอดครั้งถัดไป ให$เพิ่มเปญน 2 เทGา</t>
        </is>
      </c>
      <c r="C43" s="2" t="n"/>
      <c r="D43" s="2" t="inlineStr">
        <is>
          <t>Artificial tears 1 drop QID</t>
        </is>
      </c>
      <c r="E43" s="2" t="inlineStr">
        <is>
          <t>Antazoline/Tetrahydrozoline eye drops 1 drop TID</t>
        </is>
      </c>
      <c r="F43" s="2" t="inlineStr">
        <is>
          <t>Prednisolone acetate 1% eye drops</t>
        </is>
      </c>
      <c r="G43" s="2" t="inlineStr">
        <is>
          <t>Acetazolamide 250 mg BID</t>
        </is>
      </c>
      <c r="H43" s="2" t="inlineStr">
        <is>
          <t>Timolol 0.5% eye drops 1 drop BID</t>
        </is>
      </c>
      <c r="I43" s="8" t="n">
        <v>1</v>
      </c>
      <c r="J43" s="2"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2" t="n"/>
      <c r="L43" s="2" t="inlineStr">
        <is>
          <t>Glaucoma, Cataract</t>
        </is>
      </c>
      <c r="M43" s="2" t="inlineStr">
        <is>
          <t>Clinic</t>
        </is>
      </c>
      <c r="N43" s="2" t="inlineStr">
        <is>
          <t>ข้อ 2 (PLE_CC1_Key_Rx20_UBU.md)</t>
        </is>
      </c>
      <c r="O43" s="2" t="n"/>
      <c r="P43" s="2" t="n"/>
    </row>
    <row r="44" ht="13.2" customHeight="1" s="49">
      <c r="A44" s="8" t="inlineStr">
        <is>
          <t>43</t>
        </is>
      </c>
      <c r="B44" s="2" t="inlineStr">
        <is>
          <t>ยาหยอดตาที่เปØดใช$แล$ว ควรเก็บไว$ในตู$เย็นจะเก็บได$ 3 เดือน</t>
        </is>
      </c>
      <c r="C44" s="2" t="n"/>
      <c r="D44" s="2" t="inlineStr">
        <is>
          <t>Acetazolamide 250 mg BID</t>
        </is>
      </c>
      <c r="E44" s="2" t="inlineStr">
        <is>
          <t>Timolol 0.5% eye drops 1 drop BID</t>
        </is>
      </c>
      <c r="F44" s="2" t="inlineStr">
        <is>
          <t>Latanoprost 0.005% eye drops 1 drop HS</t>
        </is>
      </c>
      <c r="G44" s="2" t="inlineStr">
        <is>
          <t>Brimonidine 0.2% eye drops 1 drop BID</t>
        </is>
      </c>
      <c r="H44" s="2" t="inlineStr">
        <is>
          <t>Dorzolamide 2% eye drops 1 drop BID</t>
        </is>
      </c>
      <c r="I44" s="8" t="n">
        <v>1</v>
      </c>
      <c r="J44" s="2"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2" t="n"/>
      <c r="L44" s="2" t="inlineStr">
        <is>
          <t>Glaucoma, Cataract</t>
        </is>
      </c>
      <c r="M44" s="2" t="inlineStr">
        <is>
          <t>Clinic</t>
        </is>
      </c>
      <c r="N44" s="2" t="inlineStr">
        <is>
          <t>ข้อ 4 (PLE_CC1_Key_Rx20_UBU.md)</t>
        </is>
      </c>
      <c r="O44" s="2" t="n"/>
      <c r="P44" s="2" t="n"/>
    </row>
    <row r="45" ht="13.2" customHeight="1" s="49">
      <c r="A45" s="8" t="inlineStr">
        <is>
          <t>44</t>
        </is>
      </c>
      <c r="B45" s="2" t="inlineStr">
        <is>
          <t>Prednisolone eye drop + Naphazoline eye drop</t>
        </is>
      </c>
      <c r="C45" s="2" t="n"/>
      <c r="D45" s="2" t="inlineStr">
        <is>
          <t>Brimonidine 0.2% eye drops 1 drop BID</t>
        </is>
      </c>
      <c r="E45" s="2" t="inlineStr">
        <is>
          <t>Dorzolamide 2% eye drops 1 drop BID</t>
        </is>
      </c>
      <c r="F45" s="2" t="inlineStr">
        <is>
          <t>Tobramycin 0.3% eye drops 1 drop QID</t>
        </is>
      </c>
      <c r="G45" s="2" t="inlineStr">
        <is>
          <t>Chloramphenicol 0.5% eye drops 1 drop QID</t>
        </is>
      </c>
      <c r="H45" s="2" t="inlineStr">
        <is>
          <t>Artificial tears 1 drop QID</t>
        </is>
      </c>
      <c r="I45" s="8" t="n">
        <v>1</v>
      </c>
      <c r="J45" s="2"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2" t="n"/>
      <c r="L45" s="2" t="inlineStr">
        <is>
          <t>Glaucoma, Cataract</t>
        </is>
      </c>
      <c r="M45" s="2" t="inlineStr">
        <is>
          <t>Clinic</t>
        </is>
      </c>
      <c r="N45" s="2" t="inlineStr">
        <is>
          <t>ข้อ 2 (PLE_CC1_Key_Rx20_UBU.md)</t>
        </is>
      </c>
      <c r="O45" s="2" t="n"/>
      <c r="P45" s="2" t="n"/>
    </row>
    <row r="46" ht="13.2" customHeight="1" s="49">
      <c r="A46" s="8" t="inlineStr">
        <is>
          <t>45</t>
        </is>
      </c>
      <c r="B46" s="2" t="inlineStr">
        <is>
          <t>ยาหยอดตาที่มีสGวนผสมของ Prednisolone เภสัชกรสามารถจGายในร$านยาได$หรือไมG</t>
        </is>
      </c>
      <c r="C46" s="2" t="n"/>
      <c r="D46" s="2" t="inlineStr">
        <is>
          <t>Chloramphenicol 0.5% eye drops 1 drop QID</t>
        </is>
      </c>
      <c r="E46" s="2" t="inlineStr">
        <is>
          <t>Artificial tears 1 drop QID</t>
        </is>
      </c>
      <c r="F46" s="2" t="inlineStr">
        <is>
          <t>Antazoline/Tetrahydrozoline eye drops 1 drop TID</t>
        </is>
      </c>
      <c r="G46" s="2" t="inlineStr">
        <is>
          <t>Prednisolone acetate 1% eye drops</t>
        </is>
      </c>
      <c r="H46" s="2" t="inlineStr">
        <is>
          <t>Acetazolamide 250 mg BID</t>
        </is>
      </c>
      <c r="I46" s="8" t="n">
        <v>1</v>
      </c>
      <c r="J46" s="2"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2" t="n"/>
      <c r="L46" s="2" t="inlineStr">
        <is>
          <t>Glaucoma, Cataract</t>
        </is>
      </c>
      <c r="M46" s="2" t="inlineStr">
        <is>
          <t>Clinic</t>
        </is>
      </c>
      <c r="N46" s="2" t="inlineStr">
        <is>
          <t>ข้อ 29 (PLE_CC1_Key_Rx20_UBU.md)</t>
        </is>
      </c>
      <c r="O46" s="2" t="n"/>
      <c r="P46" s="2" t="n"/>
    </row>
    <row r="47" ht="13.2" customHeight="1" s="49">
      <c r="A47" s="8" t="inlineStr">
        <is>
          <t>46</t>
        </is>
      </c>
      <c r="B47" s="2"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2" t="n"/>
      <c r="D47" s="2" t="inlineStr">
        <is>
          <t>Prednisolone acetate 1% eye drops</t>
        </is>
      </c>
      <c r="E47" s="2" t="inlineStr">
        <is>
          <t>Acetazolamide 250 mg BID</t>
        </is>
      </c>
      <c r="F47" s="2" t="inlineStr">
        <is>
          <t>Timolol 0.5% eye drops 1 drop BID</t>
        </is>
      </c>
      <c r="G47" s="2" t="inlineStr">
        <is>
          <t>Latanoprost 0.005% eye drops 1 drop HS</t>
        </is>
      </c>
      <c r="H47" s="2" t="inlineStr">
        <is>
          <t>Brimonidine 0.2% eye drops 1 drop BID</t>
        </is>
      </c>
      <c r="I47" s="8" t="n">
        <v>1</v>
      </c>
      <c r="J47" s="2"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2" t="n"/>
      <c r="L47" s="2" t="inlineStr">
        <is>
          <t>Glaucoma, Cataract</t>
        </is>
      </c>
      <c r="M47" s="2" t="inlineStr">
        <is>
          <t>Clinic</t>
        </is>
      </c>
      <c r="N47" s="2" t="inlineStr">
        <is>
          <t>ข้อ 30 (PLE_CC1_Key_Rx20_UBU.md)</t>
        </is>
      </c>
      <c r="O47" s="2" t="n"/>
      <c r="P47" s="2" t="n"/>
    </row>
    <row r="48" ht="13.2" customHeight="1" s="49">
      <c r="A48" s="8" t="inlineStr">
        <is>
          <t>47</t>
        </is>
      </c>
      <c r="B48" s="2" t="inlineStr">
        <is>
          <t>Corticosteroid eye drops</t>
        </is>
      </c>
      <c r="C48" s="2" t="n"/>
      <c r="D48" s="2" t="inlineStr">
        <is>
          <t>Latanoprost 0.005% eye drops 1 drop HS</t>
        </is>
      </c>
      <c r="E48" s="2" t="inlineStr">
        <is>
          <t>Brimonidine 0.2% eye drops 1 drop BID</t>
        </is>
      </c>
      <c r="F48" s="2" t="inlineStr">
        <is>
          <t>Dorzolamide 2% eye drops 1 drop BID</t>
        </is>
      </c>
      <c r="G48" s="2" t="inlineStr">
        <is>
          <t>Tobramycin 0.3% eye drops 1 drop QID</t>
        </is>
      </c>
      <c r="H48" s="2" t="inlineStr">
        <is>
          <t>Chloramphenicol 0.5% eye drops 1 drop QID</t>
        </is>
      </c>
      <c r="I48" s="8" t="n">
        <v>1</v>
      </c>
      <c r="J48" s="2"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2" t="n"/>
      <c r="L48" s="2" t="inlineStr">
        <is>
          <t>Glaucoma, Cataract</t>
        </is>
      </c>
      <c r="M48" s="2" t="inlineStr">
        <is>
          <t>Clinic</t>
        </is>
      </c>
      <c r="N48" s="2" t="inlineStr">
        <is>
          <t>ข้อ 4 (PLE_CC1_Key_Rx20_UBU.md)</t>
        </is>
      </c>
      <c r="O48" s="2" t="n"/>
      <c r="P48" s="2" t="n"/>
    </row>
    <row r="49" ht="13.2" customHeight="1" s="49">
      <c r="A49" t="n">
        <v>48</v>
      </c>
      <c r="B49" t="inlineStr">
        <is>
          <t>ข้อใดต่อไปนี้ ไม่ใช่ ยาในกลุ่ม ophthalmic vasoconstrictors</t>
        </is>
      </c>
      <c r="D49" t="inlineStr">
        <is>
          <t>Phenylephrine</t>
        </is>
      </c>
      <c r="E49" t="inlineStr">
        <is>
          <t>Oxymetazoline</t>
        </is>
      </c>
      <c r="F49" t="inlineStr">
        <is>
          <t>Naphazoline</t>
        </is>
      </c>
      <c r="G49" t="inlineStr">
        <is>
          <t>Tetrahydrozoline</t>
        </is>
      </c>
      <c r="H49" t="inlineStr">
        <is>
          <t>Antazoline pharmacotherapy Rx30 care&amp; Rx31 science,Pharmacy, PSU)</t>
        </is>
      </c>
      <c r="I49" t="inlineStr">
        <is>
          <t>5</t>
        </is>
      </c>
      <c r="J49"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49" t="inlineStr">
        <is>
          <t>Hypertension</t>
        </is>
      </c>
      <c r="M49" t="inlineStr">
        <is>
          <t>Clinic</t>
        </is>
      </c>
      <c r="N49" t="inlineStr">
        <is>
          <t>ข้อ 4 (PLE_CC1_2554 SET2.md)</t>
        </is>
      </c>
    </row>
    <row r="50" ht="13.2" customHeight="1" s="49">
      <c r="A50" t="n">
        <v>49</v>
      </c>
      <c r="B50"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D50" t="inlineStr">
        <is>
          <t>0.015 g</t>
        </is>
      </c>
      <c r="E50" t="inlineStr">
        <is>
          <t>0.45 g</t>
        </is>
      </c>
      <c r="F50" t="inlineStr">
        <is>
          <t>0.435 g</t>
        </is>
      </c>
      <c r="G50" t="inlineStr">
        <is>
          <t>0.465 g</t>
        </is>
      </c>
      <c r="H50" t="inlineStr">
        <is>
          <t>0.9 g NaCl จาก gentamicin = 1x50x0.3 = 15 mg = 0.015 g NaCl ใน 50 mL = 50/100x0.9 = 0.45g ต้องเติม NaCl อีก 0.45-0.015 = 0.435g (ref: ชีท Isotonic buffer อ.ศิริรัศมิ์)</t>
        </is>
      </c>
      <c r="I50" t="inlineStr">
        <is>
          <t>3</t>
        </is>
      </c>
      <c r="J50"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50" t="inlineStr">
        <is>
          <t>Hypertension</t>
        </is>
      </c>
      <c r="M50" t="inlineStr">
        <is>
          <t>Clinic</t>
        </is>
      </c>
      <c r="N50" t="inlineStr">
        <is>
          <t>ข้อ 8 (PLE_CC1_2554 SET2.md)</t>
        </is>
      </c>
    </row>
    <row r="51" ht="13.2" customHeight="1" s="49"/>
    <row r="52" ht="13.2" customHeight="1" s="49"/>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10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2" t="n"/>
      <c r="D3" s="2" t="inlineStr">
        <is>
          <t>Cisplatin 50 mg และ vinblastine 6 mg</t>
        </is>
      </c>
      <c r="E3" s="2" t="inlineStr">
        <is>
          <t>Cisplatin 100 mg และ vinblastine 12 mg</t>
        </is>
      </c>
      <c r="F3" s="2" t="inlineStr">
        <is>
          <t>Cisplatin 125 mg และ vinblastine 18 mg</t>
        </is>
      </c>
      <c r="G3" s="2" t="inlineStr">
        <is>
          <t>Cisplatin 150 mg และ vinblastine 24 mg</t>
        </is>
      </c>
      <c r="H3" s="2" t="inlineStr">
        <is>
          <t>Cisplatin 175 mg และ vinblastine 48 mg</t>
        </is>
      </c>
      <c r="I3" s="8" t="n">
        <v>2</v>
      </c>
      <c r="J3" s="2"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2" t="n"/>
      <c r="L3" s="2" t="inlineStr">
        <is>
          <t>CINV &amp; Supportive Care</t>
        </is>
      </c>
      <c r="M3" s="2" t="inlineStr">
        <is>
          <t>Clinic</t>
        </is>
      </c>
      <c r="N3" s="2" t="inlineStr">
        <is>
          <t>ข้อ 1 Pharma Plus เล่มม่วง (เฉลยข้อ ข)</t>
        </is>
      </c>
      <c r="O3" s="2" t="n"/>
      <c r="P3" s="2" t="n"/>
    </row>
    <row r="4" ht="13.2" customHeight="1" s="49">
      <c r="A4" s="8" t="inlineStr">
        <is>
          <t>2</t>
        </is>
      </c>
      <c r="B4"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2" t="n"/>
      <c r="D4" s="2" t="inlineStr">
        <is>
          <t>ยับยั้งการสร้าง mitotic spindle</t>
        </is>
      </c>
      <c r="E4" s="2" t="inlineStr">
        <is>
          <t>ยับยั้งเอนไซม์ topoisomerase II</t>
        </is>
      </c>
      <c r="F4" s="2" t="inlineStr">
        <is>
          <t>แทนที่ลำดับเบสบน DNA หรือ RNA</t>
        </is>
      </c>
      <c r="G4" s="2" t="inlineStr">
        <is>
          <t>เข้าแทรกบนสาย double strand DNA</t>
        </is>
      </c>
      <c r="H4" s="2" t="inlineStr">
        <is>
          <t>เป็นอนุมูลอิสระรบกวน DNA</t>
        </is>
      </c>
      <c r="I4" s="8" t="n">
        <v>1</v>
      </c>
      <c r="J4" s="2"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2" t="n"/>
      <c r="L4" s="2" t="inlineStr">
        <is>
          <t>CINV &amp; Supportive Care</t>
        </is>
      </c>
      <c r="M4" s="2" t="inlineStr">
        <is>
          <t>Clinic</t>
        </is>
      </c>
      <c r="N4" s="2" t="inlineStr">
        <is>
          <t>ข้อ 2 Pharma Plus เล่มม่วง (เฉลยข้อ )</t>
        </is>
      </c>
      <c r="O4" s="2" t="n"/>
      <c r="P4" s="2" t="n"/>
    </row>
    <row r="5" ht="13.2" customHeight="1" s="49">
      <c r="A5" s="8" t="inlineStr">
        <is>
          <t>3</t>
        </is>
      </c>
      <c r="B5"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2" t="n"/>
      <c r="D5" s="2" t="inlineStr">
        <is>
          <t>ยับยั้ง RNA หรือ DNA</t>
        </is>
      </c>
      <c r="E5" s="2" t="inlineStr">
        <is>
          <t>ยับยั้งการสร้าง mitotic spindle</t>
        </is>
      </c>
      <c r="F5" s="2" t="inlineStr">
        <is>
          <t>ทำลายเอนไซม์ topoisomerase II</t>
        </is>
      </c>
      <c r="G5" s="2" t="inlineStr">
        <is>
          <t>เป็นอนุมูลอิสระรบกวน DNA</t>
        </is>
      </c>
      <c r="H5" s="2" t="inlineStr">
        <is>
          <t>ยับยั้ง dihydrofolate reductase</t>
        </is>
      </c>
      <c r="I5" s="8" t="n">
        <v>2</v>
      </c>
      <c r="J5" s="2"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2" t="n"/>
      <c r="L5" s="2" t="inlineStr">
        <is>
          <t>CINV &amp; Supportive Care</t>
        </is>
      </c>
      <c r="M5" s="2" t="inlineStr">
        <is>
          <t>Clinic</t>
        </is>
      </c>
      <c r="N5" s="2" t="inlineStr">
        <is>
          <t>ข้อ 3 Pharma Plus เล่มม่วง (เฉลยข้อ ข)</t>
        </is>
      </c>
      <c r="O5" s="2" t="n"/>
      <c r="P5" s="2" t="n"/>
    </row>
    <row r="6" ht="13.2" customHeight="1" s="49">
      <c r="A6" s="8" t="inlineStr">
        <is>
          <t>4</t>
        </is>
      </c>
      <c r="B6" s="2"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2" t="n"/>
      <c r="D6" s="2" t="inlineStr">
        <is>
          <t>ให้ metoclopramide แบบ IV ครึ่งชั่วโมงก่อนให้ยา cisplatin</t>
        </is>
      </c>
      <c r="E6" s="2" t="inlineStr">
        <is>
          <t>ควรฉีด cisplatin แบบ IV push</t>
        </is>
      </c>
      <c r="F6" s="2" t="inlineStr">
        <is>
          <t>ให้ diphenhydramine แบบ oral ก่อนให้ cisplatin</t>
        </is>
      </c>
      <c r="G6" s="2" t="inlineStr">
        <is>
          <t>ให้ NSS ก่อนให้ cisplatin</t>
        </is>
      </c>
      <c r="H6" s="2" t="inlineStr">
        <is>
          <t>ให้ D5W ก่อนให้ cisplatin</t>
        </is>
      </c>
      <c r="I6" s="8" t="n">
        <v>1</v>
      </c>
      <c r="J6" s="2"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2" t="n"/>
      <c r="L6" s="2" t="inlineStr">
        <is>
          <t>CINV &amp; Supportive Care</t>
        </is>
      </c>
      <c r="M6" s="2" t="inlineStr">
        <is>
          <t>Clinic</t>
        </is>
      </c>
      <c r="N6" s="2" t="inlineStr">
        <is>
          <t>ข้อ 4 Pharma Plus เล่มม่วง (เฉลยข้อ ก)</t>
        </is>
      </c>
      <c r="O6" s="2" t="n"/>
      <c r="P6" s="2" t="n"/>
    </row>
    <row r="7" ht="13.2" customHeight="1" s="49">
      <c r="A7" s="8" t="inlineStr">
        <is>
          <t>5</t>
        </is>
      </c>
      <c r="B7" s="2" t="inlineStr">
        <is>
          <t>จากโครงสร้างของยา Gemcitabine เป็นอนุพันธ์ของอะไร</t>
        </is>
      </c>
      <c r="C7" s="2" t="n"/>
      <c r="D7" s="2" t="inlineStr">
        <is>
          <t>Acyclonucleoside analog</t>
        </is>
      </c>
      <c r="E7" s="2" t="inlineStr">
        <is>
          <t>Pyrimidine nucleoside analog</t>
        </is>
      </c>
      <c r="F7" s="2" t="inlineStr">
        <is>
          <t>Pyrimidine nucleotide analog</t>
        </is>
      </c>
      <c r="G7" s="2" t="inlineStr">
        <is>
          <t>Purine nucleotide analog</t>
        </is>
      </c>
      <c r="H7" s="2" t="inlineStr">
        <is>
          <t>Purine nucleoside analog</t>
        </is>
      </c>
      <c r="I7" s="8" t="n">
        <v>2</v>
      </c>
      <c r="J7" s="2"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CINV &amp; Supportive Care</t>
        </is>
      </c>
      <c r="M7" s="2" t="inlineStr">
        <is>
          <t>Clinic</t>
        </is>
      </c>
      <c r="N7" s="2" t="inlineStr">
        <is>
          <t>ข้อ 5 Pharma Plus เล่มม่วง (เฉลยข้อ ข)</t>
        </is>
      </c>
      <c r="O7" s="2" t="n"/>
      <c r="P7" s="2" t="n"/>
    </row>
    <row r="8" ht="13.2" customHeight="1" s="49">
      <c r="A8" s="8" t="inlineStr">
        <is>
          <t>6</t>
        </is>
      </c>
      <c r="B8" s="2" t="inlineStr">
        <is>
          <t>จากโครงสร้างของยา 5 ตัวที่ออกฤทธิ์คือ</t>
        </is>
      </c>
      <c r="C8" s="2" t="n"/>
      <c r="D8" s="2" t="inlineStr">
        <is>
          <t>Deoxygemcitabine</t>
        </is>
      </c>
      <c r="E8" s="2" t="inlineStr">
        <is>
          <t>Gemcitabine monophosphate</t>
        </is>
      </c>
      <c r="F8" s="2" t="inlineStr">
        <is>
          <t>Gemcitabine diphosphate</t>
        </is>
      </c>
      <c r="G8" s="2" t="inlineStr">
        <is>
          <t>Gemcitabine triphosphate</t>
        </is>
      </c>
      <c r="H8" s="2" t="inlineStr">
        <is>
          <t>Gemcitabine tetraphosphate</t>
        </is>
      </c>
      <c r="I8" s="8" t="n">
        <v>4</v>
      </c>
      <c r="J8" s="2"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CINV &amp; Supportive Care</t>
        </is>
      </c>
      <c r="M8" s="2" t="inlineStr">
        <is>
          <t>Clinic</t>
        </is>
      </c>
      <c r="N8" s="2" t="inlineStr">
        <is>
          <t>ข้อ 6 Pharma Plus เล่มม่วง (เฉลยข้อ ง)</t>
        </is>
      </c>
      <c r="O8" s="2" t="n"/>
      <c r="P8" s="2" t="n"/>
    </row>
    <row r="9" ht="13.2" customHeight="1" s="49">
      <c r="A9" s="8" t="inlineStr">
        <is>
          <t>7</t>
        </is>
      </c>
      <c r="B9" s="2" t="inlineStr">
        <is>
          <t>จากการใช้ยาเคมีบำบัด หากมีความผิดปกติของตับจะ monitor จากค่า lab ใด</t>
        </is>
      </c>
      <c r="C9" s="2" t="n"/>
      <c r="D9" s="2" t="inlineStr">
        <is>
          <t>BUN</t>
        </is>
      </c>
      <c r="E9" s="2" t="inlineStr">
        <is>
          <t>Serum creatinine</t>
        </is>
      </c>
      <c r="F9" s="2" t="inlineStr">
        <is>
          <t>Serum albumin</t>
        </is>
      </c>
      <c r="G9" s="2" t="inlineStr">
        <is>
          <t>Serum bilirubin</t>
        </is>
      </c>
      <c r="H9" s="2" t="inlineStr">
        <is>
          <t>Transferrin</t>
        </is>
      </c>
      <c r="I9" s="8" t="n">
        <v>3</v>
      </c>
      <c r="J9" s="2"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CINV &amp; Supportive Care</t>
        </is>
      </c>
      <c r="M9" s="2" t="inlineStr">
        <is>
          <t>Clinic</t>
        </is>
      </c>
      <c r="N9" s="2" t="inlineStr">
        <is>
          <t>ข้อ 7 Pharma Plus เล่มม่วง (เฉลยข้อ ค ง)</t>
        </is>
      </c>
      <c r="O9" s="2" t="n"/>
      <c r="P9" s="2" t="n"/>
    </row>
    <row r="10" ht="13.2" customHeight="1" s="49">
      <c r="A10" s="8" t="inlineStr">
        <is>
          <t>8</t>
        </is>
      </c>
      <c r="B10" s="2" t="inlineStr">
        <is>
          <t>ยา vincristine ออกฤทธิ์ยับยั้งการเจริญของเซลล์มะเร็งที่ระยะ(phase) ใดของ cell cycle</t>
        </is>
      </c>
      <c r="C10" s="2" t="n"/>
      <c r="D10" s="2" t="inlineStr">
        <is>
          <t>S phase</t>
        </is>
      </c>
      <c r="E10" s="2" t="inlineStr">
        <is>
          <t>G1 phase</t>
        </is>
      </c>
      <c r="F10" s="2" t="inlineStr">
        <is>
          <t>G2 phase</t>
        </is>
      </c>
      <c r="G10" s="2" t="inlineStr">
        <is>
          <t>M phase</t>
        </is>
      </c>
      <c r="H10" s="2" t="inlineStr">
        <is>
          <t>Go phase</t>
        </is>
      </c>
      <c r="I10" s="8" t="n">
        <v>4</v>
      </c>
      <c r="J10" s="2"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2" t="n"/>
      <c r="L10" s="2" t="inlineStr">
        <is>
          <t>CINV &amp; Supportive Care</t>
        </is>
      </c>
      <c r="M10" s="2" t="inlineStr">
        <is>
          <t>Clinic</t>
        </is>
      </c>
      <c r="N10" s="2" t="inlineStr">
        <is>
          <t>ข้อ 8 Pharma Plus เล่มม่วง (เฉลยข้อ ง)</t>
        </is>
      </c>
      <c r="O10" s="2" t="n"/>
      <c r="P10" s="2" t="n"/>
    </row>
    <row r="11" ht="13.2" customHeight="1" s="49">
      <c r="A11" s="8" t="inlineStr">
        <is>
          <t>9</t>
        </is>
      </c>
      <c r="B11" s="2"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2" t="n"/>
      <c r="D11" s="2" t="inlineStr">
        <is>
          <t>20 mg q 24 hr.</t>
        </is>
      </c>
      <c r="E11" s="2" t="inlineStr">
        <is>
          <t>60 mg q 12 hr.</t>
        </is>
      </c>
      <c r="F11" s="2" t="inlineStr">
        <is>
          <t>60 mg q 24 hr.</t>
        </is>
      </c>
      <c r="G11" s="2" t="inlineStr">
        <is>
          <t>80 mg q 12 hr.</t>
        </is>
      </c>
      <c r="H11" s="2" t="inlineStr">
        <is>
          <t>80 mg q 24 hr.</t>
        </is>
      </c>
      <c r="I11" s="8" t="n">
        <v>3</v>
      </c>
      <c r="J11" s="2"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CINV &amp; Supportive Care</t>
        </is>
      </c>
      <c r="M11" s="2" t="inlineStr">
        <is>
          <t>Clinic</t>
        </is>
      </c>
      <c r="N11" s="2" t="inlineStr">
        <is>
          <t>ข้อ 9 Pharma Plus เล่มม่วง (เฉลยข้อ ค)</t>
        </is>
      </c>
      <c r="O11" s="2" t="n"/>
      <c r="P11" s="2" t="n"/>
    </row>
    <row r="12" ht="13.2" customHeight="1" s="49">
      <c r="A12" s="8" t="inlineStr">
        <is>
          <t>10</t>
        </is>
      </c>
      <c r="B12" s="2" t="inlineStr">
        <is>
          <t>Antidote หรือยาต้านพิษของ morphine คือยาใด</t>
        </is>
      </c>
      <c r="C12" s="2" t="n"/>
      <c r="D12" s="2" t="inlineStr">
        <is>
          <t>Mesna 400 mg IV stat</t>
        </is>
      </c>
      <c r="E12" s="2" t="inlineStr">
        <is>
          <t>Rasburicase 0.2 mg/kg IV</t>
        </is>
      </c>
      <c r="F12" s="2" t="inlineStr">
        <is>
          <t>Palonosetron 0.25 mg IV stat</t>
        </is>
      </c>
      <c r="G12" s="2" t="inlineStr">
        <is>
          <t>Ondansetron 8 mg IV stat</t>
        </is>
      </c>
      <c r="H12" s="2" t="inlineStr">
        <is>
          <t>Aprepitant 125 mg PO stat</t>
        </is>
      </c>
      <c r="I12" s="8" t="n">
        <v>4</v>
      </c>
      <c r="J12" s="2"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CINV &amp; Supportive Care</t>
        </is>
      </c>
      <c r="M12" s="2" t="inlineStr">
        <is>
          <t>Clinic</t>
        </is>
      </c>
      <c r="N12" s="2" t="inlineStr">
        <is>
          <t>ข้อ 10 Pharma Plus เล่มม่วง (เฉลยข้อ ง)</t>
        </is>
      </c>
      <c r="O12" s="2" t="n"/>
      <c r="P12" s="2" t="n"/>
    </row>
    <row r="13" ht="13.2" customHeight="1" s="49">
      <c r="A13" s="8" t="inlineStr">
        <is>
          <t>11</t>
        </is>
      </c>
      <c r="B13"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2" t="n"/>
      <c r="D13" s="2" t="inlineStr">
        <is>
          <t>Alkylation</t>
        </is>
      </c>
      <c r="E13" s="2" t="inlineStr">
        <is>
          <t>Antimetabolite</t>
        </is>
      </c>
      <c r="F13" s="2" t="inlineStr">
        <is>
          <t>Antimitotic spindle</t>
        </is>
      </c>
      <c r="G13" s="2" t="inlineStr">
        <is>
          <t>Anti-dihydrofolate reductase</t>
        </is>
      </c>
      <c r="H13" s="2" t="inlineStr">
        <is>
          <t>ไม่มีข้อใดถูก</t>
        </is>
      </c>
      <c r="I13" s="8" t="n">
        <v>1</v>
      </c>
      <c r="J13" s="2"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2" t="n"/>
      <c r="L13" s="2" t="inlineStr">
        <is>
          <t>CINV &amp; Supportive Care</t>
        </is>
      </c>
      <c r="M13" s="2" t="inlineStr">
        <is>
          <t>Clinic</t>
        </is>
      </c>
      <c r="N13" s="2" t="inlineStr">
        <is>
          <t>ข้อ 11 Pharma Plus เล่มม่วง (เฉลยข้อ ก)</t>
        </is>
      </c>
      <c r="O13" s="2" t="n"/>
      <c r="P13" s="2" t="n"/>
    </row>
    <row r="14" ht="13.2" customHeight="1" s="49">
      <c r="A14" s="8" t="inlineStr">
        <is>
          <t>12</t>
        </is>
      </c>
      <c r="B14"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2" t="n"/>
      <c r="D14" s="2" t="inlineStr">
        <is>
          <t>ความวิตกกังวล</t>
        </is>
      </c>
      <c r="E14" s="2" t="inlineStr">
        <is>
          <t>ประวัติ motion sickness</t>
        </is>
      </c>
      <c r="F14" s="2" t="inlineStr">
        <is>
          <t>ประวัติดื่ม alcohol</t>
        </is>
      </c>
      <c r="G14" s="2" t="inlineStr">
        <is>
          <t>ประวัติคลื่นไส้อาเจียนระหว่างตั้งครรภ์</t>
        </is>
      </c>
      <c r="H14" s="2" t="inlineStr">
        <is>
          <t>ประวัติคลื่นไส้อาเจียนเมื่อได้รับยาเคมีบำบัดครั้งก่อน</t>
        </is>
      </c>
      <c r="I14" s="8" t="n">
        <v>4</v>
      </c>
      <c r="J14" s="2"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2" t="n"/>
      <c r="L14" s="2" t="inlineStr">
        <is>
          <t>CINV &amp; Supportive Care</t>
        </is>
      </c>
      <c r="M14" s="2" t="inlineStr">
        <is>
          <t>Clinic</t>
        </is>
      </c>
      <c r="N14" s="2" t="inlineStr">
        <is>
          <t>ข้อ 12 Pharma Plus เล่มม่วง (เฉลยข้อ ง)</t>
        </is>
      </c>
      <c r="O14" s="2" t="n"/>
      <c r="P14" s="2" t="n"/>
    </row>
    <row r="15" ht="13.2" customHeight="1" s="49">
      <c r="A15" s="8" t="inlineStr">
        <is>
          <t>14</t>
        </is>
      </c>
      <c r="B15"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2" t="n"/>
      <c r="D15" s="2" t="inlineStr">
        <is>
          <t>Anorexia</t>
        </is>
      </c>
      <c r="E15" s="2" t="inlineStr">
        <is>
          <t>Neurotoxic</t>
        </is>
      </c>
      <c r="F15" s="2" t="inlineStr">
        <is>
          <t>Nephrotoxic</t>
        </is>
      </c>
      <c r="G15" s="2" t="inlineStr">
        <is>
          <t>Ototoxic</t>
        </is>
      </c>
      <c r="H15" s="2" t="inlineStr">
        <is>
          <t>Cardiotoxic</t>
        </is>
      </c>
      <c r="I15" s="8" t="n">
        <v>5</v>
      </c>
      <c r="J15" s="2"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2" t="n"/>
      <c r="L15" s="2" t="inlineStr">
        <is>
          <t>CINV &amp; Supportive Care</t>
        </is>
      </c>
      <c r="M15" s="2" t="inlineStr">
        <is>
          <t>Clinic</t>
        </is>
      </c>
      <c r="N15" s="2" t="inlineStr">
        <is>
          <t>ข้อ 14 Pharma Plus เล่มม่วง (เฉลยข้อ จ)</t>
        </is>
      </c>
      <c r="O15" s="2" t="n"/>
      <c r="P15" s="2" t="n"/>
    </row>
    <row r="16" ht="13.2" customHeight="1" s="49">
      <c r="A16" s="8" t="inlineStr">
        <is>
          <t>15</t>
        </is>
      </c>
      <c r="B16" s="2"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2" t="n"/>
      <c r="D16" s="2" t="inlineStr">
        <is>
          <t>500 cell/mm³</t>
        </is>
      </c>
      <c r="E16" s="2" t="inlineStr">
        <is>
          <t>750 cell/mm³</t>
        </is>
      </c>
      <c r="F16" s="2" t="inlineStr">
        <is>
          <t>1000 cell/mm³</t>
        </is>
      </c>
      <c r="G16" s="2" t="inlineStr">
        <is>
          <t>1250 cell/mm³</t>
        </is>
      </c>
      <c r="H16" s="2" t="inlineStr">
        <is>
          <t>1500 cell/mm³</t>
        </is>
      </c>
      <c r="I16" s="8" t="n">
        <v>3</v>
      </c>
      <c r="J16" s="2"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2" t="n"/>
      <c r="L16" s="2" t="inlineStr">
        <is>
          <t>CINV &amp; Supportive Care</t>
        </is>
      </c>
      <c r="M16" s="2" t="inlineStr">
        <is>
          <t>Clinic</t>
        </is>
      </c>
      <c r="N16" s="2" t="inlineStr">
        <is>
          <t>ข้อ 15 Pharma Plus เล่มม่วง (เฉลยข้อ ค)</t>
        </is>
      </c>
      <c r="O16" s="2" t="n"/>
      <c r="P16" s="2" t="n"/>
    </row>
    <row r="17" ht="13.2" customHeight="1" s="49">
      <c r="A17" s="8" t="inlineStr">
        <is>
          <t>16</t>
        </is>
      </c>
      <c r="B17" s="2"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2" t="n"/>
      <c r="D17" s="2" t="inlineStr">
        <is>
          <t>600</t>
        </is>
      </c>
      <c r="E17" s="2" t="inlineStr">
        <is>
          <t>700</t>
        </is>
      </c>
      <c r="F17" s="2" t="inlineStr">
        <is>
          <t>800</t>
        </is>
      </c>
      <c r="G17" s="2" t="inlineStr">
        <is>
          <t>900</t>
        </is>
      </c>
      <c r="H17" s="2" t="inlineStr">
        <is>
          <t>1000</t>
        </is>
      </c>
      <c r="I17" s="8" t="n">
        <v>3</v>
      </c>
      <c r="J17" s="2"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2" t="n"/>
      <c r="L17" s="2" t="inlineStr">
        <is>
          <t>CINV &amp; Supportive Care</t>
        </is>
      </c>
      <c r="M17" s="2" t="inlineStr">
        <is>
          <t>Clinic</t>
        </is>
      </c>
      <c r="N17" s="2" t="inlineStr">
        <is>
          <t>ข้อ 16 Pharma Plus เล่มม่วง (เฉลยข้อ ค)</t>
        </is>
      </c>
      <c r="O17" s="2" t="n"/>
      <c r="P17" s="2" t="n"/>
    </row>
    <row r="18" ht="13.2" customHeight="1" s="49">
      <c r="A18" s="8" t="inlineStr">
        <is>
          <t>17</t>
        </is>
      </c>
      <c r="B18" s="2" t="inlineStr">
        <is>
          <t>MTX ออกฤทธิ์อย่างไร</t>
        </is>
      </c>
      <c r="C18" s="2" t="n"/>
      <c r="D18" s="8" t="inlineStr">
        <is>
          <t>Alkylating agent</t>
        </is>
      </c>
      <c r="E18" s="8" t="inlineStr">
        <is>
          <t>ยับยั้ง enzyme of dihydrofolate reductase</t>
        </is>
      </c>
      <c r="F18" s="8" t="inlineStr">
        <is>
          <t>ยับยั้ง enzyme of thymidylate synthase</t>
        </is>
      </c>
      <c r="G18" s="8" t="inlineStr">
        <is>
          <t>Depolarizing of microtubule</t>
        </is>
      </c>
      <c r="H18" s="8" t="inlineStr">
        <is>
          <t>Antagonist of estrogen receptor</t>
        </is>
      </c>
      <c r="I18" s="8" t="n">
        <v>2</v>
      </c>
      <c r="J18" s="2"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CINV &amp; Supportive Care</t>
        </is>
      </c>
      <c r="M18" s="2" t="inlineStr">
        <is>
          <t>Clinic</t>
        </is>
      </c>
      <c r="N18" s="2" t="inlineStr">
        <is>
          <t>ข้อ 17 Pharma Plus เล่มม่วง (เฉลยข้อ ข)</t>
        </is>
      </c>
      <c r="O18" s="2" t="n"/>
      <c r="P18" s="2" t="n"/>
    </row>
    <row r="19" ht="13.2" customHeight="1" s="49">
      <c r="A19" s="8" t="inlineStr">
        <is>
          <t>18</t>
        </is>
      </c>
      <c r="B19" s="2" t="inlineStr">
        <is>
          <t>Cyclophosphamide ออกฤทธิ์ในการเป็น alkylating agent เหมือนกับยาใด</t>
        </is>
      </c>
      <c r="C19" s="2" t="n"/>
      <c r="D19" s="2" t="inlineStr">
        <is>
          <t>Cytarabine</t>
        </is>
      </c>
      <c r="E19" s="2" t="inlineStr">
        <is>
          <t>Vincristine</t>
        </is>
      </c>
      <c r="F19" s="2" t="inlineStr">
        <is>
          <t>Cisplatin</t>
        </is>
      </c>
      <c r="G19" s="2" t="inlineStr">
        <is>
          <t>Paclitaxel</t>
        </is>
      </c>
      <c r="H19" s="2" t="inlineStr">
        <is>
          <t>Tamoxifen</t>
        </is>
      </c>
      <c r="I19" s="8" t="n">
        <v>3</v>
      </c>
      <c r="J19"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CINV &amp; Supportive Care</t>
        </is>
      </c>
      <c r="M19" s="2" t="inlineStr">
        <is>
          <t>Clinic</t>
        </is>
      </c>
      <c r="N19" s="2" t="inlineStr">
        <is>
          <t>ข้อ 18 Pharma Plus เล่มม่วง (เฉลยข้อ ค)</t>
        </is>
      </c>
      <c r="O19" s="2" t="n"/>
      <c r="P19" s="2" t="n"/>
    </row>
    <row r="20" ht="13.2" customHeight="1" s="49">
      <c r="A20" s="8" t="inlineStr">
        <is>
          <t>19</t>
        </is>
      </c>
      <c r="B20" s="2" t="inlineStr">
        <is>
          <t>ข้อใดใช้ในการป้องกันการเกิด stomatitis ในปากและทางเดินอาหารจากการได้รับยา 5-FU</t>
        </is>
      </c>
      <c r="C20" s="2" t="n"/>
      <c r="D20" s="2" t="inlineStr">
        <is>
          <t>Sucralfate</t>
        </is>
      </c>
      <c r="E20" s="2" t="inlineStr">
        <is>
          <t>Mesna</t>
        </is>
      </c>
      <c r="F20" s="2" t="inlineStr">
        <is>
          <t>Leucovorin</t>
        </is>
      </c>
      <c r="G20" s="2" t="inlineStr">
        <is>
          <t>Prednisolone</t>
        </is>
      </c>
      <c r="H20" s="2" t="inlineStr">
        <is>
          <t>Hyaluronidase</t>
        </is>
      </c>
      <c r="I20" s="8" t="n">
        <v>1</v>
      </c>
      <c r="J20" s="2"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CINV &amp; Supportive Care</t>
        </is>
      </c>
      <c r="M20" s="2" t="inlineStr">
        <is>
          <t>Clinic</t>
        </is>
      </c>
      <c r="N20" s="2" t="inlineStr">
        <is>
          <t>ข้อ 19 Pharma Plus เล่มม่วง (เฉลยข้อ ก)</t>
        </is>
      </c>
      <c r="O20" s="2" t="n"/>
      <c r="P20" s="2" t="n"/>
    </row>
    <row r="21" ht="13.2" customHeight="1" s="49">
      <c r="A21" s="8" t="inlineStr">
        <is>
          <t>20</t>
        </is>
      </c>
      <c r="B21" s="2"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2" t="n"/>
      <c r="D21" s="2" t="inlineStr">
        <is>
          <t>150</t>
        </is>
      </c>
      <c r="E21" s="2" t="inlineStr">
        <is>
          <t>175</t>
        </is>
      </c>
      <c r="F21" s="2" t="inlineStr">
        <is>
          <t>200</t>
        </is>
      </c>
      <c r="G21" s="2" t="inlineStr">
        <is>
          <t>225</t>
        </is>
      </c>
      <c r="H21" s="2" t="inlineStr">
        <is>
          <t>250</t>
        </is>
      </c>
      <c r="I21" s="8" t="n">
        <v>2</v>
      </c>
      <c r="J21"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2" t="n"/>
      <c r="L21" s="2" t="inlineStr">
        <is>
          <t>CINV &amp; Supportive Care</t>
        </is>
      </c>
      <c r="M21" s="2" t="inlineStr">
        <is>
          <t>Clinic</t>
        </is>
      </c>
      <c r="N21" s="2" t="inlineStr">
        <is>
          <t>ข้อ 20 Pharma Plus เล่มม่วง (เฉลยข้อ ข)</t>
        </is>
      </c>
      <c r="O21" s="2" t="n"/>
      <c r="P21" s="2" t="n"/>
    </row>
    <row r="22" ht="13.2" customHeight="1" s="49">
      <c r="A22" s="8" t="inlineStr">
        <is>
          <t>22</t>
        </is>
      </c>
      <c r="B22" s="2" t="inlineStr">
        <is>
          <t>กลไกการออกฤทธิ์ของยา cisplatin คือ</t>
        </is>
      </c>
      <c r="C22" s="2" t="n"/>
      <c r="D22" s="8" t="inlineStr">
        <is>
          <t>Alkylating agent</t>
        </is>
      </c>
      <c r="E22" s="8" t="inlineStr">
        <is>
          <t>Topoisomerase II inhibitor</t>
        </is>
      </c>
      <c r="F22" s="8" t="inlineStr">
        <is>
          <t>Antimetabolite</t>
        </is>
      </c>
      <c r="G22" s="8" t="inlineStr">
        <is>
          <t>Intercalating agent</t>
        </is>
      </c>
      <c r="H22" s="8" t="inlineStr">
        <is>
          <t>Inhibitor of mitosis</t>
        </is>
      </c>
      <c r="I22" s="8" t="n">
        <v>1</v>
      </c>
      <c r="J22" s="2"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2" t="n"/>
      <c r="L22" s="2" t="inlineStr">
        <is>
          <t>CINV &amp; Supportive Care</t>
        </is>
      </c>
      <c r="M22" s="2" t="inlineStr">
        <is>
          <t>Clinic</t>
        </is>
      </c>
      <c r="N22" s="2" t="inlineStr">
        <is>
          <t>ข้อ 22 Pharma Plus เล่มม่วง (เฉลยข้อ ก)</t>
        </is>
      </c>
      <c r="O22" s="2" t="n"/>
      <c r="P22" s="2" t="n"/>
    </row>
    <row r="23" ht="13.2" customHeight="1" s="49">
      <c r="A23" s="8" t="inlineStr">
        <is>
          <t>23</t>
        </is>
      </c>
      <c r="B23" s="2" t="inlineStr">
        <is>
          <t>ยา cisplatin เป็นยาที่มีผลพิษต่อไต (nephrotoxicity) การป้องกันสามารถทำได้หลายประการต่อไปนี้ ยกเว้น</t>
        </is>
      </c>
      <c r="C23" s="2" t="n"/>
      <c r="D23" s="2" t="inlineStr">
        <is>
          <t>การให้สารน้ำปริมาตรมากก่อนและหลังให้ยา</t>
        </is>
      </c>
      <c r="E23" s="2" t="inlineStr">
        <is>
          <t>ให้สารละลายปริมาตรมากพร้อม magnesium</t>
        </is>
      </c>
      <c r="F23" s="2" t="inlineStr">
        <is>
          <t>การให้ osmotic diuretic เช่น mannitol</t>
        </is>
      </c>
      <c r="G23" s="2" t="inlineStr">
        <is>
          <t>การเตรียม cisplatin ด้วยสารละลาย sodium chloride</t>
        </is>
      </c>
      <c r="H23" s="2" t="inlineStr">
        <is>
          <t>ให้สารละลายปริมาตรมากร่วมกับ sodium</t>
        </is>
      </c>
      <c r="I23" s="8" t="n">
        <v>3</v>
      </c>
      <c r="J23" s="2"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2" t="n"/>
      <c r="L23" s="2" t="inlineStr">
        <is>
          <t>CINV &amp; Supportive Care</t>
        </is>
      </c>
      <c r="M23" s="2" t="inlineStr">
        <is>
          <t>Clinic</t>
        </is>
      </c>
      <c r="N23" s="2" t="inlineStr">
        <is>
          <t>ข้อ 23 Pharma Plus เล่มม่วง (เฉลยข้อ ค จ)</t>
        </is>
      </c>
      <c r="O23" s="2" t="n"/>
      <c r="P23" s="2" t="n"/>
    </row>
    <row r="24" ht="13.2" customHeight="1" s="49">
      <c r="A24" s="8" t="inlineStr">
        <is>
          <t>24</t>
        </is>
      </c>
      <c r="B24" s="2"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2" t="n"/>
      <c r="D24" s="2" t="inlineStr">
        <is>
          <t>ให้ยากลุ่ม weak opioid ร่วมกับ fentanyl transdermal patch</t>
        </is>
      </c>
      <c r="E24" s="2" t="inlineStr">
        <is>
          <t>เริ่มด้วย aspirin หรือ piroxicam หากไม่ดีขึ้นจึงใช้ tramadol หรือ morphine</t>
        </is>
      </c>
      <c r="F24" s="2" t="inlineStr">
        <is>
          <t>ให้ fentanyl ร่วมกับยากลุ่ม COX2-Inhibitor เนื่องจาก vincristine มีผลข้างเคียงกับระบบทางเดินอาหาร</t>
        </is>
      </c>
      <c r="G24" s="2" t="inlineStr">
        <is>
          <t>ให้ได้เฉพาะยากลุ่ม NSAIDs เนื่องจากผลข้างเคียงของ vincristine มีฤทธิ์กดการหายใจ</t>
        </is>
      </c>
      <c r="H24" s="2" t="inlineStr">
        <is>
          <t>ให้ morphine เพราะ vincristine จะทำให้เกิดอาการปวดอย่างรุนแรง</t>
        </is>
      </c>
      <c r="I24" s="8" t="n">
        <v>2</v>
      </c>
      <c r="J24" s="2"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2" t="n"/>
      <c r="L24" s="2" t="inlineStr">
        <is>
          <t>CINV &amp; Supportive Care</t>
        </is>
      </c>
      <c r="M24" s="2" t="inlineStr">
        <is>
          <t>Clinic</t>
        </is>
      </c>
      <c r="N24" s="2" t="inlineStr">
        <is>
          <t>ข้อ 24 Pharma Plus เล่มม่วง (เฉลยข้อ ข)</t>
        </is>
      </c>
      <c r="O24" s="2" t="n"/>
      <c r="P24" s="2" t="n"/>
    </row>
    <row r="25" ht="13.2" customHeight="1" s="49">
      <c r="A25" s="8" t="inlineStr">
        <is>
          <t>25</t>
        </is>
      </c>
      <c r="B25" s="2"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2" t="n"/>
      <c r="D25" s="2" t="inlineStr">
        <is>
          <t>คลื่นไส้ อาเจียน</t>
        </is>
      </c>
      <c r="E25" s="2" t="inlineStr">
        <is>
          <t>ง่วงซึม</t>
        </is>
      </c>
      <c r="F25" s="2" t="inlineStr">
        <is>
          <t>กดการหายใจ</t>
        </is>
      </c>
      <c r="G25" s="2" t="inlineStr">
        <is>
          <t>สับสน มึนงง</t>
        </is>
      </c>
      <c r="H25" s="2" t="inlineStr">
        <is>
          <t>ท้องผูก</t>
        </is>
      </c>
      <c r="I25" s="8" t="n">
        <v>1</v>
      </c>
      <c r="J25" s="2"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2" t="n"/>
      <c r="L25" s="2" t="inlineStr">
        <is>
          <t>CINV &amp; Supportive Care</t>
        </is>
      </c>
      <c r="M25" s="2" t="inlineStr">
        <is>
          <t>Clinic</t>
        </is>
      </c>
      <c r="N25" s="2" t="inlineStr">
        <is>
          <t>ข้อ 25 Pharma Plus เล่มม่วง (เฉลยข้อ )</t>
        </is>
      </c>
      <c r="O25" s="2" t="n"/>
      <c r="P25" s="2" t="n"/>
    </row>
    <row r="26" ht="13.2" customHeight="1" s="49">
      <c r="A26" s="8" t="inlineStr">
        <is>
          <t>26</t>
        </is>
      </c>
      <c r="B26" s="2"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2" t="n"/>
      <c r="D26" s="2" t="inlineStr">
        <is>
          <t>Aspirin</t>
        </is>
      </c>
      <c r="E26" s="2" t="inlineStr">
        <is>
          <t>Ketamine</t>
        </is>
      </c>
      <c r="F26" s="2" t="inlineStr">
        <is>
          <t>Pethidine</t>
        </is>
      </c>
      <c r="G26" s="2" t="inlineStr">
        <is>
          <t>Fentanyl transdermal patch</t>
        </is>
      </c>
      <c r="H26" s="2" t="inlineStr">
        <is>
          <t>Tramadol</t>
        </is>
      </c>
      <c r="I26" s="8" t="n">
        <v>5</v>
      </c>
      <c r="J26" s="2"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2" t="n"/>
      <c r="L26" s="2" t="inlineStr">
        <is>
          <t>CINV &amp; Supportive Care</t>
        </is>
      </c>
      <c r="M26" s="2" t="inlineStr">
        <is>
          <t>Clinic</t>
        </is>
      </c>
      <c r="N26" s="2" t="inlineStr">
        <is>
          <t>ข้อ 26 Pharma Plus เล่มม่วง (เฉลยข้อ จ)</t>
        </is>
      </c>
      <c r="O26" s="2" t="n"/>
      <c r="P26" s="2" t="n"/>
    </row>
    <row r="27" ht="13.2" customHeight="1" s="49">
      <c r="A27" s="8" t="inlineStr">
        <is>
          <t>27</t>
        </is>
      </c>
      <c r="B27" s="2"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2" t="n"/>
      <c r="D27" s="2" t="inlineStr">
        <is>
          <t>ผมร่วง</t>
        </is>
      </c>
      <c r="E27" s="2" t="inlineStr">
        <is>
          <t>อาการปวด</t>
        </is>
      </c>
      <c r="F27" s="2" t="inlineStr">
        <is>
          <t>เยื่อบุทางเดินอาหารอักเสบ</t>
        </is>
      </c>
      <c r="G27" s="2" t="inlineStr">
        <is>
          <t>คลื่นไส้ อาเจียน</t>
        </is>
      </c>
      <c r="H27" s="2" t="inlineStr">
        <is>
          <t>ข้อ ค และ ง ถูก</t>
        </is>
      </c>
      <c r="I27" s="8" t="n">
        <v>5</v>
      </c>
      <c r="J27" s="2"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2" t="n"/>
      <c r="L27" s="2" t="inlineStr">
        <is>
          <t>CINV &amp; Supportive Care</t>
        </is>
      </c>
      <c r="M27" s="2" t="inlineStr">
        <is>
          <t>Clinic</t>
        </is>
      </c>
      <c r="N27" s="2" t="inlineStr">
        <is>
          <t>ข้อ 27 Pharma Plus เล่มม่วง (เฉลยข้อ จ)</t>
        </is>
      </c>
      <c r="O27" s="2" t="n"/>
      <c r="P27" s="2" t="n"/>
    </row>
    <row r="28" ht="13.2" customHeight="1" s="49">
      <c r="A28" s="8" t="inlineStr">
        <is>
          <t>29</t>
        </is>
      </c>
      <c r="B28" s="2"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2" t="n"/>
      <c r="D28" s="2" t="inlineStr">
        <is>
          <t>Dexamethasone เดี่ยว ๆ</t>
        </is>
      </c>
      <c r="E28" s="2" t="inlineStr">
        <is>
          <t>Ondansetron</t>
        </is>
      </c>
      <c r="F28" s="2" t="inlineStr">
        <is>
          <t>Enalapril</t>
        </is>
      </c>
      <c r="G28" s="2" t="inlineStr">
        <is>
          <t>ยากลุ่ม opioid</t>
        </is>
      </c>
      <c r="H28" s="2" t="inlineStr">
        <is>
          <t>ไม่ต้องรับยาอะไร เพียงแต่ให้ผู้ป่วยอมน้ำแข็งระหว่างการให้ยาให้ถูกวิธี</t>
        </is>
      </c>
      <c r="I28" s="8" t="n">
        <v>1</v>
      </c>
      <c r="J28" s="2"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2" t="n"/>
      <c r="L28" s="2" t="inlineStr">
        <is>
          <t>CINV &amp; Supportive Care</t>
        </is>
      </c>
      <c r="M28" s="2" t="inlineStr">
        <is>
          <t>Clinic</t>
        </is>
      </c>
      <c r="N28" s="2" t="inlineStr">
        <is>
          <t>ข้อ 29 Pharma Plus เล่มม่วง (เฉลยข้อ )</t>
        </is>
      </c>
      <c r="O28" s="2" t="n"/>
      <c r="P28" s="2" t="n"/>
    </row>
    <row r="29" ht="13.2" customHeight="1" s="49">
      <c r="A29" s="8" t="inlineStr">
        <is>
          <t>30</t>
        </is>
      </c>
      <c r="B29" s="2"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2" t="n"/>
      <c r="D29" s="2" t="inlineStr">
        <is>
          <t>ในการให้ยาเคมีบำบัดครั้งต่อไป ให้ผู้ป่วยอมน้ำแข็งก่อนให้ยา 30 นาทีและอมต่อให้ยาอีก 30 นาที</t>
        </is>
      </c>
      <c r="E29" s="2" t="inlineStr">
        <is>
          <t>Dimenhydrinate + lidocaine + sucralfate แล้วตามด้วยยากลุ่ม NSAIDs</t>
        </is>
      </c>
      <c r="F29" s="2" t="inlineStr">
        <is>
          <t>Diphenhydramine + lidocaine + sucralfate แล้วตามด้วยยากลุ่ม opioids</t>
        </is>
      </c>
      <c r="G29" s="2" t="inlineStr">
        <is>
          <t>Diphenhydramine + lidocaine + antacid</t>
        </is>
      </c>
      <c r="H29" s="2" t="inlineStr">
        <is>
          <t>ไม่มีข้อใดถูก</t>
        </is>
      </c>
      <c r="I29" s="8" t="n">
        <v>1</v>
      </c>
      <c r="J29" s="2"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2" t="n"/>
      <c r="L29" s="2" t="inlineStr">
        <is>
          <t>CINV &amp; Supportive Care</t>
        </is>
      </c>
      <c r="M29" s="2" t="inlineStr">
        <is>
          <t>Clinic</t>
        </is>
      </c>
      <c r="N29" s="2" t="inlineStr">
        <is>
          <t>ข้อ 30 Pharma Plus เล่มม่วง (เฉลยข้อ ก ง)</t>
        </is>
      </c>
      <c r="O29" s="2" t="n"/>
      <c r="P29" s="2" t="n"/>
    </row>
    <row r="30" ht="13.2" customHeight="1" s="49">
      <c r="A30" s="8" t="inlineStr">
        <is>
          <t>31</t>
        </is>
      </c>
      <c r="B30" s="2" t="inlineStr">
        <is>
          <t>ข้อใดเป็นยาต้านการอาเจียนที่ดีที่สุดในผู้ป่วยที่ได้รับยาเคมีบำบัด
ยาต้านการอาเจียนที่มีประสิทธิภาพสูงสุดสำหรับ CINV</t>
        </is>
      </c>
      <c r="C30" s="2" t="n"/>
      <c r="D30" s="2" t="inlineStr">
        <is>
          <t>Metoclopramide</t>
        </is>
      </c>
      <c r="E30" s="2" t="inlineStr">
        <is>
          <t>Ondansetron</t>
        </is>
      </c>
      <c r="F30" s="2" t="inlineStr">
        <is>
          <t>Lorazepam</t>
        </is>
      </c>
      <c r="G30" s="2" t="inlineStr">
        <is>
          <t>ข้อ ก และ ค ถูก</t>
        </is>
      </c>
      <c r="H30" s="2" t="inlineStr">
        <is>
          <t>ข้อ ก, ข, และ ค ถูก</t>
        </is>
      </c>
      <c r="I30" s="8" t="n">
        <v>2</v>
      </c>
      <c r="J30" s="2" t="inlineStr">
        <is>
          <t>✅ คำตอบที่ถูกต้อง: ข้อ ข.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(5-HT3 receptor antagonist) เป็นยาหลักที่มี efficacy สูงมากในการป้องกัน Acute CINV เทียบกับยารุ่นเก่าอย่าง Metoclopramide ส่วน Lorazepam เป็นยาเสริม (Adjunct) ช่วยลดความวิตกกังวล
🔍 ข้ออื่นผิดเพราะอะไร:
• ข้อ ก. (Metoclopramide): เป็น central และ peripheral D2 antagonist เพิ่ม gastric emptying และแก้อาเจียน แต่ผ่าน BBB จึงทำให้เกิด acute dystonia และ EPS ได้ง่าย
• ข้อ ค. (Lorazepam): เป็น Benzodiazepine กลุ่ม LOT (Lorazepam, Oxazepam, Temazepam) ที่ผ่าน hepatic Phase II glucuronidation โดยตรง ไม่ผ่าน CYP oxidation จึงปลอดภัยกว่าในผู้สูงอายุและโรคตับ
• ข้อ ง. (ข้อ ก และ ค ถูก): ข้อ ก และ ค ถูก ไม่ตรงกับข้อบ่งใช้หรือกลไกการออกฤทธิ์ที่ถูกต้องตาม NCCN Clinical Practice Guidelines in Oncology / ASCO Guidelines
• ข้อ จ. (ข้อ ก, ข, และ ค ถูก): ข้อ ก, ข,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CINV &amp; Supportive Care</t>
        </is>
      </c>
      <c r="M30" s="2" t="inlineStr">
        <is>
          <t>Clinic</t>
        </is>
      </c>
      <c r="N30" s="2" t="inlineStr">
        <is>
          <t>ข้อ 31 Pharma Plus เล่มม่วง (เฉลยข้อ ข)</t>
        </is>
      </c>
      <c r="O30" s="2" t="n"/>
      <c r="P30" s="2" t="n"/>
    </row>
    <row r="31" ht="13.2" customHeight="1" s="49">
      <c r="A31" s="8" t="inlineStr">
        <is>
          <t>32</t>
        </is>
      </c>
      <c r="B31" s="2"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2" t="n"/>
      <c r="D31" s="2" t="inlineStr">
        <is>
          <t>หากผู้ป่วยมีตุ่มใส และมีอาการเจ็บ แสบร้อน ร่วมด้วย ให้ผู้ป่วยบ้วนปากด้วย stomatitis cocktail ก่อนรับประทานอาหาร 5-15 นาที</t>
        </is>
      </c>
      <c r="E31" s="2" t="inlineStr">
        <is>
          <t>หากมีการติดเชื้อร่วมด้วยให้ผู้ป่วยกินยาต้านเชื้อรา</t>
        </is>
      </c>
      <c r="F31" s="2" t="inlineStr">
        <is>
          <t>ในการให้ยาเคมีบำบัดครั้งต่อไป ให้ผู้ป่วยอมน้ำแข็งก่อนให้ยา 30 นาที และหลังให้ยา 30 นาที</t>
        </is>
      </c>
      <c r="G31" s="2" t="inlineStr">
        <is>
          <t>ข้อ ก และ ข ถูก</t>
        </is>
      </c>
      <c r="H31" s="2" t="inlineStr">
        <is>
          <t>ข้อ ก และ ค ถูก</t>
        </is>
      </c>
      <c r="I31" s="8" t="n">
        <v>2</v>
      </c>
      <c r="J31" s="2"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CINV &amp; Supportive Care</t>
        </is>
      </c>
      <c r="M31" s="2" t="inlineStr">
        <is>
          <t>Clinic</t>
        </is>
      </c>
      <c r="N31" s="2" t="inlineStr">
        <is>
          <t>ข้อ 32 Pharma Plus เล่มม่วง (เฉลยข้อ ข ค)</t>
        </is>
      </c>
      <c r="O31" s="2" t="n"/>
      <c r="P31" s="2" t="n"/>
    </row>
    <row r="32" ht="13.2" customHeight="1" s="49">
      <c r="A32" s="8" t="inlineStr">
        <is>
          <t>34</t>
        </is>
      </c>
      <c r="B32"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2" t="n"/>
      <c r="D32" s="2" t="inlineStr">
        <is>
          <t>150</t>
        </is>
      </c>
      <c r="E32" s="2" t="inlineStr">
        <is>
          <t>175</t>
        </is>
      </c>
      <c r="F32" s="2" t="inlineStr">
        <is>
          <t>200</t>
        </is>
      </c>
      <c r="G32" s="2" t="inlineStr">
        <is>
          <t>225</t>
        </is>
      </c>
      <c r="H32" s="2" t="inlineStr">
        <is>
          <t>250</t>
        </is>
      </c>
      <c r="I32" s="8" t="n">
        <v>2</v>
      </c>
      <c r="J32" s="2"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2" t="n"/>
      <c r="L32" s="2" t="inlineStr">
        <is>
          <t>CINV &amp; Supportive Care</t>
        </is>
      </c>
      <c r="M32" s="2" t="inlineStr">
        <is>
          <t>Clinic</t>
        </is>
      </c>
      <c r="N32" s="2" t="inlineStr">
        <is>
          <t>ข้อ 34 Pharma Plus เล่มม่วง (เฉลยข้อ ข)</t>
        </is>
      </c>
      <c r="O32" s="2" t="n"/>
      <c r="P32" s="2" t="n"/>
    </row>
    <row r="33" ht="13.2" customHeight="1" s="49">
      <c r="A33" s="8" t="inlineStr">
        <is>
          <t>35</t>
        </is>
      </c>
      <c r="B33" s="2"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2" t="n"/>
      <c r="D33" s="2" t="inlineStr">
        <is>
          <t>Nephrotoxicity</t>
        </is>
      </c>
      <c r="E33" s="2" t="inlineStr">
        <is>
          <t>Neurotoxicity</t>
        </is>
      </c>
      <c r="F33" s="2" t="inlineStr">
        <is>
          <t>Hypotension</t>
        </is>
      </c>
      <c r="G33" s="2" t="inlineStr">
        <is>
          <t>Pulmonary toxicity</t>
        </is>
      </c>
      <c r="H33" s="2" t="inlineStr">
        <is>
          <t>Ototoxicity</t>
        </is>
      </c>
      <c r="I33" s="8" t="n">
        <v>4</v>
      </c>
      <c r="J33" s="2"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2" t="n"/>
      <c r="L33" s="2" t="inlineStr">
        <is>
          <t>CINV &amp; Supportive Care</t>
        </is>
      </c>
      <c r="M33" s="2" t="inlineStr">
        <is>
          <t>Clinic</t>
        </is>
      </c>
      <c r="N33" s="2" t="inlineStr">
        <is>
          <t>ข้อ 35 Pharma Plus เล่มม่วง (เฉลยข้อ ง)</t>
        </is>
      </c>
      <c r="O33" s="2" t="n"/>
      <c r="P33" s="2" t="n"/>
    </row>
    <row r="34" ht="13.2" customHeight="1" s="49">
      <c r="A34" s="8" t="inlineStr">
        <is>
          <t>36</t>
        </is>
      </c>
      <c r="B34" s="2" t="inlineStr">
        <is>
          <t>กลไกการออกฤทธิ์ของยา cisplatin คืออะไร</t>
        </is>
      </c>
      <c r="C34" s="2" t="n"/>
      <c r="D34" s="2" t="inlineStr">
        <is>
          <t>Antimetabolite</t>
        </is>
      </c>
      <c r="E34" s="2" t="inlineStr">
        <is>
          <t>Topoisomerase inhibitor</t>
        </is>
      </c>
      <c r="F34" s="2" t="inlineStr">
        <is>
          <t>Produce free radical</t>
        </is>
      </c>
      <c r="G34" s="2" t="inlineStr">
        <is>
          <t>Mitotic spindle toxicity</t>
        </is>
      </c>
      <c r="H34" s="2" t="inlineStr">
        <is>
          <t>Alkylating agent</t>
        </is>
      </c>
      <c r="I34" s="8" t="n">
        <v>5</v>
      </c>
      <c r="J34" s="2"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2" t="n"/>
      <c r="L34" s="2" t="inlineStr">
        <is>
          <t>CINV &amp; Supportive Care</t>
        </is>
      </c>
      <c r="M34" s="2" t="inlineStr">
        <is>
          <t>Clinic</t>
        </is>
      </c>
      <c r="N34" s="2" t="inlineStr">
        <is>
          <t>ข้อ 36 Pharma Plus เล่มม่วง (เฉลยข้อ จ)</t>
        </is>
      </c>
      <c r="O34" s="2" t="n"/>
      <c r="P34" s="2" t="n"/>
    </row>
    <row r="35" ht="13.2" customHeight="1" s="49">
      <c r="A35" s="8" t="inlineStr">
        <is>
          <t>38</t>
        </is>
      </c>
      <c r="B35" s="2" t="inlineStr">
        <is>
          <t>ยาเคมีชนิดใดไม่ได้สกัดมาจากธรรมชาติ</t>
        </is>
      </c>
      <c r="C35" s="2" t="n"/>
      <c r="D35" s="2" t="inlineStr">
        <is>
          <t>Doxorubicin</t>
        </is>
      </c>
      <c r="E35" s="2" t="inlineStr">
        <is>
          <t>Paclitaxel</t>
        </is>
      </c>
      <c r="F35" s="2" t="inlineStr">
        <is>
          <t>Oxaliplatin</t>
        </is>
      </c>
      <c r="G35" s="2" t="inlineStr">
        <is>
          <t>Vincristine</t>
        </is>
      </c>
      <c r="H35" s="2" t="inlineStr">
        <is>
          <t>Hydroxyurea</t>
        </is>
      </c>
      <c r="I35" s="8" t="n">
        <v>3</v>
      </c>
      <c r="J35" s="2"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CINV &amp; Supportive Care</t>
        </is>
      </c>
      <c r="M35" s="2" t="inlineStr">
        <is>
          <t>Clinic</t>
        </is>
      </c>
      <c r="N35" s="2" t="inlineStr">
        <is>
          <t>ข้อ 38 Pharma Plus เล่มม่วง (เฉลยข้อ ค)</t>
        </is>
      </c>
      <c r="O35" s="2" t="n"/>
      <c r="P35" s="2" t="n"/>
    </row>
    <row r="36" ht="13.2" customHeight="1" s="49">
      <c r="A36" s="8" t="inlineStr">
        <is>
          <t>39</t>
        </is>
      </c>
      <c r="B36" s="2" t="inlineStr">
        <is>
          <t>กลไกการออกฤทธิ์ของยา paclitaxel คืออะไร</t>
        </is>
      </c>
      <c r="C36" s="2" t="n"/>
      <c r="D36" s="8" t="inlineStr">
        <is>
          <t>Antimetabolite</t>
        </is>
      </c>
      <c r="E36" s="8" t="inlineStr">
        <is>
          <t>Topoisomerase inhibitor</t>
        </is>
      </c>
      <c r="F36" s="8" t="inlineStr">
        <is>
          <t>Produce free radical</t>
        </is>
      </c>
      <c r="G36" s="8" t="inlineStr">
        <is>
          <t>Mitotic phase inhibitor</t>
        </is>
      </c>
      <c r="H36" s="8" t="inlineStr">
        <is>
          <t>Alkylating agent</t>
        </is>
      </c>
      <c r="I36" s="8" t="n">
        <v>4</v>
      </c>
      <c r="J36" s="2"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CINV &amp; Supportive Care</t>
        </is>
      </c>
      <c r="M36" s="2" t="inlineStr">
        <is>
          <t>Clinic</t>
        </is>
      </c>
      <c r="N36" s="2" t="inlineStr">
        <is>
          <t>ข้อ 39 Pharma Plus เล่มม่วง (เฉลยข้อ ง)</t>
        </is>
      </c>
      <c r="O36" s="2" t="n"/>
      <c r="P36" s="2" t="n"/>
    </row>
    <row r="37" ht="13.2" customHeight="1" s="49">
      <c r="A37" s="8" t="inlineStr">
        <is>
          <t>40</t>
        </is>
      </c>
      <c r="B37" s="2" t="inlineStr">
        <is>
          <t>ผู้ป่วยมะเร็งที่มีอาการปวดรุนแรง และได้รับยาแก้ปวด opioids ปริมาณสูง อาจทำให้เกิดผลข้างเคียงใด</t>
        </is>
      </c>
      <c r="C37" s="2" t="n"/>
      <c r="D37" s="2" t="inlineStr">
        <is>
          <t>Diarrhea, Convulsion</t>
        </is>
      </c>
      <c r="E37" s="2" t="inlineStr">
        <is>
          <t>Mydriasis, Hypoventilation</t>
        </is>
      </c>
      <c r="F37" s="2" t="inlineStr">
        <is>
          <t>Hyperthermia</t>
        </is>
      </c>
      <c r="G37" s="2" t="inlineStr">
        <is>
          <t>Coma, Miosis</t>
        </is>
      </c>
      <c r="H37" s="2" t="inlineStr">
        <is>
          <t>Hyperventilation</t>
        </is>
      </c>
      <c r="I37" s="8" t="n">
        <v>4</v>
      </c>
      <c r="J37" s="2"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2" t="n"/>
      <c r="L37" s="2" t="inlineStr">
        <is>
          <t>CINV &amp; Supportive Care</t>
        </is>
      </c>
      <c r="M37" s="2" t="inlineStr">
        <is>
          <t>Clinic</t>
        </is>
      </c>
      <c r="N37" s="2" t="inlineStr">
        <is>
          <t>ข้อ 40 Pharma Plus เล่มม่วง (เฉลยข้อ ง)</t>
        </is>
      </c>
      <c r="O37" s="2" t="n"/>
      <c r="P37" s="2" t="n"/>
    </row>
    <row r="38" ht="13.2" customHeight="1" s="49">
      <c r="A38" s="8" t="inlineStr">
        <is>
          <t>41</t>
        </is>
      </c>
      <c r="B38" s="2" t="inlineStr">
        <is>
          <t>การใช้ leucovorin ร่วมเมื่อใช้ยา methotrexate ขนาดสูง ในการรักษามะเร็งบางชนิด เพื่ออะไร</t>
        </is>
      </c>
      <c r="C38" s="2" t="n"/>
      <c r="D38" s="2" t="inlineStr">
        <is>
          <t>ช่วยเพิ่ม MTX เข้าสู่เซลล์มะเร็ง</t>
        </is>
      </c>
      <c r="E38" s="2" t="inlineStr">
        <is>
          <t>ช่วยเร่งการขับ MTX ออกทางปัสสาวะ</t>
        </is>
      </c>
      <c r="F38" s="2" t="inlineStr">
        <is>
          <t>ช่วยเร่งการแปรูปของ MTX ที่ตับ</t>
        </is>
      </c>
      <c r="G38" s="2" t="inlineStr">
        <is>
          <t>ช่วยลดความเป็นพิษของ MTX ต่อเซลล์ปกติ</t>
        </is>
      </c>
      <c r="H38" s="2" t="inlineStr">
        <is>
          <t>ช่วยเพิ่มความเป็นพิษของ MTX ต่อเซลล์มะเร็ง</t>
        </is>
      </c>
      <c r="I38" s="8" t="n">
        <v>4</v>
      </c>
      <c r="J38" s="2"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2" t="n"/>
      <c r="L38" s="2" t="inlineStr">
        <is>
          <t>CINV &amp; Supportive Care</t>
        </is>
      </c>
      <c r="M38" s="2" t="inlineStr">
        <is>
          <t>Clinic</t>
        </is>
      </c>
      <c r="N38" s="2" t="inlineStr">
        <is>
          <t>ข้อ 41 Pharma Plus เล่มม่วง (เฉลยข้อ ง)</t>
        </is>
      </c>
      <c r="O38" s="2" t="n"/>
      <c r="P38" s="2" t="n"/>
    </row>
    <row r="39" ht="13.2" customHeight="1" s="49">
      <c r="A39" s="8" t="inlineStr">
        <is>
          <t>42</t>
        </is>
      </c>
      <c r="B39" s="2" t="inlineStr">
        <is>
          <t>ยาใดต่อไปนี้เกี่ยวข้องกับ nephrotoxicity</t>
        </is>
      </c>
      <c r="C39" s="2" t="n"/>
      <c r="D39" s="2" t="inlineStr">
        <is>
          <t>Methotrexate</t>
        </is>
      </c>
      <c r="E39" s="2" t="inlineStr">
        <is>
          <t>Etoposide</t>
        </is>
      </c>
      <c r="F39" s="2" t="inlineStr">
        <is>
          <t>Doxorubicin</t>
        </is>
      </c>
      <c r="G39" s="2" t="inlineStr">
        <is>
          <t>Vinorelbine</t>
        </is>
      </c>
      <c r="H39" s="2" t="inlineStr">
        <is>
          <t>Docetaxel</t>
        </is>
      </c>
      <c r="I39" s="8" t="n">
        <v>1</v>
      </c>
      <c r="J39" s="2"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2" t="n"/>
      <c r="L39" s="2" t="inlineStr">
        <is>
          <t>CINV &amp; Supportive Care</t>
        </is>
      </c>
      <c r="M39" s="2" t="inlineStr">
        <is>
          <t>Clinic</t>
        </is>
      </c>
      <c r="N39" s="2" t="inlineStr">
        <is>
          <t>ข้อ 42 Pharma Plus เล่มม่วง (เฉลยข้อ ก)</t>
        </is>
      </c>
      <c r="O39" s="2" t="n"/>
      <c r="P39" s="2" t="n"/>
    </row>
    <row r="40" ht="13.2" customHeight="1" s="49">
      <c r="A40" s="8" t="inlineStr">
        <is>
          <t>43</t>
        </is>
      </c>
      <c r="B40" s="2" t="inlineStr">
        <is>
          <t>คู่ยาใดที่อาจเกิด drug interaction จนทำให้ระดับยาในเลือดเพิ่มสูงขึ้นจนเป็นอันตรายแก่ผู้ป่วย</t>
        </is>
      </c>
      <c r="C40" s="2" t="n"/>
      <c r="D40" s="2" t="inlineStr">
        <is>
          <t>Tamoxifen - warfarin</t>
        </is>
      </c>
      <c r="E40" s="2" t="inlineStr">
        <is>
          <t>Cisplatin - cimetidine</t>
        </is>
      </c>
      <c r="F40" s="2" t="inlineStr">
        <is>
          <t>Methotrexate - phenobarbitone</t>
        </is>
      </c>
      <c r="G40" s="2" t="inlineStr">
        <is>
          <t>Doxorubicin - tetracycline</t>
        </is>
      </c>
      <c r="H40" s="2" t="inlineStr">
        <is>
          <t>Mercaptopurine - allopurinol</t>
        </is>
      </c>
      <c r="I40" s="8" t="n">
        <v>5</v>
      </c>
      <c r="J40" s="2"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2" t="n"/>
      <c r="L40" s="2" t="inlineStr">
        <is>
          <t>CINV &amp; Supportive Care</t>
        </is>
      </c>
      <c r="M40" s="2" t="inlineStr">
        <is>
          <t>Clinic</t>
        </is>
      </c>
      <c r="N40" s="2" t="inlineStr">
        <is>
          <t>ข้อ 43 Pharma Plus เล่มม่วง (เฉลยข้อ จ)</t>
        </is>
      </c>
      <c r="O40" s="2" t="n"/>
      <c r="P40" s="2" t="n"/>
    </row>
    <row r="41" ht="13.2" customHeight="1" s="49">
      <c r="A41" s="8" t="inlineStr">
        <is>
          <t>44</t>
        </is>
      </c>
      <c r="B41" s="2" t="inlineStr">
        <is>
          <t>ยาเคมีชนิดใดที่ใช้เป็น immunosuppressive agent ได้ด้วย</t>
        </is>
      </c>
      <c r="C41" s="2" t="n"/>
      <c r="D41" s="2" t="inlineStr">
        <is>
          <t>5-Fluorouracil</t>
        </is>
      </c>
      <c r="E41" s="2" t="inlineStr">
        <is>
          <t>Irinotecan</t>
        </is>
      </c>
      <c r="F41" s="2" t="inlineStr">
        <is>
          <t>Cyclophosphamide</t>
        </is>
      </c>
      <c r="G41" s="2" t="inlineStr">
        <is>
          <t>Cisplatin</t>
        </is>
      </c>
      <c r="H41" s="2" t="inlineStr">
        <is>
          <t>Doxorubicin</t>
        </is>
      </c>
      <c r="I41" s="8" t="n">
        <v>3</v>
      </c>
      <c r="J41" s="2"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CINV &amp; Supportive Care</t>
        </is>
      </c>
      <c r="M41" s="2" t="inlineStr">
        <is>
          <t>Clinic</t>
        </is>
      </c>
      <c r="N41" s="2" t="inlineStr">
        <is>
          <t>ข้อ 44 Pharma Plus เล่มม่วง (เฉลยข้อ ค)</t>
        </is>
      </c>
      <c r="O41" s="2" t="n"/>
      <c r="P41" s="2" t="n"/>
    </row>
    <row r="42" ht="13.2" customHeight="1" s="49">
      <c r="A42" s="8" t="inlineStr">
        <is>
          <t>45</t>
        </is>
      </c>
      <c r="B42"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2" t="n"/>
      <c r="D42" s="2" t="inlineStr">
        <is>
          <t>ค่า serum creatinine</t>
        </is>
      </c>
      <c r="E42" s="2" t="inlineStr">
        <is>
          <t>ค่า CBC (complete blood count)</t>
        </is>
      </c>
      <c r="F42" s="2" t="inlineStr">
        <is>
          <t>ค่า ejection fraction ของหัวใจ</t>
        </is>
      </c>
      <c r="G42" s="2" t="inlineStr">
        <is>
          <t>ค่า electrolyte</t>
        </is>
      </c>
      <c r="H42" s="2" t="inlineStr">
        <is>
          <t>ผลวิเคราะห์ทางจุลชีววิทยา (blood cultures)</t>
        </is>
      </c>
      <c r="I42" s="8" t="n">
        <v>1</v>
      </c>
      <c r="J42" s="2"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2" t="n"/>
      <c r="L42" s="2" t="inlineStr">
        <is>
          <t>CINV &amp; Supportive Care</t>
        </is>
      </c>
      <c r="M42" s="2" t="inlineStr">
        <is>
          <t>Clinic</t>
        </is>
      </c>
      <c r="N42" s="2" t="inlineStr">
        <is>
          <t>ข้อ 45 Pharma Plus เล่มม่วง (เฉลยข้อ ก ข)</t>
        </is>
      </c>
      <c r="O42" s="2" t="n"/>
      <c r="P42" s="2" t="n"/>
    </row>
    <row r="43" ht="13.2" customHeight="1" s="49">
      <c r="A43" s="8" t="inlineStr">
        <is>
          <t>46</t>
        </is>
      </c>
      <c r="B43"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2" t="n"/>
      <c r="D43" s="2" t="inlineStr">
        <is>
          <t>การผ่าตัดแบบ modified radical mastectomy เพื่อกำจัดมะเร็ง</t>
        </is>
      </c>
      <c r="E43" s="2" t="inlineStr">
        <is>
          <t>อาการข้างเคียงของ cyclophosphamide</t>
        </is>
      </c>
      <c r="F43" s="2" t="inlineStr">
        <is>
          <t>อาการข้างเคียงของ cyclophosphamide และ doxorubicin</t>
        </is>
      </c>
      <c r="G43" s="2" t="inlineStr">
        <is>
          <t>อาการข้างเคียงของ doxorubicin</t>
        </is>
      </c>
      <c r="H43" s="2" t="inlineStr">
        <is>
          <t>อาการแทรกซ้อนจากการผ่าตัด ร่วมกับการให้ยาเคมีบำบัด</t>
        </is>
      </c>
      <c r="I43" s="8" t="n">
        <v>4</v>
      </c>
      <c r="J43" s="2"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2" t="n"/>
      <c r="L43" s="2" t="inlineStr">
        <is>
          <t>CINV &amp; Supportive Care</t>
        </is>
      </c>
      <c r="M43" s="2" t="inlineStr">
        <is>
          <t>Clinic</t>
        </is>
      </c>
      <c r="N43" s="2" t="inlineStr">
        <is>
          <t>ข้อ 46 Pharma Plus เล่มม่วง (เฉลยข้อ ง)</t>
        </is>
      </c>
      <c r="O43" s="2" t="n"/>
      <c r="P43" s="2" t="n"/>
    </row>
    <row r="44" ht="13.2" customHeight="1" s="49">
      <c r="A44" s="8" t="inlineStr">
        <is>
          <t>47</t>
        </is>
      </c>
      <c r="B44"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2" t="n"/>
      <c r="D44" s="2" t="inlineStr">
        <is>
          <t>การกดการทำงานขอไขกระดูก</t>
        </is>
      </c>
      <c r="E44" s="2" t="inlineStr">
        <is>
          <t>เยื่อบุทางเดินอาหารอักเสบ</t>
        </is>
      </c>
      <c r="F44" s="2" t="inlineStr">
        <is>
          <t>คลื่นไส้อาเจียน</t>
        </is>
      </c>
      <c r="G44" s="2" t="inlineStr">
        <is>
          <t>ผมร่วง</t>
        </is>
      </c>
      <c r="H44" s="2" t="inlineStr">
        <is>
          <t>ชาตามปลายประสาท</t>
        </is>
      </c>
      <c r="I44" s="8" t="n">
        <v>2</v>
      </c>
      <c r="J44" s="2"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2" t="n"/>
      <c r="L44" s="2" t="inlineStr">
        <is>
          <t>CINV &amp; Supportive Care</t>
        </is>
      </c>
      <c r="M44" s="2" t="inlineStr">
        <is>
          <t>Clinic</t>
        </is>
      </c>
      <c r="N44" s="2" t="inlineStr">
        <is>
          <t>ข้อ 47 Pharma Plus เล่มม่วง (เฉลยข้อ ข ค)</t>
        </is>
      </c>
      <c r="O44" s="2" t="n"/>
      <c r="P44" s="2" t="n"/>
    </row>
    <row r="45" ht="13.2" customHeight="1" s="49">
      <c r="A45" s="8" t="inlineStr">
        <is>
          <t>48</t>
        </is>
      </c>
      <c r="B45"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2" t="n"/>
      <c r="D45" s="2" t="inlineStr">
        <is>
          <t>Estrogen receptor เช่น tamoxifen</t>
        </is>
      </c>
      <c r="E45" s="2" t="inlineStr">
        <is>
          <t>Methotrexate แบบรับประทานเพื่อควบคุมโรค</t>
        </is>
      </c>
      <c r="F45" s="2" t="inlineStr">
        <is>
          <t>การฉายรังสีบริเวณที่ได้รับการผ่าตัด</t>
        </is>
      </c>
      <c r="G45" s="2" t="inlineStr">
        <is>
          <t>การรับประทานยาคุมกำเนิดขนาดสูง</t>
        </is>
      </c>
      <c r="H45" s="2" t="inlineStr">
        <is>
          <t>การเพิ่มการให้ยาเคมีบำัดจาก 4 เดือน เป็น 6 เดือน</t>
        </is>
      </c>
      <c r="I45" s="8" t="n">
        <v>1</v>
      </c>
      <c r="J45" s="2"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2" t="n"/>
      <c r="L45" s="2" t="inlineStr">
        <is>
          <t>CINV &amp; Supportive Care</t>
        </is>
      </c>
      <c r="M45" s="2" t="inlineStr">
        <is>
          <t>Clinic</t>
        </is>
      </c>
      <c r="N45" s="2" t="inlineStr">
        <is>
          <t>ข้อ 48 Pharma Plus เล่มม่วง (เฉลยข้อ ก)</t>
        </is>
      </c>
      <c r="O45" s="2" t="n"/>
      <c r="P45" s="2" t="n"/>
    </row>
    <row r="46" ht="13.2" customHeight="1" s="49">
      <c r="A46" s="8" t="inlineStr">
        <is>
          <t>49</t>
        </is>
      </c>
      <c r="B46" s="2"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2" t="n"/>
      <c r="D46" s="2" t="inlineStr">
        <is>
          <t>รักษาให้หายขาด</t>
        </is>
      </c>
      <c r="E46" s="2" t="inlineStr">
        <is>
          <t>ยืดอายุผู้ป่วย</t>
        </is>
      </c>
      <c r="F46" s="2" t="inlineStr">
        <is>
          <t>รักษาผู้ป่วยแบบประคับประคอง</t>
        </is>
      </c>
      <c r="G46" s="2" t="inlineStr">
        <is>
          <t>เพื่อลดการกลับซ้ำของโรค</t>
        </is>
      </c>
      <c r="H46" s="2" t="inlineStr">
        <is>
          <t>ทำให้ผู้ป่วยมีระยะปลอดโรคที่นานขึ้น</t>
        </is>
      </c>
      <c r="I46" s="8" t="n">
        <v>3</v>
      </c>
      <c r="J46" s="2"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2" t="n"/>
      <c r="L46" s="2" t="inlineStr">
        <is>
          <t>CINV &amp; Supportive Care</t>
        </is>
      </c>
      <c r="M46" s="2" t="inlineStr">
        <is>
          <t>Clinic</t>
        </is>
      </c>
      <c r="N46" s="2" t="inlineStr">
        <is>
          <t>ข้อ 49 Pharma Plus เล่มม่วง (เฉลยข้อ ค)</t>
        </is>
      </c>
      <c r="O46" s="2" t="n"/>
      <c r="P46" s="2" t="n"/>
    </row>
    <row r="47" ht="13.2" customHeight="1" s="49">
      <c r="A47" s="8" t="inlineStr">
        <is>
          <t>50</t>
        </is>
      </c>
      <c r="B47" s="2" t="inlineStr">
        <is>
          <t>การตรวจร่างกายเบื้องต้นของมะเร็งเต้านมต้องตรวจอะไรไร</t>
        </is>
      </c>
      <c r="C47" s="2" t="n"/>
      <c r="D47" s="2" t="inlineStr">
        <is>
          <t>Fecal blood occult test</t>
        </is>
      </c>
      <c r="E47" s="2" t="inlineStr">
        <is>
          <t>CT scan</t>
        </is>
      </c>
      <c r="F47" s="2" t="inlineStr">
        <is>
          <t>Mammography</t>
        </is>
      </c>
      <c r="G47" s="2" t="inlineStr">
        <is>
          <t>Pap smear</t>
        </is>
      </c>
      <c r="H47" s="2" t="inlineStr">
        <is>
          <t>Tumor biopsy</t>
        </is>
      </c>
      <c r="I47" s="8" t="n">
        <v>3</v>
      </c>
      <c r="J47" s="2"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2" t="n"/>
      <c r="L47" s="2" t="inlineStr">
        <is>
          <t>CINV &amp; Supportive Care</t>
        </is>
      </c>
      <c r="M47" s="2" t="inlineStr">
        <is>
          <t>Clinic</t>
        </is>
      </c>
      <c r="N47" s="2" t="inlineStr">
        <is>
          <t>ข้อ 50 Pharma Plus เล่มม่วง (เฉลยข้อ ค)</t>
        </is>
      </c>
      <c r="O47" s="2" t="n"/>
      <c r="P47" s="2" t="n"/>
    </row>
    <row r="48" ht="13.2" customHeight="1" s="49">
      <c r="A48" s="8" t="inlineStr">
        <is>
          <t>51</t>
        </is>
      </c>
      <c r="B48" s="2"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2" t="n"/>
      <c r="D48" s="2" t="inlineStr">
        <is>
          <t>Alkylating agent</t>
        </is>
      </c>
      <c r="E48" s="2" t="inlineStr">
        <is>
          <t>Antiestrogen</t>
        </is>
      </c>
      <c r="F48" s="2" t="inlineStr">
        <is>
          <t>Antitumor antibiotic</t>
        </is>
      </c>
      <c r="G48" s="2" t="inlineStr">
        <is>
          <t>Antimetabolite</t>
        </is>
      </c>
      <c r="H48" s="2" t="inlineStr">
        <is>
          <t>Plant alkaloid</t>
        </is>
      </c>
      <c r="I48" s="8" t="n">
        <v>2</v>
      </c>
      <c r="J48" s="2"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2" t="n"/>
      <c r="L48" s="2" t="inlineStr">
        <is>
          <t>CINV &amp; Supportive Care</t>
        </is>
      </c>
      <c r="M48" s="2" t="inlineStr">
        <is>
          <t>Clinic</t>
        </is>
      </c>
      <c r="N48" s="2" t="inlineStr">
        <is>
          <t>ข้อ 51 Pharma Plus เล่มม่วง (เฉลยข้อ ข)</t>
        </is>
      </c>
      <c r="O48" s="2" t="n"/>
      <c r="P48" s="2" t="n"/>
    </row>
    <row r="49" ht="13.2" customHeight="1" s="49">
      <c r="A49" s="8" t="inlineStr">
        <is>
          <t>52</t>
        </is>
      </c>
      <c r="B49" s="2"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2" t="n"/>
      <c r="D49" s="2" t="inlineStr">
        <is>
          <t>Apoptosis</t>
        </is>
      </c>
      <c r="E49" s="2" t="inlineStr">
        <is>
          <t>Differentiation</t>
        </is>
      </c>
      <c r="F49" s="2" t="inlineStr">
        <is>
          <t>Invasiveness</t>
        </is>
      </c>
      <c r="G49" s="2" t="inlineStr">
        <is>
          <t>Metastasis</t>
        </is>
      </c>
      <c r="H49" s="2" t="inlineStr">
        <is>
          <t>Uncontrolled proliferation</t>
        </is>
      </c>
      <c r="I49" s="8" t="n">
        <v>1</v>
      </c>
      <c r="J49" s="2"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2" t="n"/>
      <c r="L49" s="2" t="inlineStr">
        <is>
          <t>CINV &amp; Supportive Care</t>
        </is>
      </c>
      <c r="M49" s="2" t="inlineStr">
        <is>
          <t>Clinic</t>
        </is>
      </c>
      <c r="N49" s="2" t="inlineStr">
        <is>
          <t>ข้อ 52 Pharma Plus เล่มม่วง (เฉลยข้อ ก)</t>
        </is>
      </c>
      <c r="O49" s="2" t="n"/>
      <c r="P49" s="2" t="n"/>
    </row>
    <row r="50" ht="13.2" customHeight="1" s="49">
      <c r="A50" s="8" t="inlineStr">
        <is>
          <t>53</t>
        </is>
      </c>
      <c r="B50" s="2" t="inlineStr">
        <is>
          <t>Fluorouracil จัดเป็นยารักษามะเร็งในกลุ่มใด</t>
        </is>
      </c>
      <c r="C50" s="2" t="n"/>
      <c r="D50" s="2" t="inlineStr">
        <is>
          <t>กลุ่ม alkylating agent ประเภท nitrogen mustard</t>
        </is>
      </c>
      <c r="E50" s="2" t="inlineStr">
        <is>
          <t>กลุ่ม alkylating agent ประเภท triazene</t>
        </is>
      </c>
      <c r="F50" s="2" t="inlineStr">
        <is>
          <t>กลุ่ม antimetabolite ประเภท purine analogs</t>
        </is>
      </c>
      <c r="G50" s="2" t="inlineStr">
        <is>
          <t>กลุ่ม antimetabolite ประเภท pyrimidine analogs</t>
        </is>
      </c>
      <c r="H50" s="2" t="inlineStr">
        <is>
          <t>กลุ่ม antimetabolite ประเภท folic acid analogs</t>
        </is>
      </c>
      <c r="I50" s="8" t="n">
        <v>4</v>
      </c>
      <c r="J50" s="2"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2" t="n"/>
      <c r="L50" s="2" t="inlineStr">
        <is>
          <t>CINV &amp; Supportive Care</t>
        </is>
      </c>
      <c r="M50" s="2" t="inlineStr">
        <is>
          <t>Clinic</t>
        </is>
      </c>
      <c r="N50" s="2" t="inlineStr">
        <is>
          <t>ข้อ 53 Pharma Plus เล่มม่วง (เฉลยข้อ ง)</t>
        </is>
      </c>
      <c r="O50" s="2" t="n"/>
      <c r="P50" s="2" t="n"/>
    </row>
    <row r="51" ht="13.2" customHeight="1" s="49">
      <c r="A51" s="8" t="inlineStr">
        <is>
          <t>54</t>
        </is>
      </c>
      <c r="B51" s="2"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2" t="n"/>
      <c r="D51" s="2" t="inlineStr">
        <is>
          <t>Dimenhydrinate</t>
        </is>
      </c>
      <c r="E51" s="2" t="inlineStr">
        <is>
          <t>Diphenhydramine</t>
        </is>
      </c>
      <c r="F51" s="2" t="inlineStr">
        <is>
          <t>Domperidone</t>
        </is>
      </c>
      <c r="G51" s="2" t="inlineStr">
        <is>
          <t>Metoclopramide</t>
        </is>
      </c>
      <c r="H51" s="2" t="inlineStr">
        <is>
          <t>Ondansetron</t>
        </is>
      </c>
      <c r="I51" s="8" t="n">
        <v>5</v>
      </c>
      <c r="J51" s="2"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2" t="n"/>
      <c r="L51" s="2" t="inlineStr">
        <is>
          <t>CINV &amp; Supportive Care</t>
        </is>
      </c>
      <c r="M51" s="2" t="inlineStr">
        <is>
          <t>Clinic</t>
        </is>
      </c>
      <c r="N51" s="2" t="inlineStr">
        <is>
          <t>ข้อ 54 Pharma Plus เล่มม่วง (เฉลยข้อ จ)</t>
        </is>
      </c>
      <c r="O51" s="2" t="n"/>
      <c r="P51" s="2" t="n"/>
    </row>
    <row r="52" ht="13.2" customHeight="1" s="49">
      <c r="A52" s="8" t="inlineStr">
        <is>
          <t>55</t>
        </is>
      </c>
      <c r="B52" s="2" t="inlineStr">
        <is>
          <t>ผู้ป่วยมีอาการปวดจากมะเร็งระดับ mild to moderate ควรเลือกใช้ยาใดเป็นอันดับแรกในการบรรเทาอาการ</t>
        </is>
      </c>
      <c r="C52" s="2" t="n"/>
      <c r="D52" s="2" t="inlineStr">
        <is>
          <t>Amphetamine</t>
        </is>
      </c>
      <c r="E52" s="2" t="inlineStr">
        <is>
          <t>Celecoxib</t>
        </is>
      </c>
      <c r="F52" s="2" t="inlineStr">
        <is>
          <t>Ketamine</t>
        </is>
      </c>
      <c r="G52" s="2" t="inlineStr">
        <is>
          <t>Morphine</t>
        </is>
      </c>
      <c r="H52" s="2" t="inlineStr">
        <is>
          <t>Pethidine</t>
        </is>
      </c>
      <c r="I52" s="8" t="n">
        <v>2</v>
      </c>
      <c r="J52" s="2"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2" t="n"/>
      <c r="L52" s="2" t="inlineStr">
        <is>
          <t>CINV &amp; Supportive Care</t>
        </is>
      </c>
      <c r="M52" s="2" t="inlineStr">
        <is>
          <t>Clinic</t>
        </is>
      </c>
      <c r="N52" s="2" t="inlineStr">
        <is>
          <t>ข้อ 55 Pharma Plus เล่มม่วง (เฉลยข้อ ข)</t>
        </is>
      </c>
      <c r="O52" s="2" t="n"/>
      <c r="P52" s="2" t="n"/>
    </row>
    <row r="53" ht="13.2" customHeight="1" s="49">
      <c r="A53" s="8" t="inlineStr">
        <is>
          <t>56</t>
        </is>
      </c>
      <c r="B53" s="2"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2" t="n"/>
      <c r="D53" s="2" t="inlineStr">
        <is>
          <t>ผู้ชาย</t>
        </is>
      </c>
      <c r="E53" s="2" t="inlineStr">
        <is>
          <t>สูบบุหรี่</t>
        </is>
      </c>
      <c r="F53" s="2" t="inlineStr">
        <is>
          <t>ดื่มสุรา</t>
        </is>
      </c>
      <c r="G53" s="2" t="inlineStr">
        <is>
          <t>มีคนในครอบครัวเป็นโรคมะเร็งปอด</t>
        </is>
      </c>
      <c r="H53" s="2" t="inlineStr">
        <is>
          <t>Asbestos</t>
        </is>
      </c>
      <c r="I53" s="8" t="n">
        <v>3</v>
      </c>
      <c r="J53" s="2"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2" t="n"/>
      <c r="L53" s="2" t="inlineStr">
        <is>
          <t>CINV &amp; Supportive Care</t>
        </is>
      </c>
      <c r="M53" s="2" t="inlineStr">
        <is>
          <t>Clinic</t>
        </is>
      </c>
      <c r="N53" s="2" t="inlineStr">
        <is>
          <t>ข้อ 56 Pharma Plus เล่มม่วง (เฉลยข้อ ค)</t>
        </is>
      </c>
      <c r="O53" s="2" t="n"/>
      <c r="P53" s="2" t="n"/>
    </row>
    <row r="54" ht="13.2" customHeight="1" s="49">
      <c r="A54" s="8" t="inlineStr">
        <is>
          <t>57</t>
        </is>
      </c>
      <c r="B54" s="2" t="inlineStr">
        <is>
          <t>ข้อใดคือกลไกของยา cisplatin</t>
        </is>
      </c>
      <c r="C54" s="2" t="n"/>
      <c r="D54" s="2" t="inlineStr">
        <is>
          <t>ยับยั้ง vascular endothelial growth factor</t>
        </is>
      </c>
      <c r="E54" s="2" t="inlineStr">
        <is>
          <t>ยับยั้งเอนไซม์ dihydrofolate reductase</t>
        </is>
      </c>
      <c r="F54" s="2" t="inlineStr">
        <is>
          <t>ยับยั้งเอนไซม์ topoisomerase II</t>
        </is>
      </c>
      <c r="G54" s="2" t="inlineStr">
        <is>
          <t>ทำให้เกิด DNA crosslink</t>
        </is>
      </c>
      <c r="H54" s="2" t="inlineStr">
        <is>
          <t>เพิ่มการเข้าจับที่ HER-2 receptor</t>
        </is>
      </c>
      <c r="I54" s="8" t="n">
        <v>4</v>
      </c>
      <c r="J54" s="2"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2" t="n"/>
      <c r="L54" s="2" t="inlineStr">
        <is>
          <t>CINV &amp; Supportive Care</t>
        </is>
      </c>
      <c r="M54" s="2" t="inlineStr">
        <is>
          <t>Clinic</t>
        </is>
      </c>
      <c r="N54" s="2" t="inlineStr">
        <is>
          <t>ข้อ 57 Pharma Plus เล่มม่วง (เฉลยข้อ ง)</t>
        </is>
      </c>
      <c r="O54" s="2" t="n"/>
      <c r="P54" s="2" t="n"/>
    </row>
    <row r="55" ht="13.2" customHeight="1" s="49">
      <c r="A55" s="8" t="inlineStr">
        <is>
          <t>58</t>
        </is>
      </c>
      <c r="B55" s="2" t="inlineStr">
        <is>
          <t>Vincristine ได้มาจากสมุนไพรอะไร</t>
        </is>
      </c>
      <c r="C55" s="2" t="n"/>
      <c r="D55" s="2" t="inlineStr">
        <is>
          <t>ดองดึงหัวขวาน</t>
        </is>
      </c>
      <c r="E55" s="2" t="inlineStr">
        <is>
          <t>รำเพย</t>
        </is>
      </c>
      <c r="F55" s="2" t="inlineStr">
        <is>
          <t>ระย่อมน้อย</t>
        </is>
      </c>
      <c r="G55" s="2" t="inlineStr">
        <is>
          <t>หญ้าปักกิ่ง</t>
        </is>
      </c>
      <c r="H55" s="2" t="inlineStr">
        <is>
          <t>แพงพวยฝรั่ง</t>
        </is>
      </c>
      <c r="I55" s="8" t="n">
        <v>5</v>
      </c>
      <c r="J55" s="2"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2" t="n"/>
      <c r="L55" s="2" t="inlineStr">
        <is>
          <t>CINV &amp; Supportive Care</t>
        </is>
      </c>
      <c r="M55" s="2" t="inlineStr">
        <is>
          <t>Clinic</t>
        </is>
      </c>
      <c r="N55" s="2" t="inlineStr">
        <is>
          <t>ข้อ 58 Pharma Plus เล่มม่วง (เฉลยข้อ จ)</t>
        </is>
      </c>
      <c r="O55" s="2" t="n"/>
      <c r="P55" s="2" t="n"/>
    </row>
    <row r="56" ht="13.2" customHeight="1" s="49">
      <c r="A56" s="8" t="inlineStr">
        <is>
          <t>59</t>
        </is>
      </c>
      <c r="B56" s="2" t="inlineStr">
        <is>
          <t>ข้อใดถูกต้องเกี่ยวกับการเกิด extravasation ในยาสูตร cisplatin + paclitaxel</t>
        </is>
      </c>
      <c r="C56" s="2" t="n"/>
      <c r="D56" s="2" t="inlineStr">
        <is>
          <t>ประคบร้อนอย่างเดียว สี่ครั้งต่อวัน เป็นเวลาสามวัน</t>
        </is>
      </c>
      <c r="E56" s="2" t="inlineStr">
        <is>
          <t>รัดแขนเหนือบริเวณที่ฉีดยา</t>
        </is>
      </c>
      <c r="F56" s="2" t="inlineStr">
        <is>
          <t>ให้สารละลาย 0.9% NSS เข้าไปในหลอดเลือด</t>
        </is>
      </c>
      <c r="G56" s="2" t="inlineStr">
        <is>
          <t>ถ้าปวดมากให้ใช้ DMSO นาน 7 วัน</t>
        </is>
      </c>
      <c r="H56" s="2" t="inlineStr">
        <is>
          <t>ให้ antidote ที่จำเพาะคือ Hyaluronidase</t>
        </is>
      </c>
      <c r="I56" s="8" t="n">
        <v>5</v>
      </c>
      <c r="J56" s="2"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2" t="n"/>
      <c r="L56" s="2" t="inlineStr">
        <is>
          <t>CINV &amp; Supportive Care</t>
        </is>
      </c>
      <c r="M56" s="2" t="inlineStr">
        <is>
          <t>Clinic</t>
        </is>
      </c>
      <c r="N56" s="2" t="inlineStr">
        <is>
          <t>ข้อ 59 Pharma Plus เล่มม่วง (เฉลยข้อ จ)</t>
        </is>
      </c>
      <c r="O56" s="2" t="n"/>
      <c r="P56" s="2" t="n"/>
    </row>
    <row r="57" ht="13.2" customHeight="1" s="49">
      <c r="A57" s="8" t="inlineStr">
        <is>
          <t>60</t>
        </is>
      </c>
      <c r="B57" s="2" t="inlineStr">
        <is>
          <t>ผลข้างเคียงที่พบน้อยของยา paclitaxel คือข้อใด</t>
        </is>
      </c>
      <c r="C57" s="2" t="n"/>
      <c r="D57" s="2" t="inlineStr">
        <is>
          <t>Diarrhea</t>
        </is>
      </c>
      <c r="E57" s="2" t="inlineStr">
        <is>
          <t>Alopecia</t>
        </is>
      </c>
      <c r="F57" s="2" t="inlineStr">
        <is>
          <t>Ototoxicity</t>
        </is>
      </c>
      <c r="G57" s="2" t="inlineStr">
        <is>
          <t>Hypersensitivity</t>
        </is>
      </c>
      <c r="H57" s="2" t="inlineStr">
        <is>
          <t>Bone marrow suppression</t>
        </is>
      </c>
      <c r="I57" s="8" t="n">
        <v>3</v>
      </c>
      <c r="J57" s="2"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2" t="n"/>
      <c r="L57" s="2" t="inlineStr">
        <is>
          <t>CINV &amp; Supportive Care</t>
        </is>
      </c>
      <c r="M57" s="2" t="inlineStr">
        <is>
          <t>Clinic</t>
        </is>
      </c>
      <c r="N57" s="2" t="inlineStr">
        <is>
          <t>ข้อ 60 Pharma Plus เล่มม่วง (เฉลยข้อ ค)</t>
        </is>
      </c>
      <c r="O57" s="2" t="n"/>
      <c r="P57" s="2" t="n"/>
    </row>
    <row r="58" ht="13.2" customHeight="1" s="49">
      <c r="A58" s="8" t="inlineStr">
        <is>
          <t>62</t>
        </is>
      </c>
      <c r="B58" s="2"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2" t="n"/>
      <c r="D58" s="2" t="inlineStr">
        <is>
          <t>0.67</t>
        </is>
      </c>
      <c r="E58" s="2" t="inlineStr">
        <is>
          <t>1.3</t>
        </is>
      </c>
      <c r="F58" s="2" t="inlineStr">
        <is>
          <t>1.5</t>
        </is>
      </c>
      <c r="G58" s="2" t="inlineStr">
        <is>
          <t>Dexamethasone 12 mg IV stat</t>
        </is>
      </c>
      <c r="H58" s="2" t="inlineStr">
        <is>
          <t>2.4</t>
        </is>
      </c>
      <c r="I58" s="8" t="n">
        <v>3</v>
      </c>
      <c r="J58" s="2"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2" t="n"/>
      <c r="L58" s="2" t="inlineStr">
        <is>
          <t>CINV &amp; Supportive Care</t>
        </is>
      </c>
      <c r="M58" s="2" t="inlineStr">
        <is>
          <t>Clinic</t>
        </is>
      </c>
      <c r="N58" s="2" t="inlineStr">
        <is>
          <t>ข้อ 62 Pharma Plus เล่มม่วง (เฉลยข้อ ค)</t>
        </is>
      </c>
      <c r="O58" s="2" t="n"/>
      <c r="P58" s="2" t="n"/>
    </row>
    <row r="59" ht="13.2" customHeight="1" s="49">
      <c r="A59" s="8" t="inlineStr">
        <is>
          <t>63</t>
        </is>
      </c>
      <c r="B59" s="2" t="inlineStr">
        <is>
          <t>ข้อใดคือขนาดยาของ cyclophosphamide ที่ถูกต้องในผู้ป่วยรายนี้</t>
        </is>
      </c>
      <c r="C59" s="2" t="n"/>
      <c r="D59" s="2" t="inlineStr">
        <is>
          <t>130 mg</t>
        </is>
      </c>
      <c r="E59" s="2" t="inlineStr">
        <is>
          <t>150 mg</t>
        </is>
      </c>
      <c r="F59" s="2" t="inlineStr">
        <is>
          <t>200 mg</t>
        </is>
      </c>
      <c r="G59" s="2" t="inlineStr">
        <is>
          <t>225 mg</t>
        </is>
      </c>
      <c r="H59" s="2" t="inlineStr">
        <is>
          <t>450 mg</t>
        </is>
      </c>
      <c r="I59" s="8" t="n">
        <v>2</v>
      </c>
      <c r="J59" s="2"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2" t="n"/>
      <c r="L59" s="2" t="inlineStr">
        <is>
          <t>CINV &amp; Supportive Care</t>
        </is>
      </c>
      <c r="M59" s="2" t="inlineStr">
        <is>
          <t>Clinic</t>
        </is>
      </c>
      <c r="N59" s="2" t="inlineStr">
        <is>
          <t>ข้อ 63 Pharma Plus เล่มม่วง (เฉลยข้อ ข)</t>
        </is>
      </c>
      <c r="O59" s="2" t="n"/>
      <c r="P59" s="2" t="n"/>
    </row>
    <row r="60" ht="13.2" customHeight="1" s="49">
      <c r="A60" s="8" t="inlineStr">
        <is>
          <t>64</t>
        </is>
      </c>
      <c r="B60" s="2" t="inlineStr">
        <is>
          <t>ข้อใดคือผลข้างเคียงของยา cyclophosphamide ที่สำคัญ</t>
        </is>
      </c>
      <c r="C60" s="2" t="n"/>
      <c r="D60" s="2" t="inlineStr">
        <is>
          <t>Hemorrhagic cystitis</t>
        </is>
      </c>
      <c r="E60" s="2" t="inlineStr">
        <is>
          <t>Hepatotoxic</t>
        </is>
      </c>
      <c r="F60" s="2" t="inlineStr">
        <is>
          <t>Thrombocytopenia</t>
        </is>
      </c>
      <c r="G60" s="2" t="inlineStr">
        <is>
          <t>Cardiac conduction ผิดปกติ</t>
        </is>
      </c>
      <c r="H60" s="2" t="inlineStr">
        <is>
          <t>Alopecia</t>
        </is>
      </c>
      <c r="I60" s="8" t="n">
        <v>1</v>
      </c>
      <c r="J60" s="2"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2" t="n"/>
      <c r="L60" s="2" t="inlineStr">
        <is>
          <t>CINV &amp; Supportive Care</t>
        </is>
      </c>
      <c r="M60" s="2" t="inlineStr">
        <is>
          <t>Clinic</t>
        </is>
      </c>
      <c r="N60" s="2" t="inlineStr">
        <is>
          <t>ข้อ 64 Pharma Plus เล่มม่วง (เฉลยข้อ ก)</t>
        </is>
      </c>
      <c r="O60" s="2" t="n"/>
      <c r="P60" s="2" t="n"/>
    </row>
    <row r="61" ht="13.2" customHeight="1" s="49">
      <c r="A61" s="8" t="inlineStr">
        <is>
          <t>65</t>
        </is>
      </c>
      <c r="B61" s="2" t="inlineStr">
        <is>
          <t>ยาในข้อใด มีกลไกการออกฤทธิ์เหมือนยา cyclophosphamide</t>
        </is>
      </c>
      <c r="C61" s="2" t="n"/>
      <c r="D61" s="2" t="inlineStr">
        <is>
          <t>Doxorubicin</t>
        </is>
      </c>
      <c r="E61" s="2" t="inlineStr">
        <is>
          <t>5-FU</t>
        </is>
      </c>
      <c r="F61" s="2" t="inlineStr">
        <is>
          <t>Cisplatin</t>
        </is>
      </c>
      <c r="G61" s="2" t="inlineStr">
        <is>
          <t>Etoposide</t>
        </is>
      </c>
      <c r="H61" s="2" t="inlineStr">
        <is>
          <t>Vincristine</t>
        </is>
      </c>
      <c r="I61" s="8" t="n">
        <v>3</v>
      </c>
      <c r="J61" s="2"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2" t="n"/>
      <c r="L61" s="2" t="inlineStr">
        <is>
          <t>CINV &amp; Supportive Care</t>
        </is>
      </c>
      <c r="M61" s="2" t="inlineStr">
        <is>
          <t>Clinic</t>
        </is>
      </c>
      <c r="N61" s="2" t="inlineStr">
        <is>
          <t>ข้อ 65 Pharma Plus เล่มม่วง (เฉลยข้อ ค)</t>
        </is>
      </c>
      <c r="O61" s="2" t="n"/>
      <c r="P61" s="2" t="n"/>
    </row>
    <row r="62" ht="13.2" customHeight="1" s="49">
      <c r="A62" s="8" t="inlineStr">
        <is>
          <t>66</t>
        </is>
      </c>
      <c r="B62" s="2" t="inlineStr">
        <is>
          <t>ข้อใดคือผลข้างเคียงของยา methotrexate</t>
        </is>
      </c>
      <c r="C62" s="2" t="n"/>
      <c r="D62" s="2" t="inlineStr">
        <is>
          <t>Hemorrhagic cystitis</t>
        </is>
      </c>
      <c r="E62" s="2" t="inlineStr">
        <is>
          <t>Stomatitis</t>
        </is>
      </c>
      <c r="F62" s="2" t="inlineStr">
        <is>
          <t>Thrombocytopenia</t>
        </is>
      </c>
      <c r="G62" s="2" t="inlineStr">
        <is>
          <t>Cardiac conduction ผิดปกติ</t>
        </is>
      </c>
      <c r="H62" s="2" t="inlineStr">
        <is>
          <t>Alopecia</t>
        </is>
      </c>
      <c r="I62" s="8" t="n">
        <v>2</v>
      </c>
      <c r="J62" s="2"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2" t="n"/>
      <c r="L62" s="2" t="inlineStr">
        <is>
          <t>CINV &amp; Supportive Care</t>
        </is>
      </c>
      <c r="M62" s="2" t="inlineStr">
        <is>
          <t>Clinic</t>
        </is>
      </c>
      <c r="N62" s="2" t="inlineStr">
        <is>
          <t>ข้อ 66 Pharma Plus เล่มม่วง (เฉลยข้อ ข ค จ)</t>
        </is>
      </c>
      <c r="O62" s="2" t="n"/>
      <c r="P62" s="2" t="n"/>
    </row>
    <row r="63" ht="13.2" customHeight="1" s="49">
      <c r="A63" s="8" t="inlineStr">
        <is>
          <t>67</t>
        </is>
      </c>
      <c r="B63" s="2" t="inlineStr">
        <is>
          <t>ยาในข้อใดเสริมการออกฤทธิ์ cytotoxic ของยา 5-FU</t>
        </is>
      </c>
      <c r="C63" s="2" t="n"/>
      <c r="D63" s="2" t="inlineStr">
        <is>
          <t>Dexamethasone</t>
        </is>
      </c>
      <c r="E63" s="2" t="inlineStr">
        <is>
          <t>Ondansetron</t>
        </is>
      </c>
      <c r="F63" s="2" t="inlineStr">
        <is>
          <t>Folic acid</t>
        </is>
      </c>
      <c r="G63" s="2" t="inlineStr">
        <is>
          <t>Allopurinol</t>
        </is>
      </c>
      <c r="H63" s="2" t="inlineStr">
        <is>
          <t>Leucovorin</t>
        </is>
      </c>
      <c r="I63" s="8" t="n">
        <v>5</v>
      </c>
      <c r="J63" s="2"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2" t="n"/>
      <c r="L63" s="2" t="inlineStr">
        <is>
          <t>CINV &amp; Supportive Care</t>
        </is>
      </c>
      <c r="M63" s="2" t="inlineStr">
        <is>
          <t>Clinic</t>
        </is>
      </c>
      <c r="N63" s="2" t="inlineStr">
        <is>
          <t>ข้อ 67 Pharma Plus เล่มม่วง (เฉลยข้อ จ)</t>
        </is>
      </c>
      <c r="O63" s="2" t="n"/>
      <c r="P63" s="2" t="n"/>
    </row>
    <row r="64" ht="13.2" customHeight="1" s="49">
      <c r="A64" s="8" t="inlineStr">
        <is>
          <t>69</t>
        </is>
      </c>
      <c r="B64" s="2" t="inlineStr">
        <is>
          <t>ข้อใดเป็นกลไกของ Anti-PD1 สำหรับรักษา NSCLC</t>
        </is>
      </c>
      <c r="C64" s="2" t="n"/>
      <c r="D64" s="8" t="inlineStr">
        <is>
          <t>จับกับ PD-L1 บน cell มะเร็ง</t>
        </is>
      </c>
      <c r="E64" s="8" t="inlineStr">
        <is>
          <t>จับกับ PD-1 บน T cell</t>
        </is>
      </c>
      <c r="F64" s="8" t="inlineStr">
        <is>
          <t>กระตุ้นให้เกิดการสร้าง antigen</t>
        </is>
      </c>
      <c r="G64" s="2" t="inlineStr">
        <is>
          <t>จับกับ CTLA-4</t>
        </is>
      </c>
      <c r="H64" s="8" t="inlineStr">
        <is>
          <t>จับกับ tyrosine kinase</t>
        </is>
      </c>
      <c r="I64" s="8" t="n">
        <v>1</v>
      </c>
      <c r="J64" s="2"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CINV &amp; Supportive Care</t>
        </is>
      </c>
      <c r="M64" s="2" t="inlineStr">
        <is>
          <t>Oncologic</t>
        </is>
      </c>
      <c r="N64" s="2" t="inlineStr">
        <is>
          <t>Mock PLE-CC 1 ข้อ 76</t>
        </is>
      </c>
      <c r="O64" s="2" t="n"/>
      <c r="P64" s="2" t="n"/>
    </row>
    <row r="65" ht="13.2" customHeight="1" s="49">
      <c r="A65" s="8" t="inlineStr">
        <is>
          <t>70</t>
        </is>
      </c>
      <c r="B65" s="2" t="inlineStr">
        <is>
          <t>ลดความเสี่ยงมะเร็งเต้านม</t>
        </is>
      </c>
      <c r="C65" s="2" t="n"/>
      <c r="D65" s="2" t="inlineStr">
        <is>
          <t>Oncologic</t>
        </is>
      </c>
      <c r="E65" s="2" t="inlineStr">
        <is>
          <t>Palonosetron 0.25 mg IV stat</t>
        </is>
      </c>
      <c r="F65" s="2" t="inlineStr">
        <is>
          <t>Ondansetron 8 mg IV stat</t>
        </is>
      </c>
      <c r="G65" s="2" t="inlineStr">
        <is>
          <t>Aprepitant 125 mg PO stat</t>
        </is>
      </c>
      <c r="H65" s="2" t="inlineStr">
        <is>
          <t>Dexamethasone 12 mg IV stat</t>
        </is>
      </c>
      <c r="I65" s="8" t="n">
        <v>1</v>
      </c>
      <c r="J65"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5" s="2" t="n"/>
      <c r="L65" s="2" t="inlineStr">
        <is>
          <t>CINV &amp; Supportive Care</t>
        </is>
      </c>
      <c r="M65" s="2" t="inlineStr">
        <is>
          <t>Oncologic</t>
        </is>
      </c>
      <c r="N65" s="2" t="inlineStr">
        <is>
          <t>PLE-CC1 ปี 2566 Day 1 ข้อ 2</t>
        </is>
      </c>
      <c r="O65" s="2" t="n"/>
      <c r="P65" s="2" t="n"/>
    </row>
    <row r="66" ht="13.2" customHeight="1" s="49">
      <c r="A66" s="8" t="inlineStr">
        <is>
          <t>71</t>
        </is>
      </c>
      <c r="B66" s="2" t="inlineStr">
        <is>
          <t>Epinehrine ผู้ป่วยได้รับยาchemotherapy สูตรac ควรได้รับยาต้านอาเจียนอะไรบ้าง ตัวเลือก</t>
        </is>
      </c>
      <c r="C66" s="2" t="n"/>
      <c r="D66" s="2" t="inlineStr">
        <is>
          <t>Oncologic</t>
        </is>
      </c>
      <c r="E66" s="2" t="inlineStr">
        <is>
          <t>Dexamethasone 12 mg IV stat</t>
        </is>
      </c>
      <c r="F66" s="2" t="inlineStr">
        <is>
          <t>Filgrastim (G-CSF) 300 mcg SC OD</t>
        </is>
      </c>
      <c r="G66" s="2" t="inlineStr">
        <is>
          <t>Metoclopramide 10 mg TID</t>
        </is>
      </c>
      <c r="H66" s="2" t="inlineStr">
        <is>
          <t>Lorazepam 1 mg PO PRN</t>
        </is>
      </c>
      <c r="I66" s="8" t="n">
        <v>1</v>
      </c>
      <c r="J66"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6" s="2" t="n"/>
      <c r="L66" s="2" t="inlineStr">
        <is>
          <t>CINV &amp; Supportive Care</t>
        </is>
      </c>
      <c r="M66" s="2" t="inlineStr">
        <is>
          <t>Oncologic</t>
        </is>
      </c>
      <c r="N66" s="2" t="inlineStr">
        <is>
          <t>PLE-CC1 ปี 2566 Day 2 ข้อ 3</t>
        </is>
      </c>
      <c r="O66" s="2" t="n"/>
      <c r="P66" s="2" t="n"/>
    </row>
    <row r="67" ht="13.2" customHeight="1" s="49">
      <c r="A67" s="8" t="inlineStr">
        <is>
          <t>72</t>
        </is>
      </c>
      <c r="B67" s="2" t="inlineStr">
        <is>
          <t>Cancer…ได้รับสูตรยาที่มีDoxorubicin ประเมินอะไรก่อนให้ยา… ตัวเลือก</t>
        </is>
      </c>
      <c r="C67" s="2" t="n"/>
      <c r="D67" s="2" t="inlineStr">
        <is>
          <t>Oncologic</t>
        </is>
      </c>
      <c r="E67" s="2" t="inlineStr">
        <is>
          <t>LVEF</t>
        </is>
      </c>
      <c r="F67" s="2" t="inlineStr">
        <is>
          <t>Morphine 10 mg PO Q4H PRN</t>
        </is>
      </c>
      <c r="G67" s="2" t="inlineStr">
        <is>
          <t>Calcium folinate (Leucovorin) 50 mg IV</t>
        </is>
      </c>
      <c r="H67" s="2" t="inlineStr">
        <is>
          <t>Mesna 400 mg IV stat</t>
        </is>
      </c>
      <c r="I67" s="8" t="n">
        <v>1</v>
      </c>
      <c r="J67" s="2" t="inlineStr">
        <is>
          <t>✅ คำตอบที่ถูกต้อง: ข้อ ก. Oncologic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(LVEF): LVEF ไม่ตรงกับข้อบ่งใช้หรือกลไกการออกฤทธิ์ที่ถูกต้องตาม NCCN Clinical Practice Guidelines in Oncology / ASCO Guidelines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7" s="2" t="n"/>
      <c r="L67" s="2" t="inlineStr">
        <is>
          <t>CINV &amp; Supportive Care</t>
        </is>
      </c>
      <c r="M67" s="2" t="inlineStr">
        <is>
          <t>Oncologic</t>
        </is>
      </c>
      <c r="N67" s="2" t="inlineStr">
        <is>
          <t>PLE-CC1 ปี 2566 Day 2 ข้อ 12</t>
        </is>
      </c>
      <c r="O67" s="2" t="n"/>
      <c r="P67" s="2" t="n"/>
    </row>
    <row r="68" ht="13.2" customHeight="1" s="49">
      <c r="A68" s="8" t="inlineStr">
        <is>
          <t>72</t>
        </is>
      </c>
      <c r="B68" s="2" t="inlineStr">
        <is>
          <t>ผู้ป่วยมะเร็งเต้านมต้องกิน tamoxifen นานเท่าใด</t>
        </is>
      </c>
      <c r="C68" s="2" t="n"/>
      <c r="D68" s="2" t="inlineStr">
        <is>
          <t>14 วัน</t>
        </is>
      </c>
      <c r="E68" s="2" t="inlineStr">
        <is>
          <t>30 วัน</t>
        </is>
      </c>
      <c r="F68" s="2" t="inlineStr">
        <is>
          <t>6 เดือน</t>
        </is>
      </c>
      <c r="G68" s="2" t="inlineStr">
        <is>
          <t>1 ปี</t>
        </is>
      </c>
      <c r="H68" s="2" t="inlineStr">
        <is>
          <t>5 ปี</t>
        </is>
      </c>
      <c r="I68" s="8" t="n">
        <v>1</v>
      </c>
      <c r="J68" s="2" t="inlineStr">
        <is>
          <t>✅ คำตอบที่ถูกต้อง: ข้อ ก. 14 วัน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2" t="n"/>
      <c r="L68" s="2" t="inlineStr">
        <is>
          <t>CINV &amp; Supportive Care</t>
        </is>
      </c>
      <c r="M68" s="2" t="inlineStr">
        <is>
          <t>Clinic</t>
        </is>
      </c>
      <c r="N68" s="2" t="inlineStr">
        <is>
          <t>ข้อ 66 (PLE_CC1_2558_Key.md)</t>
        </is>
      </c>
      <c r="O68" s="2" t="n"/>
      <c r="P68" s="2" t="n"/>
    </row>
    <row r="69" ht="13.2" customHeight="1" s="49">
      <c r="A69" s="8" t="inlineStr">
        <is>
          <t>73</t>
        </is>
      </c>
      <c r="B69" s="2" t="inlineStr">
        <is>
          <t>Gene ที่จำเพาะต่อมะเร็งเต้านม</t>
        </is>
      </c>
      <c r="C69" s="2" t="n"/>
      <c r="D69" s="2" t="inlineStr">
        <is>
          <t>KRAS</t>
        </is>
      </c>
      <c r="E69" s="2" t="inlineStr">
        <is>
          <t>BRCA-2</t>
        </is>
      </c>
      <c r="F69" s="2" t="inlineStr">
        <is>
          <t>P53</t>
        </is>
      </c>
      <c r="G69" s="2" t="inlineStr">
        <is>
          <t>EGFR</t>
        </is>
      </c>
      <c r="H69" s="2" t="inlineStr">
        <is>
          <t>HER-2</t>
        </is>
      </c>
      <c r="I69" s="8" t="n">
        <v>1</v>
      </c>
      <c r="J69" s="2" t="inlineStr">
        <is>
          <t>✅ คำตอบที่ถูกต้อง: ข้อ ก. KRAS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2" t="n"/>
      <c r="L69" s="2" t="inlineStr">
        <is>
          <t>CINV &amp; Supportive Care</t>
        </is>
      </c>
      <c r="M69" s="2" t="inlineStr">
        <is>
          <t>Clinic</t>
        </is>
      </c>
      <c r="N69" s="2" t="inlineStr">
        <is>
          <t>ข้อ 79 (Pharmtutor_2024_Set2.md)</t>
        </is>
      </c>
      <c r="O69" s="2" t="n"/>
      <c r="P69" s="2" t="n"/>
    </row>
    <row r="70" ht="13.2" customHeight="1" s="49">
      <c r="A70" s="8" t="inlineStr">
        <is>
          <t>74</t>
        </is>
      </c>
      <c r="B70" s="2" t="inlineStr">
        <is>
          <t>Cisplatin 50 mg และ Vinblastin 6 mg</t>
        </is>
      </c>
      <c r="C70" s="2" t="n"/>
      <c r="D70" s="2" t="inlineStr">
        <is>
          <t>Dexamethasone 12 mg IV stat</t>
        </is>
      </c>
      <c r="E70" s="2" t="inlineStr">
        <is>
          <t>Filgrastim (G-CSF) 300 mcg SC OD</t>
        </is>
      </c>
      <c r="F70" s="2" t="inlineStr">
        <is>
          <t>Metoclopramide 10 mg TID</t>
        </is>
      </c>
      <c r="G70" s="2" t="inlineStr">
        <is>
          <t>Lorazepam 1 mg PO PRN</t>
        </is>
      </c>
      <c r="H70" s="2" t="inlineStr">
        <is>
          <t>Morphine 10 mg PO Q4H PRN</t>
        </is>
      </c>
      <c r="I70" s="8" t="n">
        <v>1</v>
      </c>
      <c r="J70"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2" t="n"/>
      <c r="L70" s="2" t="inlineStr">
        <is>
          <t>CINV &amp; Supportive Care</t>
        </is>
      </c>
      <c r="M70" s="2" t="inlineStr">
        <is>
          <t>Clinic</t>
        </is>
      </c>
      <c r="N70" s="2" t="inlineStr">
        <is>
          <t>ข้อ 1 (PLE_CC1_2533.md)</t>
        </is>
      </c>
      <c r="O70" s="2" t="n"/>
      <c r="P70" s="2" t="n"/>
      <c r="Q70" s="2" t="n"/>
    </row>
    <row r="71" ht="13.2" customHeight="1" s="49">
      <c r="A71" s="8" t="inlineStr">
        <is>
          <t>75</t>
        </is>
      </c>
      <c r="B71" s="2" t="inlineStr">
        <is>
          <t>Cisplatin 100 mg และ Vinblastin 12 mg</t>
        </is>
      </c>
      <c r="C71" s="2" t="n"/>
      <c r="D71" s="2" t="inlineStr">
        <is>
          <t>Lorazepam 1 mg PO PRN</t>
        </is>
      </c>
      <c r="E71" s="2" t="inlineStr">
        <is>
          <t>Morphine 10 mg PO Q4H PRN</t>
        </is>
      </c>
      <c r="F71" s="2" t="inlineStr">
        <is>
          <t>Calcium folinate (Leucovorin) 50 mg IV</t>
        </is>
      </c>
      <c r="G71" s="2" t="inlineStr">
        <is>
          <t>Mesna 400 mg IV stat</t>
        </is>
      </c>
      <c r="H71" s="2" t="inlineStr">
        <is>
          <t>Rasburicase 0.2 mg/kg IV</t>
        </is>
      </c>
      <c r="I71" s="8" t="n">
        <v>1</v>
      </c>
      <c r="J71"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2" t="n"/>
      <c r="L71" s="2" t="inlineStr">
        <is>
          <t>CINV &amp; Supportive Care</t>
        </is>
      </c>
      <c r="M71" s="2" t="inlineStr">
        <is>
          <t>Clinic</t>
        </is>
      </c>
      <c r="N71" s="2" t="inlineStr">
        <is>
          <t>ข้อ 2 (PLE_CC1_2533.md)</t>
        </is>
      </c>
      <c r="O71" s="2" t="n"/>
      <c r="P71" s="2" t="n"/>
    </row>
    <row r="72" ht="13.2" customHeight="1" s="49">
      <c r="A72" s="8" t="inlineStr">
        <is>
          <t>76</t>
        </is>
      </c>
      <c r="B72" s="2" t="inlineStr">
        <is>
          <t>Cisplatin 125 mg และ Vinblastin 18 mg</t>
        </is>
      </c>
      <c r="C72" s="2" t="n"/>
      <c r="D72" s="2" t="inlineStr">
        <is>
          <t>Mesna 400 mg IV stat</t>
        </is>
      </c>
      <c r="E72" s="2" t="inlineStr">
        <is>
          <t>Rasburicase 0.2 mg/kg IV</t>
        </is>
      </c>
      <c r="F72" s="2" t="inlineStr">
        <is>
          <t>Palonosetron 0.25 mg IV stat</t>
        </is>
      </c>
      <c r="G72" s="2" t="inlineStr">
        <is>
          <t>Ondansetron 8 mg IV stat</t>
        </is>
      </c>
      <c r="H72" s="2" t="inlineStr">
        <is>
          <t>Aprepitant 125 mg PO stat</t>
        </is>
      </c>
      <c r="I72" s="8" t="n">
        <v>1</v>
      </c>
      <c r="J72"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2" t="n"/>
      <c r="L72" s="2" t="inlineStr">
        <is>
          <t>CINV &amp; Supportive Care</t>
        </is>
      </c>
      <c r="M72" s="2" t="inlineStr">
        <is>
          <t>Clinic</t>
        </is>
      </c>
      <c r="N72" s="2" t="inlineStr">
        <is>
          <t>ข้อ 3 (PLE_CC1_2533.md)</t>
        </is>
      </c>
      <c r="O72" s="2" t="n"/>
      <c r="P72" s="2" t="n"/>
    </row>
    <row r="73" ht="13.2" customHeight="1" s="49">
      <c r="A73" s="8" t="inlineStr">
        <is>
          <t>77</t>
        </is>
      </c>
      <c r="B73" s="2" t="inlineStr">
        <is>
          <t>Cisplatin 150 mg และ Vinblastin 24 mg</t>
        </is>
      </c>
      <c r="C73" s="2" t="n"/>
      <c r="D73" s="2" t="inlineStr">
        <is>
          <t>Ondansetron 8 mg IV stat</t>
        </is>
      </c>
      <c r="E73" s="2" t="inlineStr">
        <is>
          <t>Aprepitant 125 mg PO stat</t>
        </is>
      </c>
      <c r="F73" s="2" t="inlineStr">
        <is>
          <t>Dexamethasone 12 mg IV stat</t>
        </is>
      </c>
      <c r="G73" s="2" t="inlineStr">
        <is>
          <t>Filgrastim (G-CSF) 300 mcg SC OD</t>
        </is>
      </c>
      <c r="H73" s="2" t="inlineStr">
        <is>
          <t>Metoclopramide 10 mg TID</t>
        </is>
      </c>
      <c r="I73" s="8" t="n">
        <v>1</v>
      </c>
      <c r="J73"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2" t="n"/>
      <c r="L73" s="2" t="inlineStr">
        <is>
          <t>CINV &amp; Supportive Care</t>
        </is>
      </c>
      <c r="M73" s="2" t="inlineStr">
        <is>
          <t>Clinic</t>
        </is>
      </c>
      <c r="N73" s="2" t="inlineStr">
        <is>
          <t>ข้อ 4 (PLE_CC1_2533.md)</t>
        </is>
      </c>
      <c r="O73" s="2" t="n"/>
      <c r="P73" s="2" t="n"/>
    </row>
    <row r="74" ht="13.2" customHeight="1" s="49">
      <c r="A74" s="8" t="inlineStr">
        <is>
          <t>78</t>
        </is>
      </c>
      <c r="B74" s="2" t="inlineStr">
        <is>
          <t>Cisplatin 175 mg และ Vinblastin 48 mg</t>
        </is>
      </c>
      <c r="C74" s="2" t="n"/>
      <c r="D74" s="2" t="inlineStr">
        <is>
          <t>Filgrastim (G-CSF) 300 mcg SC OD</t>
        </is>
      </c>
      <c r="E74" s="2" t="inlineStr">
        <is>
          <t>Metoclopramide 10 mg TID</t>
        </is>
      </c>
      <c r="F74" s="2" t="inlineStr">
        <is>
          <t>Lorazepam 1 mg PO PRN</t>
        </is>
      </c>
      <c r="G74" s="2" t="inlineStr">
        <is>
          <t>Morphine 10 mg PO Q4H PRN</t>
        </is>
      </c>
      <c r="H74" s="2" t="inlineStr">
        <is>
          <t>Calcium folinate (Leucovorin) 50 mg IV</t>
        </is>
      </c>
      <c r="I74" s="8" t="n">
        <v>1</v>
      </c>
      <c r="J74"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2" t="n"/>
      <c r="L74" s="2" t="inlineStr">
        <is>
          <t>CINV &amp; Supportive Care</t>
        </is>
      </c>
      <c r="M74" s="2" t="inlineStr">
        <is>
          <t>Clinic</t>
        </is>
      </c>
      <c r="N74" s="2" t="inlineStr">
        <is>
          <t>ข้อ 5 (PLE_CC1_2533.md)</t>
        </is>
      </c>
      <c r="O74" s="2" t="n"/>
      <c r="P74" s="2" t="n"/>
    </row>
    <row r="75" ht="13.2" customHeight="1" s="49">
      <c r="A75" s="8" t="inlineStr">
        <is>
          <t>79</t>
        </is>
      </c>
      <c r="B75" s="2" t="inlineStr">
        <is>
          <t>อาการอาเจียนที่เกิดขึ้นจาก Cisplatin ป้องกันได้ด้วยวิธีใด</t>
        </is>
      </c>
      <c r="C75" s="2" t="n"/>
      <c r="D75" s="2" t="inlineStr">
        <is>
          <t>Morphine 10 mg PO Q4H PRN</t>
        </is>
      </c>
      <c r="E75" s="2" t="inlineStr">
        <is>
          <t>Calcium folinate (Leucovorin) 50 mg IV</t>
        </is>
      </c>
      <c r="F75" s="2" t="inlineStr">
        <is>
          <t>Mesna 400 mg IV stat</t>
        </is>
      </c>
      <c r="G75" s="2" t="inlineStr">
        <is>
          <t>Rasburicase 0.2 mg/kg IV</t>
        </is>
      </c>
      <c r="H75" s="2" t="inlineStr">
        <is>
          <t>Palonosetron 0.25 mg IV stat</t>
        </is>
      </c>
      <c r="I75" s="8" t="n">
        <v>1</v>
      </c>
      <c r="J75" s="2"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2" t="n"/>
      <c r="L75" s="2" t="inlineStr">
        <is>
          <t>CINV &amp; Supportive Care</t>
        </is>
      </c>
      <c r="M75" s="2" t="inlineStr">
        <is>
          <t>Clinic</t>
        </is>
      </c>
      <c r="N75" s="2" t="inlineStr">
        <is>
          <t>ข้อ 4 (PLE_CC1_2533.md)</t>
        </is>
      </c>
      <c r="O75" s="2" t="n"/>
      <c r="P75" s="2" t="n"/>
    </row>
    <row r="76" ht="13.2" customHeight="1" s="49">
      <c r="A76" s="8" t="inlineStr">
        <is>
          <t>80</t>
        </is>
      </c>
      <c r="B76" s="2" t="inlineStr">
        <is>
          <t>ควรฉีด Cisplatin แบบ IV push</t>
        </is>
      </c>
      <c r="C76" s="2" t="n"/>
      <c r="D76" s="2" t="inlineStr">
        <is>
          <t>Rasburicase 0.2 mg/kg IV</t>
        </is>
      </c>
      <c r="E76" s="2" t="inlineStr">
        <is>
          <t>Palonosetron 0.25 mg IV stat</t>
        </is>
      </c>
      <c r="F76" s="2" t="inlineStr">
        <is>
          <t>Ondansetron 8 mg IV stat</t>
        </is>
      </c>
      <c r="G76" s="2" t="inlineStr">
        <is>
          <t>Aprepitant 125 mg PO stat</t>
        </is>
      </c>
      <c r="H76" s="2" t="inlineStr">
        <is>
          <t>Dexamethasone 12 mg IV stat</t>
        </is>
      </c>
      <c r="I76" s="8" t="n">
        <v>1</v>
      </c>
      <c r="J76" s="2"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2" t="n"/>
      <c r="L76" s="2" t="inlineStr">
        <is>
          <t>CINV &amp; Supportive Care</t>
        </is>
      </c>
      <c r="M76" s="2" t="inlineStr">
        <is>
          <t>Clinic</t>
        </is>
      </c>
      <c r="N76" s="2" t="inlineStr">
        <is>
          <t>ข้อ 2 (PLE_CC1_2533.md)</t>
        </is>
      </c>
      <c r="O76" s="2" t="n"/>
      <c r="P76" s="2" t="n"/>
    </row>
    <row r="77" ht="13.2" customHeight="1" s="49">
      <c r="A77" s="8" t="inlineStr">
        <is>
          <t>81</t>
        </is>
      </c>
      <c r="B77" s="2" t="inlineStr">
        <is>
          <t>ให้ NSS ก่อนให้ Cisplatin</t>
        </is>
      </c>
      <c r="C77" s="2" t="n"/>
      <c r="D77" s="2" t="inlineStr">
        <is>
          <t>Aprepitant 125 mg PO stat</t>
        </is>
      </c>
      <c r="E77" s="2" t="inlineStr">
        <is>
          <t>Dexamethasone 12 mg IV stat</t>
        </is>
      </c>
      <c r="F77" s="2" t="inlineStr">
        <is>
          <t>Filgrastim (G-CSF) 300 mcg SC OD</t>
        </is>
      </c>
      <c r="G77" s="2" t="inlineStr">
        <is>
          <t>Metoclopramide 10 mg TID</t>
        </is>
      </c>
      <c r="H77" s="2" t="inlineStr">
        <is>
          <t>Lorazepam 1 mg PO PRN</t>
        </is>
      </c>
      <c r="I77" s="8" t="n">
        <v>1</v>
      </c>
      <c r="J77" s="2"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2" t="n"/>
      <c r="L77" s="2" t="inlineStr">
        <is>
          <t>CINV &amp; Supportive Care</t>
        </is>
      </c>
      <c r="M77" s="2" t="inlineStr">
        <is>
          <t>Clinic</t>
        </is>
      </c>
      <c r="N77" s="2" t="inlineStr">
        <is>
          <t>ข้อ 4 (PLE_CC1_2533.md)</t>
        </is>
      </c>
      <c r="O77" s="2" t="n"/>
      <c r="P77" s="2" t="n"/>
    </row>
    <row r="78" ht="13.2" customHeight="1" s="49">
      <c r="A78" s="8" t="inlineStr">
        <is>
          <t>82</t>
        </is>
      </c>
      <c r="B78" s="2" t="inlineStr">
        <is>
          <t>ให้ D5W ก่อนให้ Cisplatin หลังจากนั้นแพทย์ได้ทำการเปลี่ยนยา Vinblastine เป็น Gemcitabine</t>
        </is>
      </c>
      <c r="C78" s="2" t="n"/>
      <c r="D78" s="2" t="inlineStr">
        <is>
          <t>Metoclopramide 10 mg TID</t>
        </is>
      </c>
      <c r="E78" s="2" t="inlineStr">
        <is>
          <t>Lorazepam 1 mg PO PRN</t>
        </is>
      </c>
      <c r="F78" s="2" t="inlineStr">
        <is>
          <t>Morphine 10 mg PO Q4H PRN</t>
        </is>
      </c>
      <c r="G78" s="2" t="inlineStr">
        <is>
          <t>Calcium folinate (Leucovorin) 50 mg IV</t>
        </is>
      </c>
      <c r="H78" s="2" t="inlineStr">
        <is>
          <t>Mesna 400 mg IV stat</t>
        </is>
      </c>
      <c r="I78" s="8" t="n">
        <v>1</v>
      </c>
      <c r="J78" s="2"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2" t="n"/>
      <c r="L78" s="2" t="inlineStr">
        <is>
          <t>CINV &amp; Supportive Care</t>
        </is>
      </c>
      <c r="M78" s="2" t="inlineStr">
        <is>
          <t>Clinic</t>
        </is>
      </c>
      <c r="N78" s="2" t="inlineStr">
        <is>
          <t>ข้อ 5 (PLE_CC1_2533.md)</t>
        </is>
      </c>
      <c r="O78" s="2" t="n"/>
      <c r="P78" s="2" t="n"/>
    </row>
    <row r="79" ht="13.2" customHeight="1" s="49">
      <c r="A79" s="8" t="inlineStr">
        <is>
          <t>83</t>
        </is>
      </c>
      <c r="B79" s="2" t="inlineStr">
        <is>
          <t>ผู้ป่วยที่ได้รับยา Methotrexate ควรได้รับการติดตามค่าใดต่อไปนี้</t>
        </is>
      </c>
      <c r="C79" s="2" t="n"/>
      <c r="D79" s="2" t="inlineStr">
        <is>
          <t>complete blood count, AST, ALT, albumin</t>
        </is>
      </c>
      <c r="E79" s="2" t="inlineStr">
        <is>
          <t>complete blood count, creatinine, glucose</t>
        </is>
      </c>
      <c r="F79" s="2" t="inlineStr">
        <is>
          <t>complete blood count, urinalysis</t>
        </is>
      </c>
      <c r="G79" s="2" t="inlineStr">
        <is>
          <t>ตรวจความดันโลหิตทุก6เดือน</t>
        </is>
      </c>
      <c r="H79" s="2" t="inlineStr">
        <is>
          <t>ตรวจตาทุก 6 เดือน</t>
        </is>
      </c>
      <c r="I79" s="8" t="n">
        <v>1</v>
      </c>
      <c r="J79" s="2"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2" t="n"/>
      <c r="L79" s="2" t="inlineStr">
        <is>
          <t>CINV &amp; Supportive Care</t>
        </is>
      </c>
      <c r="M79" s="2" t="inlineStr">
        <is>
          <t>Clinic</t>
        </is>
      </c>
      <c r="N79" s="2" t="inlineStr">
        <is>
          <t>ข้อ 34 (PLE_CC1_Practice_Exam.md)</t>
        </is>
      </c>
      <c r="O79" s="2" t="n"/>
      <c r="P79" s="2" t="n"/>
    </row>
    <row r="80" ht="13.2" customHeight="1" s="49">
      <c r="A80" s="8" t="inlineStr">
        <is>
          <t>84</t>
        </is>
      </c>
      <c r="B80" s="2"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2" t="n"/>
      <c r="D80" s="2" t="inlineStr">
        <is>
          <t>Palonosetron 0.25 mg IV stat</t>
        </is>
      </c>
      <c r="E80" s="2" t="inlineStr">
        <is>
          <t>Ondansetron 8 mg IV stat</t>
        </is>
      </c>
      <c r="F80" s="2" t="inlineStr">
        <is>
          <t>Aprepitant 125 mg PO stat</t>
        </is>
      </c>
      <c r="G80" s="2" t="inlineStr">
        <is>
          <t>Dexamethasone 12 mg IV stat</t>
        </is>
      </c>
      <c r="H80" s="2" t="inlineStr">
        <is>
          <t>Filgrastim (G-CSF) 300 mcg SC OD</t>
        </is>
      </c>
      <c r="I80" s="8" t="n">
        <v>1</v>
      </c>
      <c r="J80" s="2"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2" t="n"/>
      <c r="L80" s="2" t="inlineStr">
        <is>
          <t>CINV &amp; Supportive Care</t>
        </is>
      </c>
      <c r="M80" s="2" t="inlineStr">
        <is>
          <t>Clinic</t>
        </is>
      </c>
      <c r="N80" s="2" t="inlineStr">
        <is>
          <t>ข้อ 5 (PLE_CC1_Key_Rx20_UBU.md)</t>
        </is>
      </c>
      <c r="O80" s="2" t="n"/>
      <c r="P80" s="2" t="n"/>
    </row>
    <row r="81" ht="13.2" customHeight="1" s="49">
      <c r="A81" s="8" t="inlineStr">
        <is>
          <t>85</t>
        </is>
      </c>
      <c r="B81" s="2" t="inlineStr">
        <is>
          <t>Cisplatin inhibits DNA synthesis by the formation of DNA cross-links; denatures the double helix; covalently binds to DNA bases and disrupts DNA function;</t>
        </is>
      </c>
      <c r="C81" s="2" t="n"/>
      <c r="D81" s="2" t="inlineStr">
        <is>
          <t>Dexamethasone 12 mg IV stat</t>
        </is>
      </c>
      <c r="E81" s="2" t="inlineStr">
        <is>
          <t>Filgrastim (G-CSF) 300 mcg SC OD</t>
        </is>
      </c>
      <c r="F81" s="2" t="inlineStr">
        <is>
          <t>Metoclopramide 10 mg TID</t>
        </is>
      </c>
      <c r="G81" s="2" t="inlineStr">
        <is>
          <t>Lorazepam 1 mg PO PRN</t>
        </is>
      </c>
      <c r="H81" s="2" t="inlineStr">
        <is>
          <t>Morphine 10 mg PO Q4H PRN</t>
        </is>
      </c>
      <c r="I81" s="8" t="n">
        <v>1</v>
      </c>
      <c r="J81" s="2"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2" t="n"/>
      <c r="L81" s="2" t="inlineStr">
        <is>
          <t>CINV &amp; Supportive Care</t>
        </is>
      </c>
      <c r="M81" s="2" t="inlineStr">
        <is>
          <t>Clinic</t>
        </is>
      </c>
      <c r="N81" s="2" t="inlineStr">
        <is>
          <t>ข้อ 5 (PLE_CC1_Key_Rx20_UBU.md)</t>
        </is>
      </c>
      <c r="O81" s="2" t="n"/>
      <c r="P81" s="2" t="n"/>
    </row>
    <row r="82" ht="13.2" customHeight="1" s="49">
      <c r="A82" s="8" t="inlineStr">
        <is>
          <t>86</t>
        </is>
      </c>
      <c r="B82" s="2" t="inlineStr">
        <is>
          <t>Cisplatin จะจับกับ Nitrogen ในสำยเบสที่ตำแหน่งใด</t>
        </is>
      </c>
      <c r="C82" s="2" t="n"/>
      <c r="D82" s="2" t="inlineStr">
        <is>
          <t>Lorazepam 1 mg PO PRN</t>
        </is>
      </c>
      <c r="E82" s="2" t="inlineStr">
        <is>
          <t>Morphine 10 mg PO Q4H PRN</t>
        </is>
      </c>
      <c r="F82" s="2" t="inlineStr">
        <is>
          <t>Calcium folinate (Leucovorin) 50 mg IV</t>
        </is>
      </c>
      <c r="G82" s="2" t="inlineStr">
        <is>
          <t>Mesna 400 mg IV stat</t>
        </is>
      </c>
      <c r="H82" s="2" t="inlineStr">
        <is>
          <t>Rasburicase 0.2 mg/kg IV</t>
        </is>
      </c>
      <c r="I82" s="8" t="n">
        <v>1</v>
      </c>
      <c r="J82" s="2"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2" t="n"/>
      <c r="L82" s="2" t="inlineStr">
        <is>
          <t>CINV &amp; Supportive Care</t>
        </is>
      </c>
      <c r="M82" s="2" t="inlineStr">
        <is>
          <t>Clinic</t>
        </is>
      </c>
      <c r="N82" s="2" t="inlineStr">
        <is>
          <t>ข้อ 104 (PLE_CC1_Key_Rx20_UBU.md)</t>
        </is>
      </c>
      <c r="O82" s="2" t="n"/>
      <c r="P82" s="2" t="n"/>
    </row>
    <row r="83" ht="13.2" customHeight="1" s="49">
      <c r="A83" s="8" t="inlineStr">
        <is>
          <t>87</t>
        </is>
      </c>
      <c r="B83" s="2" t="inlineStr">
        <is>
          <t>Doxorubicin ออกฤทธิ์โดยทำลาย DNA ของเชื้อ</t>
        </is>
      </c>
      <c r="C83" s="2" t="n"/>
      <c r="D83" s="2" t="inlineStr">
        <is>
          <t>Mesna 400 mg IV stat</t>
        </is>
      </c>
      <c r="E83" s="2" t="inlineStr">
        <is>
          <t>Rasburicase 0.2 mg/kg IV</t>
        </is>
      </c>
      <c r="F83" s="2" t="inlineStr">
        <is>
          <t>Palonosetron 0.25 mg IV stat</t>
        </is>
      </c>
      <c r="G83" s="2" t="inlineStr">
        <is>
          <t>Ondansetron 8 mg IV stat</t>
        </is>
      </c>
      <c r="H83" s="2" t="inlineStr">
        <is>
          <t>Aprepitant 125 mg PO stat</t>
        </is>
      </c>
      <c r="I83" s="8" t="n">
        <v>1</v>
      </c>
      <c r="J83" s="2"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2" t="n"/>
      <c r="L83" s="2" t="inlineStr">
        <is>
          <t>CINV &amp; Supportive Care</t>
        </is>
      </c>
      <c r="M83" s="2" t="inlineStr">
        <is>
          <t>Clinic</t>
        </is>
      </c>
      <c r="N83" s="2" t="inlineStr">
        <is>
          <t>ข้อ 1 (PLE_CC1_Key_Rx20_UBU.md)</t>
        </is>
      </c>
      <c r="O83" s="2" t="n"/>
      <c r="P83" s="2" t="n"/>
    </row>
    <row r="84" ht="13.2" customHeight="1" s="49">
      <c r="A84" s="8" t="inlineStr">
        <is>
          <t>88</t>
        </is>
      </c>
      <c r="B84" s="2" t="inlineStr">
        <is>
          <t>Doxorubicin ออกฤทธิ์เป็น intercalating ต่อสาย DNA</t>
        </is>
      </c>
      <c r="C84" s="2" t="n"/>
      <c r="D84" s="2" t="inlineStr">
        <is>
          <t>Ondansetron 8 mg IV stat</t>
        </is>
      </c>
      <c r="E84" s="2" t="inlineStr">
        <is>
          <t>Aprepitant 125 mg PO stat</t>
        </is>
      </c>
      <c r="F84" s="2" t="inlineStr">
        <is>
          <t>Dexamethasone 12 mg IV stat</t>
        </is>
      </c>
      <c r="G84" s="2" t="inlineStr">
        <is>
          <t>Filgrastim (G-CSF) 300 mcg SC OD</t>
        </is>
      </c>
      <c r="H84" s="2" t="inlineStr">
        <is>
          <t>Metoclopramide 10 mg TID</t>
        </is>
      </c>
      <c r="I84" s="8" t="n">
        <v>1</v>
      </c>
      <c r="J84" s="2"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2" t="n"/>
      <c r="L84" s="2" t="inlineStr">
        <is>
          <t>CINV &amp; Supportive Care</t>
        </is>
      </c>
      <c r="M84" s="2" t="inlineStr">
        <is>
          <t>Clinic</t>
        </is>
      </c>
      <c r="N84" s="2" t="inlineStr">
        <is>
          <t>ข้อ 4 (PLE_CC1_Key_Rx20_UBU.md)</t>
        </is>
      </c>
      <c r="O84" s="2" t="n"/>
      <c r="P84" s="2" t="n"/>
    </row>
    <row r="85" ht="13.2" customHeight="1" s="49">
      <c r="A85" s="8" t="inlineStr">
        <is>
          <t>89</t>
        </is>
      </c>
      <c r="B85" s="2" t="inlineStr">
        <is>
          <t>ยามะเร็งเตรียมในห้องที่มีแรงดันเป็นแบบ positive pressure</t>
        </is>
      </c>
      <c r="C85" s="2" t="n"/>
      <c r="D85" s="2" t="inlineStr">
        <is>
          <t>Filgrastim (G-CSF) 300 mcg SC OD</t>
        </is>
      </c>
      <c r="E85" s="2" t="inlineStr">
        <is>
          <t>Metoclopramide 10 mg TID</t>
        </is>
      </c>
      <c r="F85" s="2" t="inlineStr">
        <is>
          <t>Lorazepam 1 mg PO PRN</t>
        </is>
      </c>
      <c r="G85" s="2" t="inlineStr">
        <is>
          <t>Morphine 10 mg PO Q4H PRN</t>
        </is>
      </c>
      <c r="H85" s="2" t="inlineStr">
        <is>
          <t>Calcium folinate (Leucovorin) 50 mg IV</t>
        </is>
      </c>
      <c r="I85" s="8" t="n">
        <v>1</v>
      </c>
      <c r="J85" s="2"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2" t="n"/>
      <c r="L85" s="2" t="inlineStr">
        <is>
          <t>CINV &amp; Supportive Care</t>
        </is>
      </c>
      <c r="M85" s="2" t="inlineStr">
        <is>
          <t>Clinic</t>
        </is>
      </c>
      <c r="N85" s="2" t="inlineStr">
        <is>
          <t>ข้อ 1 (PLE_CC1_Key_Rx20_UBU.md)</t>
        </is>
      </c>
      <c r="O85" s="2" t="n"/>
      <c r="P85" s="2" t="n"/>
    </row>
    <row r="86" ht="13.2" customHeight="1" s="49">
      <c r="A86" s="8" t="inlineStr">
        <is>
          <t>90</t>
        </is>
      </c>
      <c r="B86" s="2" t="inlineStr">
        <is>
          <t>เพราะ ยามะเร็งเตรียมในห้องที่มีแรงดันเป็นแบบneagatiive pressure</t>
        </is>
      </c>
      <c r="C86" s="2" t="n"/>
      <c r="D86" s="2" t="inlineStr">
        <is>
          <t>Morphine 10 mg PO Q4H PRN</t>
        </is>
      </c>
      <c r="E86" s="2" t="inlineStr">
        <is>
          <t>Calcium folinate (Leucovorin) 50 mg IV</t>
        </is>
      </c>
      <c r="F86" s="2" t="inlineStr">
        <is>
          <t>Mesna 400 mg IV stat</t>
        </is>
      </c>
      <c r="G86" s="2" t="inlineStr">
        <is>
          <t>Rasburicase 0.2 mg/kg IV</t>
        </is>
      </c>
      <c r="H86" s="2" t="inlineStr">
        <is>
          <t>Palonosetron 0.25 mg IV stat</t>
        </is>
      </c>
      <c r="I86" s="8" t="n">
        <v>4</v>
      </c>
      <c r="J86" s="2"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2" t="n"/>
      <c r="L86" s="2" t="inlineStr">
        <is>
          <t>CINV &amp; Supportive Care</t>
        </is>
      </c>
      <c r="M86" s="2" t="inlineStr">
        <is>
          <t>Clinic</t>
        </is>
      </c>
      <c r="N86" s="2" t="inlineStr">
        <is>
          <t>ข้อ 4 (PLE_CC1_Key_Rx20_UBU.md)</t>
        </is>
      </c>
      <c r="O86" s="2" t="n"/>
      <c r="P86" s="2" t="n"/>
    </row>
    <row r="87" ht="13.2" customHeight="1" s="49">
      <c r="A87" s="8" t="inlineStr">
        <is>
          <t>91</t>
        </is>
      </c>
      <c r="B87" s="2" t="inlineStr">
        <is>
          <t>Cumulative dose ของ Doxorubicin ในผู้ป่วยรายนี้ คือเท่าไร</t>
        </is>
      </c>
      <c r="C87" s="2" t="n"/>
      <c r="D87" s="2" t="inlineStr">
        <is>
          <t>60 mg/m 2</t>
        </is>
      </c>
      <c r="E87" s="2" t="inlineStr">
        <is>
          <t>180 mg/m 2</t>
        </is>
      </c>
      <c r="F87" s="2" t="inlineStr">
        <is>
          <t>240 mg/m 2</t>
        </is>
      </c>
      <c r="G87" s="2" t="inlineStr">
        <is>
          <t>300 mg/m 2</t>
        </is>
      </c>
      <c r="H87" s="2" t="inlineStr">
        <is>
          <t>480 mg/m 2 cycle 4 x 60 = 240 mg/m 2</t>
        </is>
      </c>
      <c r="I87" s="8" t="n">
        <v>3</v>
      </c>
      <c r="J87" s="2"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2" t="n"/>
      <c r="L87" s="2" t="inlineStr">
        <is>
          <t>CINV &amp; Supportive Care</t>
        </is>
      </c>
      <c r="M87" s="2" t="inlineStr">
        <is>
          <t>Clinic</t>
        </is>
      </c>
      <c r="N87" s="2" t="inlineStr">
        <is>
          <t>ข้อ 10 (PLE_CC1_Key_Rx20_UBU.md)</t>
        </is>
      </c>
      <c r="O87" s="2" t="n"/>
      <c r="P87" s="2" t="n"/>
    </row>
    <row r="88" ht="13.2" customHeight="1" s="49">
      <c r="A88" s="8" t="inlineStr">
        <is>
          <t>92</t>
        </is>
      </c>
      <c r="B88" s="2" t="inlineStr">
        <is>
          <t>กลไกการเกิด cardiotoxicity ของยา doxorubicin คือข้อใด</t>
        </is>
      </c>
      <c r="C88" s="2" t="n"/>
      <c r="D88" s="2" t="inlineStr">
        <is>
          <t>Free radical generation</t>
        </is>
      </c>
      <c r="E88" s="2" t="inlineStr">
        <is>
          <t>Topoisomerase inhibitors</t>
        </is>
      </c>
      <c r="F88" s="2" t="inlineStr">
        <is>
          <t>Intercalated DNA</t>
        </is>
      </c>
      <c r="G88" s="2" t="inlineStr">
        <is>
          <t>Inhibit microtubule assembly</t>
        </is>
      </c>
      <c r="H88" s="2" t="inlineStr">
        <is>
          <t>Inhibit microtubule dis-asembly</t>
        </is>
      </c>
      <c r="I88" s="8" t="n">
        <v>1</v>
      </c>
      <c r="J88" s="2"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8" s="2" t="n"/>
      <c r="L88" s="2" t="inlineStr">
        <is>
          <t>CINV &amp; Supportive Care</t>
        </is>
      </c>
      <c r="M88" s="2" t="inlineStr">
        <is>
          <t>Clinic</t>
        </is>
      </c>
      <c r="N88" s="2" t="inlineStr">
        <is>
          <t>ข้อ 11 (PLE_CC1_Key_Rx20_UBU.md)</t>
        </is>
      </c>
      <c r="O88" s="2" t="n"/>
      <c r="P88" s="2" t="n"/>
    </row>
    <row r="89" ht="13.2" customHeight="1" s="49">
      <c r="A89" t="n">
        <v>93</v>
      </c>
      <c r="B89" t="inlineStr">
        <is>
          <t>ข้อใดคือกลไกการออกฤทธิ์ของยา cyclophosphamide</t>
        </is>
      </c>
      <c r="D89" t="inlineStr">
        <is>
          <t>Alkylating agent</t>
        </is>
      </c>
      <c r="E89" t="inlineStr">
        <is>
          <t>Antimetabolite</t>
        </is>
      </c>
      <c r="F89" t="inlineStr">
        <is>
          <t>Antimitotic</t>
        </is>
      </c>
      <c r="G89" t="inlineStr">
        <is>
          <t>Inhibit topoisomerase</t>
        </is>
      </c>
      <c r="H89" t="inlineStr">
        <is>
          <t>Inhibit DNA polymerase</t>
        </is>
      </c>
      <c r="I89" t="inlineStr">
        <is>
          <t>1</t>
        </is>
      </c>
      <c r="J89"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9" t="inlineStr">
        <is>
          <t>Hypertension</t>
        </is>
      </c>
      <c r="M89" t="inlineStr">
        <is>
          <t>Clinic</t>
        </is>
      </c>
      <c r="N89" t="inlineStr">
        <is>
          <t>ข้อ 107 (PLE_CC1_2562_Key.md)</t>
        </is>
      </c>
    </row>
    <row r="90" ht="13.2" customHeight="1" s="49">
      <c r="A90" t="n">
        <v>94</v>
      </c>
      <c r="B90" t="inlineStr">
        <is>
          <t>ข้อใดคือยากลุ่ม anti-microtubule</t>
        </is>
      </c>
      <c r="D90" t="inlineStr">
        <is>
          <t>Paclitaxel</t>
        </is>
      </c>
      <c r="E90" t="inlineStr">
        <is>
          <t>Doxorubicin</t>
        </is>
      </c>
      <c r="F90" t="inlineStr">
        <is>
          <t>Cisplatin</t>
        </is>
      </c>
      <c r="G90" t="inlineStr">
        <is>
          <t>Cyclophosphamide</t>
        </is>
      </c>
      <c r="H90" t="inlineStr">
        <is>
          <t>Methotrexate</t>
        </is>
      </c>
      <c r="I90" t="inlineStr">
        <is>
          <t>1</t>
        </is>
      </c>
      <c r="J90"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0" t="inlineStr">
        <is>
          <t>Hypertension</t>
        </is>
      </c>
      <c r="M90" t="inlineStr">
        <is>
          <t>Clinic</t>
        </is>
      </c>
      <c r="N90" t="inlineStr">
        <is>
          <t>ข้อ 54 (PLE_CC1_2559.md)</t>
        </is>
      </c>
    </row>
    <row r="91" ht="13.2" customHeight="1" s="49">
      <c r="A91" t="n">
        <v>95</v>
      </c>
      <c r="B91" t="inlineStr">
        <is>
          <t>ข้อใดคืออาการไม่พึงประสงค์ที่พบบ่อยจาก cyclophosphamide</t>
        </is>
      </c>
      <c r="D91" t="inlineStr">
        <is>
          <t>Mucositis</t>
        </is>
      </c>
      <c r="E91" t="inlineStr">
        <is>
          <t>Neuropathy</t>
        </is>
      </c>
      <c r="F91" t="inlineStr">
        <is>
          <t>Hemorrhagic cystitis</t>
        </is>
      </c>
      <c r="G91" t="inlineStr">
        <is>
          <t>Hand foot syndrome</t>
        </is>
      </c>
      <c r="H91" t="inlineStr">
        <is>
          <t>Anemia</t>
        </is>
      </c>
      <c r="I91" t="inlineStr">
        <is>
          <t>1</t>
        </is>
      </c>
      <c r="J91"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1" t="inlineStr">
        <is>
          <t>Hypertension</t>
        </is>
      </c>
      <c r="M91" t="inlineStr">
        <is>
          <t>Clinic</t>
        </is>
      </c>
      <c r="N91" t="inlineStr">
        <is>
          <t>ข้อ 63 (PLE_CC1_2558_Key.md)</t>
        </is>
      </c>
    </row>
    <row r="92" ht="13.2" customHeight="1" s="49">
      <c r="A92" t="n">
        <v>96</v>
      </c>
      <c r="B92" t="inlineStr">
        <is>
          <t>Cyclophosphamide ออกฤทธิ์อย่างไร</t>
        </is>
      </c>
      <c r="D92" t="inlineStr">
        <is>
          <t>Inhibit depolymerization of mitotic spindle</t>
        </is>
      </c>
      <c r="E92" t="inlineStr">
        <is>
          <t>Intercalation</t>
        </is>
      </c>
      <c r="F92" t="inlineStr">
        <is>
          <t>Alkylated DNA</t>
        </is>
      </c>
      <c r="G92" t="inlineStr">
        <is>
          <t>Inhibit polymerization of microtubule</t>
        </is>
      </c>
      <c r="H92" t="inlineStr">
        <is>
          <t>Inhibit topoisomerase IV</t>
        </is>
      </c>
      <c r="I92" t="inlineStr">
        <is>
          <t>1</t>
        </is>
      </c>
      <c r="J92"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2" t="inlineStr">
        <is>
          <t>Hypertension</t>
        </is>
      </c>
      <c r="M92" t="inlineStr">
        <is>
          <t>Clinic</t>
        </is>
      </c>
      <c r="N92" t="inlineStr">
        <is>
          <t>ข้อ 65 (PLE_CC1_2558_Key.md)</t>
        </is>
      </c>
    </row>
    <row r="93" ht="13.2" customHeight="1" s="49">
      <c r="A93" t="n">
        <v>97</v>
      </c>
      <c r="B93"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D93" t="inlineStr">
        <is>
          <t>Visual change</t>
        </is>
      </c>
      <c r="E93" t="inlineStr">
        <is>
          <t>LFT</t>
        </is>
      </c>
      <c r="F93" t="inlineStr">
        <is>
          <t>eGFR</t>
        </is>
      </c>
      <c r="G93" t="inlineStr">
        <is>
          <t>CBC</t>
        </is>
      </c>
      <c r="H93" t="inlineStr">
        <is>
          <t>LVEF</t>
        </is>
      </c>
      <c r="I93" t="inlineStr">
        <is>
          <t>1</t>
        </is>
      </c>
      <c r="J93"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3" t="inlineStr">
        <is>
          <t>Hypertension</t>
        </is>
      </c>
      <c r="M93" t="inlineStr">
        <is>
          <t>Clinic</t>
        </is>
      </c>
      <c r="N93" t="inlineStr">
        <is>
          <t>ข้อ 80 (Pharmtutor_2024_Set1.md)</t>
        </is>
      </c>
    </row>
    <row r="94" ht="13.2" customHeight="1" s="49">
      <c r="A94" t="n">
        <v>98</v>
      </c>
      <c r="B94" t="inlineStr">
        <is>
          <t>ยาในข้อใดต่อไปนี้สามารถช่วยลดอาการข้างเคียงที่เป็นพิษต่อหัวใจ จากยา Doxorubicin</t>
        </is>
      </c>
      <c r="D94" t="inlineStr">
        <is>
          <t>DMSO</t>
        </is>
      </c>
      <c r="E94" t="inlineStr">
        <is>
          <t>Dexrazoxane</t>
        </is>
      </c>
      <c r="F94" t="inlineStr">
        <is>
          <t>Dextromethorphan</t>
        </is>
      </c>
      <c r="G94" t="inlineStr">
        <is>
          <t>Dexamethasone</t>
        </is>
      </c>
      <c r="H94" t="inlineStr">
        <is>
          <t>Drospirenone</t>
        </is>
      </c>
      <c r="I94" t="inlineStr">
        <is>
          <t>1</t>
        </is>
      </c>
      <c r="J94"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4" t="inlineStr">
        <is>
          <t>Hypertension</t>
        </is>
      </c>
      <c r="M94" t="inlineStr">
        <is>
          <t>Clinic</t>
        </is>
      </c>
      <c r="N94" t="inlineStr">
        <is>
          <t>ข้อ 81 (Pharmtutor_2024_Set1.md)</t>
        </is>
      </c>
    </row>
    <row r="95" ht="13.2" customHeight="1" s="49">
      <c r="A95" t="n">
        <v>99</v>
      </c>
      <c r="B95" t="inlineStr">
        <is>
          <t>กลไกใดของยา Doxorubicin ทำให้เกิดอาการข้างเคียงที่เป็นพิษต่อหัวใจ</t>
        </is>
      </c>
      <c r="D95" t="inlineStr">
        <is>
          <t>Alkylating agent</t>
        </is>
      </c>
      <c r="E95" t="inlineStr">
        <is>
          <t>Intercalation</t>
        </is>
      </c>
      <c r="F95" t="inlineStr">
        <is>
          <t>Free radical formation</t>
        </is>
      </c>
      <c r="G95" t="inlineStr">
        <is>
          <t>Topoisomerase inhibitors</t>
        </is>
      </c>
      <c r="H95" t="inlineStr">
        <is>
          <t>Inhibit tubulin assembly</t>
        </is>
      </c>
      <c r="I95" t="inlineStr">
        <is>
          <t>1</t>
        </is>
      </c>
      <c r="J95"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5" t="inlineStr">
        <is>
          <t>Hypertension</t>
        </is>
      </c>
      <c r="M95" t="inlineStr">
        <is>
          <t>Clinic</t>
        </is>
      </c>
      <c r="N95" t="inlineStr">
        <is>
          <t>ข้อ 82 (Pharmtutor_2024_Set1.md)</t>
        </is>
      </c>
    </row>
    <row r="96" ht="13.2" customHeight="1" s="49">
      <c r="A96" t="n">
        <v>100</v>
      </c>
      <c r="B96" t="inlineStr">
        <is>
          <t>ยาเคมีบำบัตรสูตร AC (Doxorubicin,Cyclophosphamide) ควรmonitorสิ่งใด</t>
        </is>
      </c>
      <c r="D96" t="inlineStr">
        <is>
          <t>SCr</t>
        </is>
      </c>
      <c r="E96" t="inlineStr">
        <is>
          <t>AST</t>
        </is>
      </c>
      <c r="F96" t="inlineStr">
        <is>
          <t>Lipo-A</t>
        </is>
      </c>
      <c r="G96" t="inlineStr">
        <is>
          <t>Hct</t>
        </is>
      </c>
      <c r="H96" t="inlineStr">
        <is>
          <t>LVEF</t>
        </is>
      </c>
      <c r="I96" t="inlineStr">
        <is>
          <t>1</t>
        </is>
      </c>
      <c r="J96"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6" t="inlineStr">
        <is>
          <t>Hypertension</t>
        </is>
      </c>
      <c r="M96" t="inlineStr">
        <is>
          <t>Clinic</t>
        </is>
      </c>
      <c r="N96" t="inlineStr">
        <is>
          <t>ข้อ 78 (Pharmtutor_2024_Set2.md)</t>
        </is>
      </c>
    </row>
    <row r="97" ht="13.2" customHeight="1" s="49">
      <c r="A97" t="n">
        <v>101</v>
      </c>
      <c r="B97" t="inlineStr">
        <is>
          <t>เมื่อผู้ป่วยได้รับยาสูตรAC (Doxorubicin/Cyclophosphamide) ควรได้รับยาใดในการเเก้อาการคลื่นไว้อาเจียน</t>
        </is>
      </c>
      <c r="D97" t="inlineStr">
        <is>
          <t>Olanzapine + Dexamethasone</t>
        </is>
      </c>
      <c r="E97" t="inlineStr">
        <is>
          <t>Olanzapine + Metoclopramide</t>
        </is>
      </c>
      <c r="F97" t="inlineStr">
        <is>
          <t>Aprepitant + Ondansetron</t>
        </is>
      </c>
      <c r="G97" t="inlineStr">
        <is>
          <t>Aprepitant + Metoclopramide + Lorazepam</t>
        </is>
      </c>
      <c r="H97" t="inlineStr">
        <is>
          <t>Aprepitant + Ondansetron + Dexamethasone + Olanzapine</t>
        </is>
      </c>
      <c r="I97" t="inlineStr">
        <is>
          <t>1</t>
        </is>
      </c>
      <c r="J97"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7" t="inlineStr">
        <is>
          <t>Hypertension</t>
        </is>
      </c>
      <c r="M97" t="inlineStr">
        <is>
          <t>Clinic</t>
        </is>
      </c>
      <c r="N97" t="inlineStr">
        <is>
          <t>ข้อ 80 (Pharmtutor_2024_Set2.md)</t>
        </is>
      </c>
    </row>
    <row r="98" ht="13.2" customHeight="1" s="49">
      <c r="A98" t="n">
        <v>102</v>
      </c>
      <c r="B98"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D98" t="inlineStr">
        <is>
          <t>ยาใดต้องให้กินน ้ามากๆ ตอบ Cyclophosphamide</t>
        </is>
      </c>
      <c r="E98" t="inlineStr">
        <is>
          <t>ยาใดทำให้เจ็บปาก เป็นแผลในปาก แต่ไม่มีการติดเชื้อ</t>
        </is>
      </c>
      <c r="F98" t="inlineStr">
        <is>
          <t>Doxorubicin</t>
        </is>
      </c>
      <c r="G98" t="inlineStr">
        <is>
          <t>Vincristine</t>
        </is>
      </c>
      <c r="H98" t="inlineStr">
        <is>
          <t>Cyclophosphamide</t>
        </is>
      </c>
      <c r="I98" t="inlineStr">
        <is>
          <t>1</t>
        </is>
      </c>
      <c r="J98"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L98" t="inlineStr">
        <is>
          <t>Hypertension</t>
        </is>
      </c>
      <c r="M98" t="inlineStr">
        <is>
          <t>Clinic</t>
        </is>
      </c>
      <c r="N98" t="inlineStr">
        <is>
          <t>ข้อ 3 (PLE_CC1_2556.md)</t>
        </is>
      </c>
    </row>
    <row r="99" ht="13.2" customHeight="1" s="49">
      <c r="A99" t="n">
        <v>103</v>
      </c>
      <c r="B99" t="inlineStr">
        <is>
          <t>ต้องใช้ยา Cyclophosphamide กับผู้ป่วยวันละเท่าไหร่ เมื่อคิดพื้นที่ผิวตามสูตร</t>
        </is>
      </c>
      <c r="D99" t="inlineStr">
        <is>
          <t>728 mg/day</t>
        </is>
      </c>
      <c r="E99" t="inlineStr">
        <is>
          <t>748 mg/day</t>
        </is>
      </c>
      <c r="F99" t="inlineStr">
        <is>
          <t>768 mg/day</t>
        </is>
      </c>
      <c r="G99" t="inlineStr">
        <is>
          <t>788 mg/day</t>
        </is>
      </c>
      <c r="H99" t="inlineStr">
        <is>
          <t>798 mg/day สูตร body surface area (BSA) = ℎ𝑒𝑖𝑔ℎ𝑡(𝑐𝑚)ข𝑤𝑒𝑖𝑔ℎ𝑡(𝑘𝑔) = 160ข40 3600 =</t>
        </is>
      </c>
      <c r="I99" t="inlineStr">
        <is>
          <t>5</t>
        </is>
      </c>
      <c r="J99"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9" t="inlineStr">
        <is>
          <t>Hypertension</t>
        </is>
      </c>
      <c r="M99" t="inlineStr">
        <is>
          <t>Clinic</t>
        </is>
      </c>
      <c r="N99" t="inlineStr">
        <is>
          <t>ข้อ 1 (PLE_CC1_2554 SET2.md)</t>
        </is>
      </c>
    </row>
    <row r="100" ht="13.2" customHeight="1" s="49">
      <c r="A100" t="n">
        <v>104</v>
      </c>
      <c r="B100" t="inlineStr">
        <is>
          <t>ข้อใดออกฤทธิ์เหมือน Cyclophosphamide</t>
        </is>
      </c>
      <c r="D100" t="inlineStr">
        <is>
          <t>Docetaxel</t>
        </is>
      </c>
      <c r="E100" t="inlineStr">
        <is>
          <t>Cytarabine</t>
        </is>
      </c>
      <c r="F100" t="inlineStr">
        <is>
          <t>Cisplatin</t>
        </is>
      </c>
      <c r="G100" t="inlineStr">
        <is>
          <t>Ifosfamide</t>
        </is>
      </c>
      <c r="H100" t="inlineStr">
        <is>
          <t>Navelbine mustard, cyclophosphamide, ifosfamide, cisplatin และ dacarbazine</t>
        </is>
      </c>
      <c r="I100" t="inlineStr">
        <is>
          <t>4</t>
        </is>
      </c>
      <c r="J100"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0" t="inlineStr">
        <is>
          <t>Hypertension</t>
        </is>
      </c>
      <c r="M100" t="inlineStr">
        <is>
          <t>Clinic</t>
        </is>
      </c>
      <c r="N100" t="inlineStr">
        <is>
          <t>ข้อ 4 (PLE_CC1_2554 SET2.md)</t>
        </is>
      </c>
    </row>
    <row r="101" ht="13.2" customHeight="1" s="49">
      <c r="A101" t="n">
        <v>105</v>
      </c>
      <c r="B101"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D101" t="inlineStr">
        <is>
          <t>400 ml.</t>
        </is>
      </c>
      <c r="E101" t="inlineStr">
        <is>
          <t>420 ml.</t>
        </is>
      </c>
      <c r="F101" t="inlineStr">
        <is>
          <t>440 ml.</t>
        </is>
      </c>
      <c r="G101" t="inlineStr">
        <is>
          <t>460 ml.</t>
        </is>
      </c>
      <c r="H101" t="inlineStr">
        <is>
          <t>480 ml.</t>
        </is>
      </c>
      <c r="I101" t="inlineStr">
        <is>
          <t>2</t>
        </is>
      </c>
      <c r="J101"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L101" t="inlineStr">
        <is>
          <t>Hypertension</t>
        </is>
      </c>
      <c r="M101" t="inlineStr">
        <is>
          <t>Clinic</t>
        </is>
      </c>
      <c r="N101" t="inlineStr">
        <is>
          <t>ข้อ 5 (PLE_CC1_2554 SET2.md)</t>
        </is>
      </c>
    </row>
    <row r="102" ht="13.2" customHeight="1" s="49">
      <c r="A102" t="n">
        <v>106</v>
      </c>
      <c r="B102" t="inlineStr">
        <is>
          <t>เกี่ยวกับอาการไมGพึงประสงค_จากยา cyclophosphamide ข้อใดไมGถูกต$อง</t>
        </is>
      </c>
      <c r="D102" t="inlineStr">
        <is>
          <t>ทำให$เกิดภาวะ cystitis</t>
        </is>
      </c>
      <c r="E102" t="inlineStr">
        <is>
          <t>เปญน dose-related toxicity</t>
        </is>
      </c>
      <c r="F102" t="inlineStr">
        <is>
          <t>สารที่ออกฤทธิ์ทำให$เกิดพิษคือ acrolein</t>
        </is>
      </c>
      <c r="G102" t="inlineStr">
        <is>
          <t>เมื่อเกิด extravasation ควรได$รับ hyaluronidase เปญน antidote</t>
        </is>
      </c>
      <c r="H102" t="inlineStr">
        <is>
          <t>ใช$ mesna เปญน uroprotective</t>
        </is>
      </c>
      <c r="I102" t="inlineStr">
        <is>
          <t>4</t>
        </is>
      </c>
      <c r="J102"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2" t="inlineStr">
        <is>
          <t>Hypertension</t>
        </is>
      </c>
      <c r="M102" t="inlineStr">
        <is>
          <t>Clinic</t>
        </is>
      </c>
      <c r="N102" t="inlineStr">
        <is>
          <t>ข้อ 22 (PLE_CC1_Key_Rx20_UBU.md)</t>
        </is>
      </c>
    </row>
    <row r="103" ht="13.2" customHeight="1" s="49">
      <c r="A103" t="n">
        <v>107</v>
      </c>
      <c r="B103" t="inlineStr">
        <is>
          <t>ยาในข้อใดมีประโยชน_สำหรับ anticipatory nausea and vomiting</t>
        </is>
      </c>
      <c r="D103" t="inlineStr">
        <is>
          <t>Dexamethasone</t>
        </is>
      </c>
      <c r="E103" t="inlineStr">
        <is>
          <t>Ondansetron</t>
        </is>
      </c>
      <c r="F103" t="inlineStr">
        <is>
          <t>Aprepitant</t>
        </is>
      </c>
      <c r="G103" t="inlineStr">
        <is>
          <t>Lorazepam</t>
        </is>
      </c>
      <c r="H103" t="inlineStr">
        <is>
          <t>Metoclopramide</t>
        </is>
      </c>
      <c r="I103" t="inlineStr">
        <is>
          <t>4</t>
        </is>
      </c>
      <c r="J103"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03" t="inlineStr">
        <is>
          <t>Hypertension</t>
        </is>
      </c>
      <c r="M103" t="inlineStr">
        <is>
          <t>Clinic</t>
        </is>
      </c>
      <c r="N103" t="inlineStr">
        <is>
          <t>ข้อ 23 (PLE_CC1_Key_Rx20_UBU.md)</t>
        </is>
      </c>
    </row>
    <row r="104" ht="13.2" customHeight="1" s="49">
      <c r="A104" t="n">
        <v>108</v>
      </c>
      <c r="B104" t="inlineStr">
        <is>
          <t>เภสัชกรจะแนะนำผลิตภัณฑ์ใดเพื่อรักษา Mild acne</t>
        </is>
      </c>
      <c r="D104" t="inlineStr">
        <is>
          <t>สบู่มังคุด</t>
        </is>
      </c>
      <c r="E104" t="inlineStr">
        <is>
          <t>เจลพญายอ</t>
        </is>
      </c>
      <c r="F104" t="inlineStr">
        <is>
          <t>ครีมว่านหางจระเข้</t>
        </is>
      </c>
      <c r="G104" t="inlineStr">
        <is>
          <t>มาสก์ดึงผิวใบบัวบก</t>
        </is>
      </c>
      <c r="H104" t="inlineStr">
        <is>
          <t>ผงขมิ้นชันขัดหน้า</t>
        </is>
      </c>
      <c r="I104" t="inlineStr">
        <is>
          <t>1</t>
        </is>
      </c>
      <c r="J104"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L104" t="inlineStr">
        <is>
          <t>Hypertension</t>
        </is>
      </c>
      <c r="M104" t="inlineStr">
        <is>
          <t>Clinic</t>
        </is>
      </c>
      <c r="N104" t="inlineStr">
        <is>
          <t>ข้อ 9 (PLE_CC1_Key_Rx20_UBU.md)</t>
        </is>
      </c>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7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3" t="inlineStr">
        <is>
          <t>ข้อที่</t>
        </is>
      </c>
      <c r="B2" s="3" t="inlineStr">
        <is>
          <t>คำถาม</t>
        </is>
      </c>
      <c r="C2" s="3" t="inlineStr">
        <is>
          <t>รูปถาม</t>
        </is>
      </c>
      <c r="D2" s="3" t="inlineStr">
        <is>
          <t>ตัวเลือก 1</t>
        </is>
      </c>
      <c r="E2" s="3" t="inlineStr">
        <is>
          <t>ตัวเลือก 2</t>
        </is>
      </c>
      <c r="F2" s="3" t="inlineStr">
        <is>
          <t>ตัวเลือก 3</t>
        </is>
      </c>
      <c r="G2" s="3" t="inlineStr">
        <is>
          <t>ตัวเลือก 4</t>
        </is>
      </c>
      <c r="H2" s="3" t="inlineStr">
        <is>
          <t>ตัวเลือก 5</t>
        </is>
      </c>
      <c r="I2" s="3" t="inlineStr">
        <is>
          <t>เฉลย (ตัวเลข 1-5)</t>
        </is>
      </c>
      <c r="J2" s="3" t="inlineStr">
        <is>
          <t>คำอธิบายเฉลย</t>
        </is>
      </c>
      <c r="K2" s="3" t="inlineStr">
        <is>
          <t>รูปเฉลย</t>
        </is>
      </c>
      <c r="L2" s="3" t="inlineStr">
        <is>
          <t>Filter หมวด/Subtopic</t>
        </is>
      </c>
      <c r="M2" s="3" t="inlineStr">
        <is>
          <t>Product / Clinic</t>
        </is>
      </c>
      <c r="N2" s="3"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2" t="n"/>
      <c r="D3" s="2" t="inlineStr">
        <is>
          <t>Acute kidney injury</t>
        </is>
      </c>
      <c r="E3" s="2" t="inlineStr">
        <is>
          <t>Renal insufficiency</t>
        </is>
      </c>
      <c r="F3" s="2" t="inlineStr">
        <is>
          <t>Chronic kidney disease</t>
        </is>
      </c>
      <c r="G3" s="2" t="inlineStr">
        <is>
          <t>Uremia</t>
        </is>
      </c>
      <c r="H3" s="2" t="inlineStr">
        <is>
          <t>End-stage renal failure</t>
        </is>
      </c>
      <c r="I3" s="8" t="n">
        <v>3</v>
      </c>
      <c r="J3" s="2"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Chronic kidney diseases</t>
        </is>
      </c>
      <c r="M3" s="2" t="inlineStr">
        <is>
          <t>Clinic</t>
        </is>
      </c>
      <c r="N3" s="2" t="inlineStr">
        <is>
          <t>ข้อ 1 Pharma Plus เล่มม่วง (เฉลยข้อ ค)</t>
        </is>
      </c>
      <c r="O3" s="2" t="n"/>
      <c r="P3" s="2" t="n"/>
    </row>
    <row r="4" ht="13.2" customHeight="1" s="49">
      <c r="A4" s="8" t="inlineStr">
        <is>
          <t>2</t>
        </is>
      </c>
      <c r="B4"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2" t="n"/>
      <c r="D4" s="2" t="inlineStr">
        <is>
          <t>Potassium chloride</t>
        </is>
      </c>
      <c r="E4" s="2" t="inlineStr">
        <is>
          <t>Sodium chloride</t>
        </is>
      </c>
      <c r="F4" s="2" t="inlineStr">
        <is>
          <t>Sodium polystyrene sulfonate</t>
        </is>
      </c>
      <c r="G4" s="2" t="inlineStr">
        <is>
          <t>Calcium chloride</t>
        </is>
      </c>
      <c r="H4" s="2" t="inlineStr">
        <is>
          <t>Calcium phosphate</t>
        </is>
      </c>
      <c r="I4" s="8" t="n">
        <v>3</v>
      </c>
      <c r="J4" s="2"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Chronic kidney diseases</t>
        </is>
      </c>
      <c r="M4" s="2" t="inlineStr">
        <is>
          <t>Clinic</t>
        </is>
      </c>
      <c r="N4" s="2" t="inlineStr">
        <is>
          <t>ข้อ 2 Pharma Plus เล่มม่วง (เฉลยข้อ ค)</t>
        </is>
      </c>
      <c r="O4" s="2" t="n"/>
      <c r="P4" s="2" t="n"/>
    </row>
    <row r="5" ht="13.2" customHeight="1" s="49">
      <c r="A5" s="8" t="inlineStr">
        <is>
          <t>3</t>
        </is>
      </c>
      <c r="B5"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2" t="n"/>
      <c r="D5" s="2" t="inlineStr">
        <is>
          <t>Hydrochlorothiazide</t>
        </is>
      </c>
      <c r="E5" s="2" t="inlineStr">
        <is>
          <t>Spironolactone</t>
        </is>
      </c>
      <c r="F5" s="2" t="inlineStr">
        <is>
          <t>Furosemide</t>
        </is>
      </c>
      <c r="G5" s="2" t="inlineStr">
        <is>
          <t>Amiloride</t>
        </is>
      </c>
      <c r="H5" s="2" t="inlineStr">
        <is>
          <t>Indapamide</t>
        </is>
      </c>
      <c r="I5" s="8" t="n">
        <v>3</v>
      </c>
      <c r="J5" s="2"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2" t="n"/>
      <c r="L5" s="2" t="inlineStr">
        <is>
          <t>Chronic kidney diseases</t>
        </is>
      </c>
      <c r="M5" s="2" t="inlineStr">
        <is>
          <t>Clinic</t>
        </is>
      </c>
      <c r="N5" s="2" t="inlineStr">
        <is>
          <t>ข้อ 3 Pharma Plus เล่มม่วง (เฉลยข้อ ค)</t>
        </is>
      </c>
      <c r="O5" s="2" t="n"/>
      <c r="P5" s="2" t="n"/>
    </row>
    <row r="6" ht="13.2" customHeight="1" s="49">
      <c r="A6" s="8" t="inlineStr">
        <is>
          <t>4</t>
        </is>
      </c>
      <c r="B6" s="2"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2" t="n"/>
      <c r="D6" s="2" t="inlineStr">
        <is>
          <t>ลดอาการบวมคั่งน้ำ</t>
        </is>
      </c>
      <c r="E6" s="2" t="inlineStr">
        <is>
          <t>ป้องกัน renal shut down</t>
        </is>
      </c>
      <c r="F6" s="2" t="inlineStr">
        <is>
          <t>ออกฤทธิ์ได้แม้ผู้ป่วยที่ไตบกพร่องในการทำงานอย่างรุนแรง</t>
        </is>
      </c>
      <c r="G6" s="2" t="inlineStr">
        <is>
          <t>ไม่มีผลรบกวนสมดุลกรด-ด่างในร่างกาย</t>
        </is>
      </c>
      <c r="H6" s="2" t="inlineStr">
        <is>
          <t>ออกฤทธิ์เร็วและแรง</t>
        </is>
      </c>
      <c r="I6" s="8" t="n">
        <v>2</v>
      </c>
      <c r="J6" s="2"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Chronic kidney diseases</t>
        </is>
      </c>
      <c r="M6" s="2" t="inlineStr">
        <is>
          <t>Clinic</t>
        </is>
      </c>
      <c r="N6" s="2" t="inlineStr">
        <is>
          <t>ข้อ 4 Pharma Plus เล่มม่วง (เฉลยข้อ ข)</t>
        </is>
      </c>
      <c r="O6" s="2" t="n"/>
      <c r="P6" s="2" t="n"/>
    </row>
    <row r="7" ht="13.2" customHeight="1" s="49">
      <c r="A7" s="8" t="inlineStr">
        <is>
          <t>5</t>
        </is>
      </c>
      <c r="B7" s="2" t="inlineStr">
        <is>
          <t>จงบอกข้อบ่งใช้ของ sodamint® (sodium bicarbonate) ในผู้ป่วยรายนี้</t>
        </is>
      </c>
      <c r="C7" s="2" t="n"/>
      <c r="D7" s="2" t="inlineStr">
        <is>
          <t>Antacid</t>
        </is>
      </c>
      <c r="E7" s="2" t="inlineStr">
        <is>
          <t>Metabolic acidosis</t>
        </is>
      </c>
      <c r="F7" s="2" t="inlineStr">
        <is>
          <t>Alkalinize urine</t>
        </is>
      </c>
      <c r="G7" s="2" t="inlineStr">
        <is>
          <t>Phosphate binder</t>
        </is>
      </c>
      <c r="H7" s="2" t="inlineStr">
        <is>
          <t>Increase absorption of folic acid</t>
        </is>
      </c>
      <c r="I7" s="8" t="n">
        <v>2</v>
      </c>
      <c r="J7" s="2"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Fluid &amp; Electrolyte</t>
        </is>
      </c>
      <c r="M7" s="2" t="inlineStr">
        <is>
          <t>Clinic</t>
        </is>
      </c>
      <c r="N7" s="2" t="inlineStr">
        <is>
          <t>ข้อ 5 Pharma Plus เล่มม่วง (เฉลยข้อ ข)</t>
        </is>
      </c>
      <c r="O7" s="2" t="n"/>
      <c r="P7" s="2" t="n"/>
    </row>
    <row r="8" ht="13.2" customHeight="1" s="49">
      <c r="A8" s="8" t="inlineStr">
        <is>
          <t>6</t>
        </is>
      </c>
      <c r="B8" s="2" t="inlineStr">
        <is>
          <t>ในกรณีที่ห้องยาไม่มี CaCO₃ ยาใดต่อไปนี้ที่ไม่สามารถใช้ทดแทน CaCO₃ ในผู้ป่วยรายนี้ได้</t>
        </is>
      </c>
      <c r="C8" s="2" t="n"/>
      <c r="D8" s="2" t="inlineStr">
        <is>
          <t>Lanthanum carbonate</t>
        </is>
      </c>
      <c r="E8" s="2" t="inlineStr">
        <is>
          <t>Al(OH)₃</t>
        </is>
      </c>
      <c r="F8" s="2" t="inlineStr">
        <is>
          <t>Mg(OH)₂</t>
        </is>
      </c>
      <c r="G8" s="2" t="inlineStr">
        <is>
          <t>Calcium gluconate</t>
        </is>
      </c>
      <c r="H8" s="2" t="inlineStr">
        <is>
          <t>Calcium lactate</t>
        </is>
      </c>
      <c r="I8" s="8" t="n">
        <v>3</v>
      </c>
      <c r="J8" s="2"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Chronic kidney diseases</t>
        </is>
      </c>
      <c r="M8" s="2" t="inlineStr">
        <is>
          <t>Clinic</t>
        </is>
      </c>
      <c r="N8" s="2" t="inlineStr">
        <is>
          <t>ข้อ 6 Pharma Plus เล่มม่วง (เฉลยข้อ ค)</t>
        </is>
      </c>
      <c r="O8" s="2" t="n"/>
      <c r="P8" s="2" t="n"/>
    </row>
    <row r="9" ht="13.2" customHeight="1" s="49">
      <c r="A9" s="8" t="inlineStr">
        <is>
          <t>7</t>
        </is>
      </c>
      <c r="B9" s="2"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2" t="n"/>
      <c r="D9" s="2" t="inlineStr">
        <is>
          <t>Eprex ใช้กระตุ้นสร้าง RBC</t>
        </is>
      </c>
      <c r="E9" s="2" t="inlineStr">
        <is>
          <t>Eprex ผลิตด้วยเทคนิค recombination technology</t>
        </is>
      </c>
      <c r="F9" s="2" t="inlineStr">
        <is>
          <t>Eprex ต้องเก็บไว้ที่อุณหภูมิ 2-8°C</t>
        </is>
      </c>
      <c r="G9" s="2" t="inlineStr">
        <is>
          <t>Eprex ใช้ฉีดโดยวิธี IV push เท่านั้น</t>
        </is>
      </c>
      <c r="H9" s="2" t="inlineStr">
        <is>
          <t>Eprex สามารถทำให้เกิดความดันโลหิตสูงได้</t>
        </is>
      </c>
      <c r="I9" s="8" t="n">
        <v>4</v>
      </c>
      <c r="J9" s="2"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2" t="n"/>
      <c r="L9" s="2" t="inlineStr">
        <is>
          <t>Chronic kidney diseases</t>
        </is>
      </c>
      <c r="M9" s="2" t="inlineStr">
        <is>
          <t>Clinic</t>
        </is>
      </c>
      <c r="N9" s="2" t="inlineStr">
        <is>
          <t>ข้อ 7 Pharma Plus เล่มม่วง (เฉลยข้อ ง)</t>
        </is>
      </c>
      <c r="O9" s="2" t="n"/>
      <c r="P9" s="2" t="n"/>
    </row>
    <row r="10" ht="13.2" customHeight="1" s="49">
      <c r="A10" s="8" t="inlineStr">
        <is>
          <t>8</t>
        </is>
      </c>
      <c r="B10" s="2" t="inlineStr">
        <is>
          <t>คำแนะนำใดที่ไม่เหมาะสมสำหรับผู้ป่วยไตเรื้อรัง</t>
        </is>
      </c>
      <c r="C10" s="2" t="n"/>
      <c r="D10" s="2" t="inlineStr">
        <is>
          <t>ควรรับประทานกล้วย, ส้ม, แตงโม</t>
        </is>
      </c>
      <c r="E10" s="2" t="inlineStr">
        <is>
          <t>ควรจำกัดการดื่มแอลกอฮอล์, น้ำอัดลม</t>
        </is>
      </c>
      <c r="F10" s="2" t="inlineStr">
        <is>
          <t>ควรจำกัดการรับประทานเนื้อสัตว์, เกลือ</t>
        </is>
      </c>
      <c r="G10" s="2" t="inlineStr">
        <is>
          <t>ควรจำกัดอาหารที่มีไขมันสูง</t>
        </is>
      </c>
      <c r="H10" s="2" t="inlineStr">
        <is>
          <t>ควรรับประทานอาหารที่มีเส้นใยสูง</t>
        </is>
      </c>
      <c r="I10" s="8" t="n">
        <v>1</v>
      </c>
      <c r="J10" s="2"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Chronic kidney diseases</t>
        </is>
      </c>
      <c r="M10" s="2" t="inlineStr">
        <is>
          <t>Clinic</t>
        </is>
      </c>
      <c r="N10" s="2" t="inlineStr">
        <is>
          <t>ข้อ 8 Pharma Plus เล่มม่วง (เฉลยข้อ ก)</t>
        </is>
      </c>
      <c r="O10" s="2" t="n"/>
      <c r="P10" s="2" t="n"/>
    </row>
    <row r="11" ht="13.2" customHeight="1" s="49">
      <c r="A11" s="8" t="inlineStr">
        <is>
          <t>9</t>
        </is>
      </c>
      <c r="B11" s="2" t="inlineStr">
        <is>
          <t>ผู้ป่วยมีอาการท้องผูก หลังจากรับประทานยาที่แพทย์สั่ง ท่านจะแนะนำให้ผู้ป่วยใช้ยาใด ยกเว้น</t>
        </is>
      </c>
      <c r="C11" s="2" t="n"/>
      <c r="D11" s="2" t="inlineStr">
        <is>
          <t>Bisacodyl</t>
        </is>
      </c>
      <c r="E11" s="2" t="inlineStr">
        <is>
          <t>MOM (milk of magnesia)</t>
        </is>
      </c>
      <c r="F11" s="2" t="inlineStr">
        <is>
          <t>Metamucil® (psyllium seed)</t>
        </is>
      </c>
      <c r="G11" s="2" t="inlineStr">
        <is>
          <t>Senokot® (senosides)</t>
        </is>
      </c>
      <c r="H11" s="2" t="inlineStr">
        <is>
          <t>ELPco® (emulsion liquid paraffin compound)</t>
        </is>
      </c>
      <c r="I11" s="8" t="n">
        <v>2</v>
      </c>
      <c r="J11" s="2"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Chronic kidney diseases</t>
        </is>
      </c>
      <c r="M11" s="2" t="inlineStr">
        <is>
          <t>Clinic</t>
        </is>
      </c>
      <c r="N11" s="2" t="inlineStr">
        <is>
          <t>ข้อ 9 Pharma Plus เล่มม่วง (เฉลยข้อ ข)</t>
        </is>
      </c>
      <c r="O11" s="2" t="n"/>
      <c r="P11" s="2" t="n"/>
    </row>
    <row r="12" ht="13.2" customHeight="1" s="49">
      <c r="A12" s="8" t="inlineStr">
        <is>
          <t>10</t>
        </is>
      </c>
      <c r="B12" s="2"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2" t="n"/>
      <c r="D12" s="2" t="inlineStr">
        <is>
          <t>24 mL</t>
        </is>
      </c>
      <c r="E12" s="2" t="inlineStr">
        <is>
          <t>34 mL</t>
        </is>
      </c>
      <c r="F12" s="2" t="inlineStr">
        <is>
          <t>54 mL</t>
        </is>
      </c>
      <c r="G12" s="2" t="inlineStr">
        <is>
          <t>68 mL</t>
        </is>
      </c>
      <c r="H12" s="2" t="inlineStr">
        <is>
          <t>86 mL</t>
        </is>
      </c>
      <c r="I12" s="8" t="n">
        <v>2</v>
      </c>
      <c r="J12" s="2"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Fluid &amp; Electrolyte</t>
        </is>
      </c>
      <c r="M12" s="2" t="inlineStr">
        <is>
          <t>Clinic</t>
        </is>
      </c>
      <c r="N12" s="2" t="inlineStr">
        <is>
          <t>ข้อ 10 Pharma Plus เล่มม่วง (เฉลยข้อ ข)</t>
        </is>
      </c>
      <c r="O12" s="2" t="n"/>
      <c r="P12" s="2" t="n"/>
    </row>
    <row r="13" ht="13.2" customHeight="1" s="49">
      <c r="A13" s="8" t="inlineStr">
        <is>
          <t>11</t>
        </is>
      </c>
      <c r="B13" s="2" t="inlineStr">
        <is>
          <t>ผู้ป่วยต้องการดื่มน้ำผลไม้ น้ำผลไม้ชนิดใดต่อไปนี้สามารถแนะนำให้ผู้ป่วยรับประทานได้</t>
        </is>
      </c>
      <c r="C13" s="2" t="n"/>
      <c r="D13" s="2" t="inlineStr">
        <is>
          <t>น้ำลูกยอ</t>
        </is>
      </c>
      <c r="E13" s="2" t="inlineStr">
        <is>
          <t>น้ำส้ม</t>
        </is>
      </c>
      <c r="F13" s="2" t="inlineStr">
        <is>
          <t>น้ำแตงโม</t>
        </is>
      </c>
      <c r="G13" s="2" t="inlineStr">
        <is>
          <t>น้ำกระเจี๊ยบ</t>
        </is>
      </c>
      <c r="H13" s="2" t="inlineStr">
        <is>
          <t>น้ำกล้วยหอมปั่น</t>
        </is>
      </c>
      <c r="I13" s="8" t="n">
        <v>3</v>
      </c>
      <c r="J13" s="2"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2" t="n"/>
      <c r="L13" s="2" t="inlineStr">
        <is>
          <t>Chronic kidney diseases</t>
        </is>
      </c>
      <c r="M13" s="2" t="inlineStr">
        <is>
          <t>Clinic</t>
        </is>
      </c>
      <c r="N13" s="2" t="inlineStr">
        <is>
          <t>ข้อ 11 Pharma Plus เล่มม่วง (เฉลยข้อ ค)</t>
        </is>
      </c>
      <c r="O13" s="2" t="n"/>
      <c r="P13" s="2" t="n"/>
    </row>
    <row r="14" ht="13.2" customHeight="1" s="49">
      <c r="A14" s="8" t="inlineStr">
        <is>
          <t>12</t>
        </is>
      </c>
      <c r="B14" s="2" t="inlineStr">
        <is>
          <t>ผู้ป่วยมาพบแพทย์ด้วยอาการไอแห้ง ไม่มีน้ำมูก ไม่มีไข้ ท่านคิดว่าน่าจะเกิดจากยาตัวใด</t>
        </is>
      </c>
      <c r="C14" s="2" t="n"/>
      <c r="D14" s="2" t="inlineStr">
        <is>
          <t>Sodamint</t>
        </is>
      </c>
      <c r="E14" s="2" t="inlineStr">
        <is>
          <t>Enalapril</t>
        </is>
      </c>
      <c r="F14" s="2" t="inlineStr">
        <is>
          <t>CaCO3</t>
        </is>
      </c>
      <c r="G14" s="2" t="inlineStr">
        <is>
          <t>Folic acid</t>
        </is>
      </c>
      <c r="H14" s="2" t="inlineStr">
        <is>
          <t>1alpha-VitD3</t>
        </is>
      </c>
      <c r="I14" s="8" t="n">
        <v>2</v>
      </c>
      <c r="J14" s="2"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2" t="n"/>
      <c r="L14" s="2" t="inlineStr">
        <is>
          <t>Chronic kidney diseases</t>
        </is>
      </c>
      <c r="M14" s="2" t="inlineStr">
        <is>
          <t>Clinic</t>
        </is>
      </c>
      <c r="N14" s="2" t="inlineStr">
        <is>
          <t>ข้อ 12 Pharma Plus เล่มม่วง (เฉลยข้อ ข)</t>
        </is>
      </c>
      <c r="O14" s="2" t="n"/>
      <c r="P14" s="2" t="n"/>
    </row>
    <row r="15" ht="13.2" customHeight="1" s="49">
      <c r="A15" s="8" t="inlineStr">
        <is>
          <t>13</t>
        </is>
      </c>
      <c r="B15" s="2"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2" t="n"/>
      <c r="D15" s="2" t="inlineStr">
        <is>
          <t>Prednisolone</t>
        </is>
      </c>
      <c r="E15" s="2" t="inlineStr">
        <is>
          <t>Cyclosporine</t>
        </is>
      </c>
      <c r="F15" s="2" t="inlineStr">
        <is>
          <t>Tacrolimus</t>
        </is>
      </c>
      <c r="G15" s="2" t="inlineStr">
        <is>
          <t>Leucovorin</t>
        </is>
      </c>
      <c r="H15" s="2" t="inlineStr">
        <is>
          <t>Mycophenolate mofetil</t>
        </is>
      </c>
      <c r="I15" s="8" t="n">
        <v>4</v>
      </c>
      <c r="J15" s="2"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2" t="n"/>
      <c r="L15" s="2" t="inlineStr">
        <is>
          <t>Chronic kidney diseases</t>
        </is>
      </c>
      <c r="M15" s="2" t="inlineStr">
        <is>
          <t>Clinic</t>
        </is>
      </c>
      <c r="N15" s="2" t="inlineStr">
        <is>
          <t>ข้อ 13 Pharma Plus เล่มม่วง (เฉลยข้อ ง)</t>
        </is>
      </c>
      <c r="O15" s="2" t="n"/>
      <c r="P15" s="2" t="n"/>
    </row>
    <row r="16" ht="13.2" customHeight="1" s="49">
      <c r="A16" s="8" t="inlineStr">
        <is>
          <t>14</t>
        </is>
      </c>
      <c r="B16"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2" t="n"/>
      <c r="D16" s="2" t="inlineStr">
        <is>
          <t>10 mL/min</t>
        </is>
      </c>
      <c r="E16" s="2" t="inlineStr">
        <is>
          <t>15 mL/min</t>
        </is>
      </c>
      <c r="F16" s="2" t="inlineStr">
        <is>
          <t>20 mL/min</t>
        </is>
      </c>
      <c r="G16" s="2" t="inlineStr">
        <is>
          <t>25 mL/min</t>
        </is>
      </c>
      <c r="H16" s="2" t="inlineStr">
        <is>
          <t>30 mL/min</t>
        </is>
      </c>
      <c r="I16" s="8" t="n">
        <v>4</v>
      </c>
      <c r="J16" s="2"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2" t="n"/>
      <c r="L16" s="2" t="inlineStr">
        <is>
          <t>Chronic kidney diseases</t>
        </is>
      </c>
      <c r="M16" s="2" t="inlineStr">
        <is>
          <t>Clinic</t>
        </is>
      </c>
      <c r="N16" s="2" t="inlineStr">
        <is>
          <t>ข้อ 14 Pharma Plus เล่มม่วง (เฉลยข้อ ง)</t>
        </is>
      </c>
      <c r="O16" s="2" t="n"/>
      <c r="P16" s="2" t="n"/>
    </row>
    <row r="17" ht="13.2" customHeight="1" s="49">
      <c r="A17" s="8" t="inlineStr">
        <is>
          <t>15</t>
        </is>
      </c>
      <c r="B17" s="2"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2" t="n"/>
      <c r="D17" s="2" t="inlineStr">
        <is>
          <t>Hypovolemia</t>
        </is>
      </c>
      <c r="E17" s="2" t="inlineStr">
        <is>
          <t>Bleeding</t>
        </is>
      </c>
      <c r="F17" s="2" t="inlineStr">
        <is>
          <t>Rhabdomyolysis</t>
        </is>
      </c>
      <c r="G17" s="2" t="inlineStr">
        <is>
          <t>ได้รับยา nephrotoxic</t>
        </is>
      </c>
      <c r="H17" s="2" t="inlineStr">
        <is>
          <t>นิ่ว</t>
        </is>
      </c>
      <c r="I17" s="8" t="n">
        <v>3</v>
      </c>
      <c r="J17" s="2"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2" t="n"/>
      <c r="L17" s="2" t="inlineStr">
        <is>
          <t>Chronic kidney diseases</t>
        </is>
      </c>
      <c r="M17" s="2" t="inlineStr">
        <is>
          <t>Clinic</t>
        </is>
      </c>
      <c r="N17" s="2" t="inlineStr">
        <is>
          <t>ข้อ 15 Pharma Plus เล่มม่วง (เฉลยข้อ ค)</t>
        </is>
      </c>
      <c r="O17" s="2" t="n"/>
      <c r="P17" s="2" t="n"/>
    </row>
    <row r="18" ht="13.2" customHeight="1" s="49">
      <c r="A18" s="8" t="inlineStr">
        <is>
          <t>16</t>
        </is>
      </c>
      <c r="B18" s="2" t="inlineStr">
        <is>
          <t>ภาวะ oliguria คือข้อใด</t>
        </is>
      </c>
      <c r="C18" s="2" t="n"/>
      <c r="D18" s="2" t="inlineStr">
        <is>
          <t>ภาวะปัสสาวะมากกว่าปกติ</t>
        </is>
      </c>
      <c r="E18" s="2" t="inlineStr">
        <is>
          <t>ภาวะปัสสาวะน้อยกว่าปกติ</t>
        </is>
      </c>
      <c r="F18" s="2" t="inlineStr">
        <is>
          <t>ภาวะปัสสาวะใกล้เคียงกับปกติ</t>
        </is>
      </c>
      <c r="G18" s="2" t="inlineStr">
        <is>
          <t>ภาวะเม็ดเลือดในปัสสาวะ</t>
        </is>
      </c>
      <c r="H18" s="2" t="inlineStr">
        <is>
          <t>ภาวะโปรตีนในปัสสาวะ</t>
        </is>
      </c>
      <c r="I18" s="8" t="n">
        <v>2</v>
      </c>
      <c r="J18" s="2"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2" t="n"/>
      <c r="L18" s="2" t="inlineStr">
        <is>
          <t>Chronic kidney diseases</t>
        </is>
      </c>
      <c r="M18" s="2" t="inlineStr">
        <is>
          <t>Clinic</t>
        </is>
      </c>
      <c r="N18" s="2" t="inlineStr">
        <is>
          <t>ข้อ 16 Pharma Plus เล่มม่วง (เฉลยข้อ ข)</t>
        </is>
      </c>
      <c r="O18" s="2" t="n"/>
      <c r="P18" s="2" t="n"/>
    </row>
    <row r="19" ht="13.2" customHeight="1" s="49">
      <c r="A19" s="8" t="inlineStr">
        <is>
          <t>17</t>
        </is>
      </c>
      <c r="B19" s="2" t="inlineStr">
        <is>
          <t>อาการข้างต้น อาจเกิดได้จากยาในข้อใด</t>
        </is>
      </c>
      <c r="C19" s="2" t="n"/>
      <c r="D19" s="2" t="inlineStr">
        <is>
          <t>Atenolol</t>
        </is>
      </c>
      <c r="E19" s="2" t="inlineStr">
        <is>
          <t>Simvastatin</t>
        </is>
      </c>
      <c r="F19" s="2" t="inlineStr">
        <is>
          <t>Aspirin</t>
        </is>
      </c>
      <c r="G19" s="2" t="inlineStr">
        <is>
          <t>Hydralazine</t>
        </is>
      </c>
      <c r="H19" s="2" t="inlineStr">
        <is>
          <t>Felodipine</t>
        </is>
      </c>
      <c r="I19" s="8" t="n">
        <v>2</v>
      </c>
      <c r="J19" s="2"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2" t="n"/>
      <c r="L19" s="2" t="inlineStr">
        <is>
          <t>Chronic kidney diseases</t>
        </is>
      </c>
      <c r="M19" s="2" t="inlineStr">
        <is>
          <t>Clinic</t>
        </is>
      </c>
      <c r="N19" s="2" t="inlineStr">
        <is>
          <t>ข้อ 17 Pharma Plus เล่มม่วง (เฉลยข้อ ข)</t>
        </is>
      </c>
      <c r="O19" s="2" t="n"/>
      <c r="P19" s="2" t="n"/>
    </row>
    <row r="20" ht="13.2" customHeight="1" s="49">
      <c r="A20" s="8" t="inlineStr">
        <is>
          <t>18</t>
        </is>
      </c>
      <c r="B20" s="2" t="inlineStr">
        <is>
          <t>ในภาวะข้างต้น ผู้ป่วยควรได้รับการรักษาในข้อมากที่สุด ในการปรับสมดุลอิเล็กโทรไลต์</t>
        </is>
      </c>
      <c r="C20" s="2" t="n"/>
      <c r="D20" s="2" t="inlineStr">
        <is>
          <t>Dextrose + insulin</t>
        </is>
      </c>
      <c r="E20" s="2" t="inlineStr">
        <is>
          <t>Erythropoietin</t>
        </is>
      </c>
      <c r="F20" s="2" t="inlineStr">
        <is>
          <t>Sodium bicarbonate</t>
        </is>
      </c>
      <c r="G20" s="2" t="inlineStr">
        <is>
          <t>Calcitriol</t>
        </is>
      </c>
      <c r="H20" s="2" t="inlineStr">
        <is>
          <t>Calcium carbonate</t>
        </is>
      </c>
      <c r="I20" s="8" t="n">
        <v>1</v>
      </c>
      <c r="J20" s="2"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2" t="n"/>
      <c r="L20" s="2" t="inlineStr">
        <is>
          <t>Chronic kidney diseases</t>
        </is>
      </c>
      <c r="M20" s="2" t="inlineStr">
        <is>
          <t>Clinic</t>
        </is>
      </c>
      <c r="N20" s="2" t="inlineStr">
        <is>
          <t>ข้อ 18 Pharma Plus เล่มม่วง (เฉลยข้อ ก)</t>
        </is>
      </c>
      <c r="O20" s="2" t="n"/>
      <c r="P20" s="2" t="n"/>
    </row>
    <row r="21" ht="13.2" customHeight="1" s="49">
      <c r="A21" s="8" t="inlineStr">
        <is>
          <t>19</t>
        </is>
      </c>
      <c r="B21" s="2" t="inlineStr">
        <is>
          <t>ข้อใดเป็นผลกระทบเกี่ยวกับสมดุลอิเล็กโทรไลต์จากการใช้ยา oral corticosteroids</t>
        </is>
      </c>
      <c r="C21" s="2" t="n"/>
      <c r="D21" s="2" t="inlineStr">
        <is>
          <t>Hyperkalemia</t>
        </is>
      </c>
      <c r="E21" s="2" t="inlineStr">
        <is>
          <t>Hyponatremia</t>
        </is>
      </c>
      <c r="F21" s="2" t="inlineStr">
        <is>
          <t>Hypocalcemia</t>
        </is>
      </c>
      <c r="G21" s="2" t="inlineStr">
        <is>
          <t>Hypokalemia</t>
        </is>
      </c>
      <c r="H21" s="2" t="inlineStr">
        <is>
          <t>Hyperchloremic</t>
        </is>
      </c>
      <c r="I21" s="8" t="n">
        <v>4</v>
      </c>
      <c r="J21" s="2"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2" t="n"/>
      <c r="L21" s="2" t="inlineStr">
        <is>
          <t>Fluid &amp; Electrolyte</t>
        </is>
      </c>
      <c r="M21" s="2" t="inlineStr">
        <is>
          <t>Clinic</t>
        </is>
      </c>
      <c r="N21" s="2" t="inlineStr">
        <is>
          <t>ข้อ 19 Pharma Plus เล่มม่วง (เฉลยข้อ ง)</t>
        </is>
      </c>
      <c r="O21" s="2" t="n"/>
      <c r="P21" s="2" t="n"/>
    </row>
    <row r="22" ht="13.2" customHeight="1" s="49">
      <c r="A22" s="8" t="inlineStr">
        <is>
          <t>20</t>
        </is>
      </c>
      <c r="B22" s="2"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2" t="n"/>
      <c r="D22" s="2" t="inlineStr">
        <is>
          <t>ผู้ป่วยเป็นโรคความดันโลหิตสูงและเบาหวาน</t>
        </is>
      </c>
      <c r="E22" s="2" t="inlineStr">
        <is>
          <t>ผู้ป่วยเป็นโรคเกาต์</t>
        </is>
      </c>
      <c r="F22" s="2" t="inlineStr">
        <is>
          <t>สูบบุหรี่วันละ 1 ซอง</t>
        </is>
      </c>
      <c r="G22" s="2" t="inlineStr">
        <is>
          <t>ไม่ค่อยออกกำลังกาย</t>
        </is>
      </c>
      <c r="H22" s="2" t="inlineStr">
        <is>
          <t>มีอาชีพเป็นทนาย</t>
        </is>
      </c>
      <c r="I22" s="8" t="n">
        <v>1</v>
      </c>
      <c r="J22" s="2"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2" t="n"/>
      <c r="L22" s="2" t="inlineStr">
        <is>
          <t>Chronic kidney diseases</t>
        </is>
      </c>
      <c r="M22" s="2" t="inlineStr">
        <is>
          <t>Clinic</t>
        </is>
      </c>
      <c r="N22" s="2" t="inlineStr">
        <is>
          <t>ข้อ 20 Pharma Plus เล่มม่วง (เฉลยข้อ ก)</t>
        </is>
      </c>
      <c r="O22" s="2" t="n"/>
      <c r="P22" s="2" t="n"/>
    </row>
    <row r="23" ht="13.2" customHeight="1" s="49">
      <c r="A23" s="8" t="inlineStr">
        <is>
          <t>21</t>
        </is>
      </c>
      <c r="B23" s="2" t="inlineStr">
        <is>
          <t>ผู้ป่วยมีภาวะ fluid retention ควรได้รับยาใด</t>
        </is>
      </c>
      <c r="C23" s="2" t="n"/>
      <c r="D23" s="2" t="inlineStr">
        <is>
          <t>HCTZ</t>
        </is>
      </c>
      <c r="E23" s="2" t="inlineStr">
        <is>
          <t>Amirolide</t>
        </is>
      </c>
      <c r="F23" s="2" t="inlineStr">
        <is>
          <t>Furosemide</t>
        </is>
      </c>
      <c r="G23" s="2" t="inlineStr">
        <is>
          <t>Acetazolamide</t>
        </is>
      </c>
      <c r="H23" s="2" t="inlineStr">
        <is>
          <t>HCTZ+Amirolide</t>
        </is>
      </c>
      <c r="I23" s="8" t="n">
        <v>3</v>
      </c>
      <c r="J23" s="2"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2" t="n"/>
      <c r="L23" s="2" t="inlineStr">
        <is>
          <t>Chronic kidney diseases</t>
        </is>
      </c>
      <c r="M23" s="2" t="inlineStr">
        <is>
          <t>Clinic</t>
        </is>
      </c>
      <c r="N23" s="2" t="inlineStr">
        <is>
          <t>ข้อ 21 Pharma Plus เล่มม่วง (เฉลยข้อ ค)</t>
        </is>
      </c>
      <c r="O23" s="2" t="n"/>
      <c r="P23" s="2" t="n"/>
    </row>
    <row r="24" ht="13.2" customHeight="1" s="49">
      <c r="A24" s="8" t="inlineStr">
        <is>
          <t>22</t>
        </is>
      </c>
      <c r="B24" s="2"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2" t="n"/>
      <c r="D24" s="2" t="inlineStr">
        <is>
          <t>ไตวายเฉียบพลัน จากยา enalapril</t>
        </is>
      </c>
      <c r="E24" s="2" t="inlineStr">
        <is>
          <t>ไตวายเฉียบพลัน จากยา hydrochlorothiazide</t>
        </is>
      </c>
      <c r="F24" s="2" t="inlineStr">
        <is>
          <t>ไตวายเฉียบพลัน จากภาวะ dehydration</t>
        </is>
      </c>
      <c r="G24" s="2" t="inlineStr">
        <is>
          <t>ไตวายเรื้อรัง จากโรคความดันโลหิตสูง</t>
        </is>
      </c>
      <c r="H24" s="2" t="inlineStr">
        <is>
          <t>ไตวายเรื้อรัง จากการมีนิ่วอุดตันในท่อไต</t>
        </is>
      </c>
      <c r="I24" s="8" t="n">
        <v>4</v>
      </c>
      <c r="J24" s="2"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2" t="n"/>
      <c r="L24" s="2" t="inlineStr">
        <is>
          <t>Chronic kidney diseases</t>
        </is>
      </c>
      <c r="M24" s="2" t="inlineStr">
        <is>
          <t>Clinic</t>
        </is>
      </c>
      <c r="N24" s="2" t="inlineStr">
        <is>
          <t>ข้อ 22 Pharma Plus เล่มม่วง (เฉลยข้อ ง)</t>
        </is>
      </c>
      <c r="O24" s="2" t="n"/>
      <c r="P24" s="2" t="n"/>
    </row>
    <row r="25" ht="13.2" customHeight="1" s="49">
      <c r="A25" s="8" t="inlineStr">
        <is>
          <t>23</t>
        </is>
      </c>
      <c r="B25" s="2" t="inlineStr">
        <is>
          <t>Hydrochlorothiazide (HCTZ) ออกฤทธิ์ยับยั้งกระบวนการในข้อใด</t>
        </is>
      </c>
      <c r="C25" s="2" t="n"/>
      <c r="D25" s="2" t="inlineStr">
        <is>
          <t>Vasopressin's action</t>
        </is>
      </c>
      <c r="E25" s="2" t="inlineStr">
        <is>
          <t>Reabsorption of Na⁺</t>
        </is>
      </c>
      <c r="F25" s="2" t="inlineStr">
        <is>
          <t>Na⁺/K⁺/2Cl⁻ symporter</t>
        </is>
      </c>
      <c r="G25" s="2" t="inlineStr">
        <is>
          <t>Na⁺/K⁺ exchanger</t>
        </is>
      </c>
      <c r="H25" s="2" t="inlineStr">
        <is>
          <t>Reabsorption by Na⁺/Cl⁻ symporter</t>
        </is>
      </c>
      <c r="I25" s="8" t="n">
        <v>5</v>
      </c>
      <c r="J25" s="2"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2" t="n"/>
      <c r="L25" s="2" t="inlineStr">
        <is>
          <t>Chronic kidney diseases</t>
        </is>
      </c>
      <c r="M25" s="2" t="inlineStr">
        <is>
          <t>Clinic</t>
        </is>
      </c>
      <c r="N25" s="2" t="inlineStr">
        <is>
          <t>ข้อ 23 Pharma Plus เล่มม่วง (เฉลยข้อ จ)</t>
        </is>
      </c>
      <c r="O25" s="2" t="n"/>
      <c r="P25" s="2" t="n"/>
    </row>
    <row r="26" ht="13.2" customHeight="1" s="49">
      <c r="A26" s="8" t="inlineStr">
        <is>
          <t>24</t>
        </is>
      </c>
      <c r="B26" s="2" t="inlineStr">
        <is>
          <t>ผู้ป่วยมีภาวะ fluid retention การรักษาใดที่ไม่เหมาะสม</t>
        </is>
      </c>
      <c r="C26" s="2" t="n"/>
      <c r="D26" s="2" t="inlineStr">
        <is>
          <t>จำกัดน้ำ</t>
        </is>
      </c>
      <c r="E26" s="2" t="inlineStr">
        <is>
          <t>ให้ยาขับปัสสาวะ</t>
        </is>
      </c>
      <c r="F26" s="2" t="inlineStr">
        <is>
          <t>ควบคุมความดันด้วยยา enalapril ต่อ</t>
        </is>
      </c>
      <c r="G26" s="2" t="inlineStr">
        <is>
          <t>รักษา CHF ด้วยยา digoxin</t>
        </is>
      </c>
      <c r="H26" s="2" t="inlineStr">
        <is>
          <t>ทำ hemodialysis</t>
        </is>
      </c>
      <c r="I26" s="8" t="n">
        <v>5</v>
      </c>
      <c r="J26" s="2"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2" t="n"/>
      <c r="L26" s="2" t="inlineStr">
        <is>
          <t>Chronic kidney diseases</t>
        </is>
      </c>
      <c r="M26" s="2" t="inlineStr">
        <is>
          <t>Clinic</t>
        </is>
      </c>
      <c r="N26" s="2" t="inlineStr">
        <is>
          <t>ข้อ 24 Pharma Plus เล่มม่วง (เฉลยข้อ จ)</t>
        </is>
      </c>
      <c r="O26" s="2" t="n"/>
      <c r="P26" s="2" t="n"/>
    </row>
    <row r="27" ht="13.2" customHeight="1" s="49">
      <c r="A27" s="8" t="inlineStr">
        <is>
          <t>25</t>
        </is>
      </c>
      <c r="B27" s="2" t="inlineStr">
        <is>
          <t>แพทย์พิจารณาจ่ายยาขับปัสสาวะ ยาใดเหมาะสมที่สุดในผู้ป่วยรายนี้</t>
        </is>
      </c>
      <c r="C27" s="2" t="n"/>
      <c r="D27" s="2" t="inlineStr">
        <is>
          <t>HCTZ</t>
        </is>
      </c>
      <c r="E27" s="2" t="inlineStr">
        <is>
          <t>Spironolactone</t>
        </is>
      </c>
      <c r="F27" s="2" t="inlineStr">
        <is>
          <t>Ethacrynic acid</t>
        </is>
      </c>
      <c r="G27" s="2" t="inlineStr">
        <is>
          <t>Furosemide</t>
        </is>
      </c>
      <c r="H27" s="2" t="inlineStr">
        <is>
          <t>Amiloride</t>
        </is>
      </c>
      <c r="I27" s="8" t="n">
        <v>4</v>
      </c>
      <c r="J27" s="2"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2" t="n"/>
      <c r="L27" s="2" t="inlineStr">
        <is>
          <t>Chronic kidney diseases</t>
        </is>
      </c>
      <c r="M27" s="2" t="inlineStr">
        <is>
          <t>Clinic</t>
        </is>
      </c>
      <c r="N27" s="2" t="inlineStr">
        <is>
          <t>ข้อ 25 Pharma Plus เล่มม่วง (เฉลยข้อ ง)</t>
        </is>
      </c>
      <c r="O27" s="2" t="n"/>
      <c r="P27" s="2" t="n"/>
    </row>
    <row r="28" ht="13.2" customHeight="1" s="49">
      <c r="A28" s="8" t="inlineStr">
        <is>
          <t>26</t>
        </is>
      </c>
      <c r="B28" s="2" t="inlineStr">
        <is>
          <t>อาการข้างเคียงจากการใช้ยาขับปัสสาวะดังกล่าวข้างต้นคือข้อใด</t>
        </is>
      </c>
      <c r="C28" s="2" t="n"/>
      <c r="D28" s="2" t="inlineStr">
        <is>
          <t>Hypocalcemia</t>
        </is>
      </c>
      <c r="E28" s="2" t="inlineStr">
        <is>
          <t>Hyponatremia</t>
        </is>
      </c>
      <c r="F28" s="2" t="inlineStr">
        <is>
          <t>Hypokalemia</t>
        </is>
      </c>
      <c r="G28" s="2" t="inlineStr">
        <is>
          <t>Hypercalcemia</t>
        </is>
      </c>
      <c r="H28" s="2" t="inlineStr">
        <is>
          <t>Acidosis</t>
        </is>
      </c>
      <c r="I28" s="8" t="n">
        <v>1</v>
      </c>
      <c r="J28" s="2"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2" t="n"/>
      <c r="L28" s="2" t="inlineStr">
        <is>
          <t>Chronic kidney diseases</t>
        </is>
      </c>
      <c r="M28" s="2" t="inlineStr">
        <is>
          <t>Clinic</t>
        </is>
      </c>
      <c r="N28" s="2" t="inlineStr">
        <is>
          <t>ข้อ 26 Pharma Plus เล่มม่วง (เฉลยข้อ ก ค)</t>
        </is>
      </c>
      <c r="O28" s="2" t="n"/>
      <c r="P28" s="2" t="n"/>
    </row>
    <row r="29" ht="13.2" customHeight="1" s="49">
      <c r="A29" s="8" t="inlineStr">
        <is>
          <t>28</t>
        </is>
      </c>
      <c r="B29" s="2" t="inlineStr">
        <is>
          <t>of oxidation is increased by the addition of alkali or by exposure to light. (ใช้ตอบข้อ 57-58)
ควรให้ยาใด</t>
        </is>
      </c>
      <c r="C29" s="2" t="n"/>
      <c r="D29" s="2" t="inlineStr">
        <is>
          <t>Atezolizumab + Bevacizumab</t>
        </is>
      </c>
      <c r="E29" s="2" t="inlineStr">
        <is>
          <t>Amivantamab + Lazertinib</t>
        </is>
      </c>
      <c r="F29" s="2" t="inlineStr">
        <is>
          <t>Carboplatin + Paclitaxel</t>
        </is>
      </c>
      <c r="G29" s="2" t="inlineStr">
        <is>
          <t>Osimertinib + Pemetrexed</t>
        </is>
      </c>
      <c r="H29" s="2" t="inlineStr">
        <is>
          <t>จับ EGFR หยุดสัญญาณกระตุ้นเซลล์</t>
        </is>
      </c>
      <c r="I29" s="8" t="n">
        <v>3</v>
      </c>
      <c r="J29" s="2"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2" t="n"/>
      <c r="L29" s="2" t="inlineStr">
        <is>
          <t>Chronic kidney diseases</t>
        </is>
      </c>
      <c r="M29" s="2" t="inlineStr">
        <is>
          <t>CKD/AKI</t>
        </is>
      </c>
      <c r="N29" s="2" t="inlineStr">
        <is>
          <t>Mock PLE-CC 1 ข้อ 66</t>
        </is>
      </c>
      <c r="O29" s="2" t="n"/>
      <c r="P29" s="2" t="n"/>
      <c r="Q29" s="2" t="n"/>
    </row>
    <row r="30" ht="13.2" customHeight="1" s="49">
      <c r="A30" s="8" t="inlineStr">
        <is>
          <t>29</t>
        </is>
      </c>
      <c r="B30" s="2" t="inlineStr">
        <is>
          <t>ยาที่เลือกข้อก่อนหน้า เกี่ยวกับ biomaker ใด</t>
        </is>
      </c>
      <c r="C30" s="2" t="n"/>
      <c r="D30" s="2" t="inlineStr">
        <is>
          <t>จับกับ MHC class 1 เพิ่ม antigen presentation</t>
        </is>
      </c>
      <c r="E30" s="2" t="inlineStr">
        <is>
          <t>จับ CTLA-4 บน T cell เพิ่มการทำงานของ Treg</t>
        </is>
      </c>
      <c r="F30" s="2" t="inlineStr">
        <is>
          <t>จับ PD-L1 บน tumor cell เพิ่ม clt</t>
        </is>
      </c>
      <c r="G30" s="2" t="inlineStr">
        <is>
          <t>จับ PD-1 บน T cell ลดการจับกันของ PD-1/PD-L1 ส่งผลให้ฟื้นการทำงานของ T cell</t>
        </is>
      </c>
      <c r="H30" s="2" t="inlineStr">
        <is>
          <t>จับ EGFR หยุดสัญญาณกระตุ้นเซลล์</t>
        </is>
      </c>
      <c r="I30" s="8" t="n">
        <v>2</v>
      </c>
      <c r="J30" s="2"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2" t="n"/>
      <c r="L30" s="2" t="inlineStr">
        <is>
          <t>Chronic kidney diseases</t>
        </is>
      </c>
      <c r="M30" s="2" t="inlineStr">
        <is>
          <t>CKD/AKI</t>
        </is>
      </c>
      <c r="N30" s="2" t="inlineStr">
        <is>
          <t>Mock PLE-CC 1 ข้อ 69</t>
        </is>
      </c>
      <c r="O30" s="2" t="n"/>
      <c r="P30" s="2" t="n"/>
      <c r="Q30" s="2" t="n"/>
    </row>
    <row r="31" ht="13.2" customHeight="1" s="49">
      <c r="A31" s="8" t="inlineStr">
        <is>
          <t>30</t>
        </is>
      </c>
      <c r="B31" s="2" t="inlineStr">
        <is>
          <t>ถัา EGFR exon 19 deletion positive ต้องเปลี่ยนการรักษาเป็นอะไร</t>
        </is>
      </c>
      <c r="C31" s="2" t="n"/>
      <c r="D31" s="2" t="inlineStr">
        <is>
          <t>รักษาแบบเดิม</t>
        </is>
      </c>
      <c r="E31" s="2" t="inlineStr">
        <is>
          <t>Pembrolizumab</t>
        </is>
      </c>
      <c r="F31" s="2" t="inlineStr">
        <is>
          <t>Ceftuximab</t>
        </is>
      </c>
      <c r="G31" s="2" t="inlineStr">
        <is>
          <t>Bevacizumab + carboplatin + paciltaxel</t>
        </is>
      </c>
      <c r="H31" s="2" t="inlineStr">
        <is>
          <t>EGFR TKI target therapy</t>
        </is>
      </c>
      <c r="I31" s="8" t="n">
        <v>1</v>
      </c>
      <c r="J31" s="2"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2" t="n"/>
      <c r="L31" s="2" t="inlineStr">
        <is>
          <t>Chronic kidney diseases</t>
        </is>
      </c>
      <c r="M31" s="2" t="inlineStr">
        <is>
          <t>CKD/AKI</t>
        </is>
      </c>
      <c r="N31" s="2" t="inlineStr">
        <is>
          <t>Mock PLE-CC 1 ข้อ 70</t>
        </is>
      </c>
      <c r="O31" s="2" t="n"/>
      <c r="P31" s="2" t="n"/>
      <c r="Q31" s="2" t="n"/>
    </row>
    <row r="32" ht="13.2" customHeight="1" s="49">
      <c r="A32" s="8" t="inlineStr">
        <is>
          <t>31</t>
        </is>
      </c>
      <c r="B32" s="2" t="inlineStr">
        <is>
          <t>Immune checkpoint inhibitor (ICI) ใน NSCLC (non-small cell lung cancer) อะไรบ่งบอกว่าการรักษาดีขึ้น</t>
        </is>
      </c>
      <c r="C32" s="2" t="n"/>
      <c r="D32" s="2" t="inlineStr">
        <is>
          <t>CEA (Carcinoembryonic antigen)</t>
        </is>
      </c>
      <c r="E32" s="2" t="inlineStr">
        <is>
          <t>TPS ของ PD-L1 (Tumor Proportion Score of PD-L1)</t>
        </is>
      </c>
      <c r="F32" s="2" t="inlineStr">
        <is>
          <t>TMB ต ่า (Tumor Mutational Burden ต ่า)</t>
        </is>
      </c>
      <c r="G32" s="2" t="inlineStr">
        <is>
          <t>LDH ในเลือด (Lactate dehydrogenase)</t>
        </is>
      </c>
      <c r="H32" s="2" t="inlineStr">
        <is>
          <t>EGFR exon 19 deletion express</t>
        </is>
      </c>
      <c r="I32" s="8" t="n">
        <v>1</v>
      </c>
      <c r="J32" s="2"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2" t="n"/>
      <c r="L32" s="2" t="inlineStr">
        <is>
          <t>Chronic kidney diseases</t>
        </is>
      </c>
      <c r="M32" s="2" t="inlineStr">
        <is>
          <t>CKD/AKI</t>
        </is>
      </c>
      <c r="N32" s="2" t="inlineStr">
        <is>
          <t>Mock PLE-CC 1 ข้อ 77</t>
        </is>
      </c>
      <c r="O32" s="2" t="n"/>
      <c r="P32" s="2" t="n"/>
      <c r="Q32" s="2" t="n"/>
    </row>
    <row r="33" ht="13.2" customHeight="1" s="49">
      <c r="A33" s="8" t="inlineStr">
        <is>
          <t>32</t>
        </is>
      </c>
      <c r="B33" s="2" t="inlineStr">
        <is>
          <t>กลไกที่ทำให้เกิด exon 19 deletion บน EGFR ส่งผลต่อกลไกการทำงานของ EGFR tyrosine kinase inhibitor
ยังไง</t>
        </is>
      </c>
      <c r="C33" s="2" t="n"/>
      <c r="D33" s="2" t="inlineStr">
        <is>
          <t>CKD/AKI</t>
        </is>
      </c>
      <c r="E33" s="2" t="inlineStr">
        <is>
          <t>ส่งผลต่อการจับ ligand</t>
        </is>
      </c>
      <c r="F33" s="2" t="inlineStr">
        <is>
          <t>ยับยั้งการแสดงออกของ BCL</t>
        </is>
      </c>
      <c r="G33" s="2" t="inlineStr">
        <is>
          <t>Furosemide 40 mg IV/PO OD</t>
        </is>
      </c>
      <c r="H33" s="2" t="inlineStr">
        <is>
          <t>Erythropoietin (EPO) 4000 units SC weekly</t>
        </is>
      </c>
      <c r="I33" s="8" t="n">
        <v>1</v>
      </c>
      <c r="J33" s="2"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2" t="n"/>
      <c r="L33" s="2" t="inlineStr">
        <is>
          <t>Chronic kidney diseases</t>
        </is>
      </c>
      <c r="M33" s="2" t="inlineStr">
        <is>
          <t>CKD/AKI</t>
        </is>
      </c>
      <c r="N33" s="2" t="inlineStr">
        <is>
          <t>Mock PLE-CC 1 ข้อ 80</t>
        </is>
      </c>
      <c r="O33" s="2" t="n"/>
      <c r="P33" s="2" t="n"/>
    </row>
    <row r="34" ht="13.2" customHeight="1" s="49">
      <c r="A34" s="8" t="inlineStr">
        <is>
          <t>33</t>
        </is>
      </c>
      <c r="B34" s="2" t="inlineStr">
        <is>
          <t>การกลายพันธุ์ของ T790M ของ EGFR ใน NSCLC ทำให้ผู้ป่วยดื้อต่อยา Gifitinib กับ Erlotinib กลไกคืออะไร</t>
        </is>
      </c>
      <c r="C34" s="2" t="n"/>
      <c r="D34" s="2" t="inlineStr">
        <is>
          <t>เพิ่มการจับ ATP ที่ kinase domain</t>
        </is>
      </c>
      <c r="E34" s="2" t="inlineStr">
        <is>
          <t>เพิ่ม Stearic hindrance ทำให้ไม่จับ ATP ที่ binding pocket</t>
        </is>
      </c>
      <c r="F34" s="2" t="inlineStr">
        <is>
          <t>เพิ่มการแสดงออก EGFR บนเยื่อหุ้ม Cellผิวเซลล์</t>
        </is>
      </c>
      <c r="G34" s="2" t="inlineStr">
        <is>
          <t>Internalization และ degradation ลดลง</t>
        </is>
      </c>
      <c r="H34" s="2" t="inlineStr">
        <is>
          <t>HER2 dimerization</t>
        </is>
      </c>
      <c r="I34" s="8" t="n">
        <v>3</v>
      </c>
      <c r="J34" s="2"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Chronic kidney diseases</t>
        </is>
      </c>
      <c r="M34" s="2" t="inlineStr">
        <is>
          <t>CKD/AKI</t>
        </is>
      </c>
      <c r="N34" s="2" t="inlineStr">
        <is>
          <t>Mock PLE-CC 1 ข้อ 81</t>
        </is>
      </c>
      <c r="O34" s="2" t="n"/>
      <c r="P34" s="2" t="n"/>
      <c r="Q34" s="2" t="n"/>
    </row>
    <row r="35" ht="13.2" customHeight="1" s="49">
      <c r="A35" s="8" t="inlineStr">
        <is>
          <t>34</t>
        </is>
      </c>
      <c r="B35" s="2" t="inlineStr">
        <is>
          <t>จากข้อมูลในสถานการณ์นี้ ข้อใดต่อไปนี้ไม่ใช่ปัจจัยเสี่ยงที่เกี่ยวข้องกับการเกิดโรคไตเรื้อรัง (CKD) ในผู้ป่วย รายนี้</t>
        </is>
      </c>
      <c r="C35" s="2" t="n"/>
      <c r="D35" s="2" t="inlineStr">
        <is>
          <t>แม่</t>
        </is>
      </c>
      <c r="E35" s="2" t="inlineStr">
        <is>
          <t>HbA1c</t>
        </is>
      </c>
      <c r="F35" s="2" t="inlineStr">
        <is>
          <t>FBS</t>
        </is>
      </c>
      <c r="G35" s="2" t="inlineStr">
        <is>
          <t>[NEED_REVIEW]</t>
        </is>
      </c>
      <c r="H35" s="2" t="inlineStr">
        <is>
          <t>[NEED_REVIEW]</t>
        </is>
      </c>
      <c r="I35" s="8" t="n">
        <v>1</v>
      </c>
      <c r="J35"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จากข้อมูลในสถานการณ์นี้ ข้อใดต่อไปนี้ไม่ใช่ปัจจัยเสี่ยงที่เกี่ยวข้องกับการเกิดโรคไตเรื้อรัง (CKD) ในผู้ป่วย รายนี้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5" s="2" t="n"/>
      <c r="L35" s="2" t="inlineStr">
        <is>
          <t>Chronic kidney diseases</t>
        </is>
      </c>
      <c r="M35" s="2" t="inlineStr">
        <is>
          <t>CKD/AKI</t>
        </is>
      </c>
      <c r="N35" s="2" t="inlineStr">
        <is>
          <t>PLE_CC1_2567_Key ข้อ 48</t>
        </is>
      </c>
      <c r="O35" s="2" t="n"/>
      <c r="P35" s="2" t="n"/>
      <c r="Q35" s="2" t="n"/>
    </row>
    <row r="36" ht="13.2" customHeight="1" s="49">
      <c r="A36" s="8" t="inlineStr">
        <is>
          <t>35</t>
        </is>
      </c>
      <c r="B36" s="2" t="inlineStr">
        <is>
          <t>ข้อใดเป็นเกณฑ์ในการวินิจฉัยว่าผู้ป่วยคนนี้เป็นโรคไตเรื้อรัง</t>
        </is>
      </c>
      <c r="C36" s="2" t="n"/>
      <c r="D36" s="2" t="inlineStr">
        <is>
          <t>serum HCO3 22 mg/dl</t>
        </is>
      </c>
      <c r="E36" s="2" t="inlineStr">
        <is>
          <t>AUACR 282</t>
        </is>
      </c>
      <c r="F36" s="2" t="inlineStr">
        <is>
          <t>คนในครอบครัวเป็นโรคไต</t>
        </is>
      </c>
      <c r="G36" s="2" t="inlineStr">
        <is>
          <t>[NEED_REVIEW]</t>
        </is>
      </c>
      <c r="H36" s="2" t="inlineStr">
        <is>
          <t>BUN</t>
        </is>
      </c>
      <c r="I36" s="8" t="n">
        <v>1</v>
      </c>
      <c r="J36" s="2" t="inlineStr">
        <is>
          <t>✅ คำตอบที่ถูกต้อง: ข้อ ก. serum HCO3 22 mg/dl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(แนวทางเวชปฏิบัติสำหรับโรคไตเรื้อรัง พ.ศ. 2563 (สมาคมโรคไตแห่งประเทศไทย)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Chronic kidney diseases</t>
        </is>
      </c>
      <c r="M36" s="2" t="inlineStr">
        <is>
          <t>CKD/AKI</t>
        </is>
      </c>
      <c r="N36" s="2" t="inlineStr">
        <is>
          <t>PLE_CC1_2567_Key ข้อ 50</t>
        </is>
      </c>
      <c r="O36" s="2" t="n"/>
      <c r="P36" s="2" t="n"/>
      <c r="Q36" s="2" t="n"/>
    </row>
    <row r="37" ht="13.2" customHeight="1" s="49">
      <c r="A37" s="8" t="inlineStr">
        <is>
          <t>36</t>
        </is>
      </c>
      <c r="B37" s="2" t="inlineStr">
        <is>
          <t>ค;าใดที่ไม;ไดใชติดตามผลการรักษา AKI</t>
        </is>
      </c>
      <c r="C37" s="2" t="n"/>
      <c r="D37" s="2" t="inlineStr">
        <is>
          <t>BP</t>
        </is>
      </c>
      <c r="E37" s="2" t="inlineStr">
        <is>
          <t>Urine specific gravity</t>
        </is>
      </c>
      <c r="F37" s="2" t="inlineStr">
        <is>
          <t>SCr</t>
        </is>
      </c>
      <c r="G37" s="2" t="inlineStr">
        <is>
          <t>Intake/Output</t>
        </is>
      </c>
      <c r="H37" s="2" t="inlineStr">
        <is>
          <t>BUN</t>
        </is>
      </c>
      <c r="I37" s="8" t="n">
        <v>1</v>
      </c>
      <c r="J37"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ค;าใดที่ไม;ไดใชติดตามผลการรักษา AKI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7" s="2" t="n"/>
      <c r="L37" s="2" t="inlineStr">
        <is>
          <t>Acute kidney injury</t>
        </is>
      </c>
      <c r="M37" s="2" t="inlineStr">
        <is>
          <t>CKD/AKI</t>
        </is>
      </c>
      <c r="N37" s="2" t="inlineStr">
        <is>
          <t>PLE_CC1_2565_Day1_Key ข้อ 74</t>
        </is>
      </c>
      <c r="O37" s="2" t="n"/>
      <c r="P37" s="2" t="n"/>
      <c r="Q37" s="2" t="n"/>
    </row>
    <row r="38" ht="13.2" customHeight="1" s="49">
      <c r="A38" s="8" t="inlineStr">
        <is>
          <t>37</t>
        </is>
      </c>
      <c r="B38" s="2" t="inlineStr">
        <is>
          <t>Acute kidney injury (AKI)</t>
        </is>
      </c>
      <c r="C38" s="2" t="n"/>
      <c r="D38" s="2" t="inlineStr">
        <is>
          <t>CKD/AKI</t>
        </is>
      </c>
      <c r="E38" s="2" t="inlineStr">
        <is>
          <t>Potassium chloride 500 mg BID</t>
        </is>
      </c>
      <c r="F38" s="2" t="inlineStr">
        <is>
          <t>Calcium carbonate 1000 mg TID with meals</t>
        </is>
      </c>
      <c r="G38" s="2" t="inlineStr">
        <is>
          <t>Calcium acetate 667 mg TID with meals</t>
        </is>
      </c>
      <c r="H38" s="2" t="inlineStr">
        <is>
          <t>Sevelamer carbonate 800 mg TID with meals</t>
        </is>
      </c>
      <c r="I38" s="8" t="n">
        <v>1</v>
      </c>
      <c r="J38"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Acute kidney injury (AKI)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8" s="2" t="n"/>
      <c r="L38" s="2" t="inlineStr">
        <is>
          <t>Acute kidney injury</t>
        </is>
      </c>
      <c r="M38" s="2" t="inlineStr">
        <is>
          <t>CKD/AKI</t>
        </is>
      </c>
      <c r="N38" s="2" t="inlineStr">
        <is>
          <t>PLE_CC1_2565_Day1_Key ข้อ 18</t>
        </is>
      </c>
      <c r="O38" s="2" t="n"/>
      <c r="P38" s="2" t="n"/>
    </row>
    <row r="39" ht="13.2" customHeight="1" s="49">
      <c r="A39" s="8" t="inlineStr">
        <is>
          <t>38</t>
        </is>
      </c>
      <c r="B39" s="2" t="inlineStr">
        <is>
          <t>ชีวสมมูลของยาที่ขับออกทางไต ไม-จำเปQนต$องดูอะไร lด 5 log k mnด การสลายRวoอยnด</t>
        </is>
      </c>
      <c r="C39" s="2" t="n"/>
      <c r="D39" s="2" t="inlineStr">
        <is>
          <t>tmax</t>
        </is>
      </c>
      <c r="E39" s="2" t="inlineStr">
        <is>
          <t>Cmax</t>
        </is>
      </c>
      <c r="F39" s="2" t="inlineStr">
        <is>
          <t>AUC</t>
        </is>
      </c>
      <c r="G39" s="2" t="inlineStr">
        <is>
          <t>half-life</t>
        </is>
      </c>
      <c r="H39" s="2" t="inlineStr">
        <is>
          <t>urinary excretion / ใ+,วม/บ Accumulative urinary recovery (Ae) เ1อ3วอ4างเ"น urine แทน AUC /บ Cmax</t>
        </is>
      </c>
      <c r="I39" s="8" t="n">
        <v>1</v>
      </c>
      <c r="J39"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ชีวสมมูลของยาที่ขับออกทางไต ไม-จำเปQนต$องดูอะไร lด 5 log k mnด การสลายRวoอยnด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9" s="2" t="n"/>
      <c r="L39" s="2" t="inlineStr">
        <is>
          <t>Chronic kidney diseases</t>
        </is>
      </c>
      <c r="M39" s="2" t="inlineStr">
        <is>
          <t>CKD/AKI</t>
        </is>
      </c>
      <c r="N39" s="2" t="inlineStr">
        <is>
          <t>PLE_CC1_2565_Day2_Key ข้อ 75</t>
        </is>
      </c>
      <c r="O39" s="2" t="n"/>
      <c r="P39" s="2" t="n"/>
      <c r="Q39" s="2" t="n"/>
    </row>
    <row r="40" ht="13.2" customHeight="1" s="49">
      <c r="A40" s="8" t="inlineStr">
        <is>
          <t>39</t>
        </is>
      </c>
      <c r="B40" s="2"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2" t="n"/>
      <c r="D40" s="2" t="inlineStr">
        <is>
          <t>CKD/AKI</t>
        </is>
      </c>
      <c r="E40" s="2" t="inlineStr">
        <is>
          <t>Calcium gluconate 10% 10 mL IV over 5 min</t>
        </is>
      </c>
      <c r="F40" s="2" t="inlineStr">
        <is>
          <t>Furosemide 40 mg IV/PO OD</t>
        </is>
      </c>
      <c r="G40" s="2" t="inlineStr">
        <is>
          <t>Erythropoietin (EPO) 4000 units SC weekly</t>
        </is>
      </c>
      <c r="H40" s="2" t="inlineStr">
        <is>
          <t>Calcitriol 0.25 mcg OD</t>
        </is>
      </c>
      <c r="I40" s="8" t="n">
        <v>1</v>
      </c>
      <c r="J4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0" s="2" t="n"/>
      <c r="L40" s="2" t="inlineStr">
        <is>
          <t>Acute kidney injury</t>
        </is>
      </c>
      <c r="M40" s="2" t="inlineStr">
        <is>
          <t>CKD/AKI</t>
        </is>
      </c>
      <c r="N40" s="2" t="inlineStr">
        <is>
          <t>PLE_CC1_2564_All_Key ข้อ 9</t>
        </is>
      </c>
      <c r="O40" s="2" t="n"/>
      <c r="P40" s="2" t="n"/>
    </row>
    <row r="41" ht="13.2" customHeight="1" s="49">
      <c r="A41" s="8" t="inlineStr">
        <is>
          <t>40</t>
        </is>
      </c>
      <c r="B41" s="2" t="inlineStr">
        <is>
          <t>ค่า eGFR เท่ากับ 28 คืออยู่ KDIGO stage อะไร อิงตาม KDIGO 2012</t>
        </is>
      </c>
      <c r="C41" s="2" t="n"/>
      <c r="D41" s="2" t="inlineStr">
        <is>
          <t>G1</t>
        </is>
      </c>
      <c r="E41" s="2" t="inlineStr">
        <is>
          <t>G2</t>
        </is>
      </c>
      <c r="F41" s="2" t="inlineStr">
        <is>
          <t>G3a</t>
        </is>
      </c>
      <c r="G41" s="2" t="inlineStr">
        <is>
          <t>G3b</t>
        </is>
      </c>
      <c r="H41" s="2" t="inlineStr">
        <is>
          <t>G4</t>
        </is>
      </c>
      <c r="I41" s="8" t="n">
        <v>1</v>
      </c>
      <c r="J41" s="2"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Chronic kidney diseases</t>
        </is>
      </c>
      <c r="M41" s="2" t="inlineStr">
        <is>
          <t>CKD/AKI</t>
        </is>
      </c>
      <c r="N41" s="2" t="inlineStr">
        <is>
          <t>PLE_CC1_2564_All_Key ข้อ 111</t>
        </is>
      </c>
      <c r="O41" s="2" t="n"/>
      <c r="P41" s="2" t="n"/>
      <c r="Q41" s="2" t="n"/>
    </row>
    <row r="42" ht="13.2" customHeight="1" s="49">
      <c r="A42" s="8" t="inlineStr">
        <is>
          <t>41</t>
        </is>
      </c>
      <c r="B42" s="2" t="inlineStr">
        <is>
          <t>ประกาศสำนักงานคณะกรรมการอาหารและยา เรื่องหลักเกณฑ์ในการโฆษณาอาหาร 2564 [ http://www.ratchakitcha.soc.go.th/DATA/PDF/2564/E/073/T_0014.PDF ]</t>
        </is>
      </c>
      <c r="C42" s="2" t="n"/>
      <c r="D42" s="2" t="inlineStr">
        <is>
          <t>CKD/AKI</t>
        </is>
      </c>
      <c r="E42" s="2" t="inlineStr">
        <is>
          <t>Calcium acetate 667 mg TID with meals</t>
        </is>
      </c>
      <c r="F42" s="2" t="inlineStr">
        <is>
          <t>Sevelamer carbonate 800 mg TID with meals</t>
        </is>
      </c>
      <c r="G42" s="2" t="inlineStr">
        <is>
          <t>Sodium bicarbonate 650 mg TID</t>
        </is>
      </c>
      <c r="H42" s="2" t="inlineStr">
        <is>
          <t>Kayexalate (Sodium polystyrene sulfonate) 15 g TID</t>
        </is>
      </c>
      <c r="I42" s="8" t="n">
        <v>1</v>
      </c>
      <c r="J42" s="2" t="inlineStr">
        <is>
          <t>✅ คำตอบที่ถูกต้อง: ข้อ ก. CKD/AKI
💡 Background:
การบริบาลทางเภสัชกรรมในกลุ่มโรค Acute kidney injury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2" t="n"/>
      <c r="L42" s="2" t="inlineStr">
        <is>
          <t>Acute kidney injury</t>
        </is>
      </c>
      <c r="M42" s="2" t="inlineStr">
        <is>
          <t>CKD/AKI</t>
        </is>
      </c>
      <c r="N42" s="2" t="inlineStr">
        <is>
          <t>PLE_CC1_2564_All_Key ข้อ 2</t>
        </is>
      </c>
      <c r="O42" s="2" t="n"/>
      <c r="P42" s="2" t="n"/>
    </row>
    <row r="43" ht="13.2" customHeight="1" s="49">
      <c r="A43" s="8" t="inlineStr">
        <is>
          <t>41</t>
        </is>
      </c>
      <c r="B43" s="2" t="inlineStr">
        <is>
          <t>ผู้ป่วยจัดอยู่ CKD stage ใด = I ~ 45 - 59</t>
        </is>
      </c>
      <c r="C43" s="2" t="n"/>
      <c r="D43" s="2" t="inlineStr">
        <is>
          <t>Sodium bicarbonate 650 mg TID</t>
        </is>
      </c>
      <c r="E43" s="2" t="inlineStr">
        <is>
          <t>Kayexalate (Sodium polystyrene sulfonate) 15 g TID</t>
        </is>
      </c>
      <c r="F43" s="2" t="inlineStr">
        <is>
          <t>3a</t>
        </is>
      </c>
      <c r="G43" s="2" t="inlineStr">
        <is>
          <t>3b</t>
        </is>
      </c>
      <c r="H43" s="2" t="inlineStr">
        <is>
          <t>Erythropoietin (EPO) 4000 units SC weekly</t>
        </is>
      </c>
      <c r="I43" s="8" t="n">
        <v>1</v>
      </c>
      <c r="J43" s="2"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2" t="n"/>
      <c r="L43" s="2" t="inlineStr">
        <is>
          <t>Chronic kidney diseases</t>
        </is>
      </c>
      <c r="M43" s="2" t="inlineStr">
        <is>
          <t>Clinic</t>
        </is>
      </c>
      <c r="N43" s="2" t="inlineStr">
        <is>
          <t>ข้อ 73 (PLE_CC1_2562_Key.md)</t>
        </is>
      </c>
      <c r="O43" s="2" t="n"/>
      <c r="P43" s="2" t="n"/>
    </row>
    <row r="44" ht="13.2" customHeight="1" s="49">
      <c r="A44" s="8" t="inlineStr">
        <is>
          <t>42</t>
        </is>
      </c>
      <c r="B44" s="2" t="inlineStr">
        <is>
          <t>การไตเตรตดังกล!าวแบบใด</t>
        </is>
      </c>
      <c r="C44" s="2" t="n"/>
      <c r="D44" s="2" t="inlineStr">
        <is>
          <t>Redox titrate</t>
        </is>
      </c>
      <c r="E44" s="2" t="inlineStr">
        <is>
          <t>Aqueous titrate</t>
        </is>
      </c>
      <c r="F44" s="2" t="inlineStr">
        <is>
          <t>Precipitation titrate</t>
        </is>
      </c>
      <c r="G44" s="2" t="inlineStr">
        <is>
          <t>Non aqueous titrate</t>
        </is>
      </c>
      <c r="H44" s="2" t="inlineStr">
        <is>
          <t>Complexometric</t>
        </is>
      </c>
      <c r="I44" s="8" t="n">
        <v>1</v>
      </c>
      <c r="J44" s="2"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2" t="n"/>
      <c r="L44" s="2" t="inlineStr">
        <is>
          <t>Chronic kidney diseases</t>
        </is>
      </c>
      <c r="M44" s="2" t="inlineStr">
        <is>
          <t>Clinic</t>
        </is>
      </c>
      <c r="N44" s="2" t="inlineStr">
        <is>
          <t>ข้อ 17 (PLE_CC1_2561_Key.md)</t>
        </is>
      </c>
      <c r="O44" s="2" t="n"/>
      <c r="P44" s="2" t="n"/>
    </row>
    <row r="45" ht="13.2" customHeight="1" s="49">
      <c r="A45" s="8" t="inlineStr">
        <is>
          <t>43</t>
        </is>
      </c>
      <c r="B45" s="2" t="inlineStr">
        <is>
          <t>ยาใดไม่ควรใช้ในผู้ป่วยโรคไตเรื อรังรายนี</t>
        </is>
      </c>
      <c r="C45" s="2" t="n"/>
      <c r="D45" s="2" t="inlineStr">
        <is>
          <t>Aspirin</t>
        </is>
      </c>
      <c r="E45" s="2" t="inlineStr">
        <is>
          <t>Glipizide</t>
        </is>
      </c>
      <c r="F45" s="2" t="inlineStr">
        <is>
          <t>Amlodipine</t>
        </is>
      </c>
      <c r="G45" s="2" t="inlineStr">
        <is>
          <t>Alum milk</t>
        </is>
      </c>
      <c r="H45" s="2" t="inlineStr">
        <is>
          <t>Hydralazine</t>
        </is>
      </c>
      <c r="I45" s="8" t="n">
        <v>1</v>
      </c>
      <c r="J45"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2" t="n"/>
      <c r="L45" s="2" t="inlineStr">
        <is>
          <t>Chronic kidney diseases</t>
        </is>
      </c>
      <c r="M45" s="2" t="inlineStr">
        <is>
          <t>Clinic</t>
        </is>
      </c>
      <c r="N45" s="2" t="inlineStr">
        <is>
          <t>ข้อ 3 (PLE_CC1_2560 22 April Set 1.md)</t>
        </is>
      </c>
      <c r="O45" s="2" t="n"/>
      <c r="P45" s="2" t="n"/>
    </row>
    <row r="46" ht="13.2" customHeight="1" s="49">
      <c r="A46" s="8" t="inlineStr">
        <is>
          <t>44</t>
        </is>
      </c>
      <c r="B46" s="2" t="inlineStr">
        <is>
          <t>ยาใดห้ามใช้ในโรคไต</t>
        </is>
      </c>
      <c r="C46" s="2" t="n"/>
      <c r="D46" s="2" t="inlineStr">
        <is>
          <t>Aspirin</t>
        </is>
      </c>
      <c r="E46" s="2" t="inlineStr">
        <is>
          <t>Glipizide</t>
        </is>
      </c>
      <c r="F46" s="2" t="inlineStr">
        <is>
          <t>Amlodipine</t>
        </is>
      </c>
      <c r="G46" s="2" t="inlineStr">
        <is>
          <t>Alum milk</t>
        </is>
      </c>
      <c r="H46" s="2" t="inlineStr">
        <is>
          <t>Hydralazine</t>
        </is>
      </c>
      <c r="I46" s="8" t="n">
        <v>1</v>
      </c>
      <c r="J46" s="2"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Chronic kidney diseases</t>
        </is>
      </c>
      <c r="M46" s="2" t="inlineStr">
        <is>
          <t>Clinic</t>
        </is>
      </c>
      <c r="N46" s="2" t="inlineStr">
        <is>
          <t>ข้อ 2 (PLE_CC1_2560 22 April Set 2.md)</t>
        </is>
      </c>
      <c r="O46" s="2" t="n"/>
      <c r="P46" s="2" t="n"/>
    </row>
    <row r="47" ht="13.2" customHeight="1" s="49">
      <c r="A47" s="8" t="inlineStr">
        <is>
          <t>45</t>
        </is>
      </c>
      <c r="B47" s="2" t="inlineStr">
        <is>
          <t>ยาใดเป็นพิษต่อไตมากที่สุด</t>
        </is>
      </c>
      <c r="C47" s="2" t="n"/>
      <c r="D47" s="2" t="inlineStr">
        <is>
          <t>Risedronate</t>
        </is>
      </c>
      <c r="E47" s="2" t="inlineStr">
        <is>
          <t>Diclofenac</t>
        </is>
      </c>
      <c r="F47" s="2" t="inlineStr">
        <is>
          <t>Glucosamine</t>
        </is>
      </c>
      <c r="G47" s="2" t="inlineStr">
        <is>
          <t>Vitamin B complex</t>
        </is>
      </c>
      <c r="H47" s="2" t="inlineStr">
        <is>
          <t>Calcium ห้ามนำไปทำซ้ำทุกกรณี เว้นแต่จะได้รับอนุญาต</t>
        </is>
      </c>
      <c r="I47" s="8" t="n">
        <v>1</v>
      </c>
      <c r="J47" s="2"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สากล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2" t="n"/>
      <c r="L47" s="2" t="inlineStr">
        <is>
          <t>Chronic kidney diseases</t>
        </is>
      </c>
      <c r="M47" s="2" t="inlineStr">
        <is>
          <t>Clinic</t>
        </is>
      </c>
      <c r="N47" s="2" t="inlineStr">
        <is>
          <t>ข้อ 85 (PLE_CC1_2559.md)</t>
        </is>
      </c>
      <c r="O47" s="2" t="n"/>
      <c r="P47" s="2" t="n"/>
    </row>
    <row r="48" ht="13.2" customHeight="1" s="49">
      <c r="A48" s="8" t="inlineStr">
        <is>
          <t>46</t>
        </is>
      </c>
      <c r="B48" s="2" t="inlineStr">
        <is>
          <t>จัดอยู่ใน CKD stageใด</t>
        </is>
      </c>
      <c r="C48" s="2" t="n"/>
      <c r="D48" s="2" t="inlineStr">
        <is>
          <t>Calcitriol 0.25 mcg OD</t>
        </is>
      </c>
      <c r="E48" s="2" t="inlineStr">
        <is>
          <t>II</t>
        </is>
      </c>
      <c r="F48" s="2" t="inlineStr">
        <is>
          <t>III</t>
        </is>
      </c>
      <c r="G48" s="2" t="inlineStr">
        <is>
          <t>IV</t>
        </is>
      </c>
      <c r="H48" s="2" t="inlineStr">
        <is>
          <t>Sevelamer carbonate 800 mg TID with meals</t>
        </is>
      </c>
      <c r="I48" s="8" t="n">
        <v>1</v>
      </c>
      <c r="J48" s="2"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2" t="n"/>
      <c r="L48" s="2" t="inlineStr">
        <is>
          <t>Chronic kidney diseases</t>
        </is>
      </c>
      <c r="M48" s="2" t="inlineStr">
        <is>
          <t>Clinic</t>
        </is>
      </c>
      <c r="N48" s="2" t="inlineStr">
        <is>
          <t>ข้อ 47 (PLE_CC1_2558_Key.md)</t>
        </is>
      </c>
      <c r="O48" s="2" t="n"/>
      <c r="P48" s="2" t="n"/>
    </row>
    <row r="49" ht="13.2" customHeight="1" s="49">
      <c r="A49" s="8" t="inlineStr">
        <is>
          <t>47</t>
        </is>
      </c>
      <c r="B49" s="2" t="inlineStr">
        <is>
          <t>ข้อใด ไม่ใช่ เกณฑ์วินิจฉัยภาวะไตเรื้อรัง</t>
        </is>
      </c>
      <c r="C49" s="2" t="n"/>
      <c r="D49" s="2" t="inlineStr">
        <is>
          <t>GFR &lt; 45 ml/min/1.73 m2 ติดต่อกันเกิน 3 เดือน</t>
        </is>
      </c>
      <c r="E49" s="2" t="inlineStr">
        <is>
          <t>ตรวจพบอัลบูมินในปัสสาวะ ≥ 2 ใน 3 ครั้ง ในช่วง 3 เดือน</t>
        </is>
      </c>
      <c r="F49" s="2" t="inlineStr">
        <is>
          <t>ตรวจพบเม็ดเลือดแดงในปัสสาวะ ≥ 2 ใน 3 ครั้ง ในช่วง 3 เดือน</t>
        </is>
      </c>
      <c r="G49" s="2" t="inlineStr">
        <is>
          <t>พบความผิดปกติทางพยาธิสภาพ</t>
        </is>
      </c>
      <c r="H49" s="2" t="inlineStr">
        <is>
          <t>มีประวัติผ่าตัดปลูกถ่ายไต</t>
        </is>
      </c>
      <c r="I49" s="8" t="n">
        <v>1</v>
      </c>
      <c r="J49" s="2" t="inlineStr">
        <is>
          <t>✅ คำตอบที่ถูกต้อง: ข้อ ก. GFR &lt; 45 ml/min/1.73 m2 ติดต่อกันเกิน 3 เดือน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2" t="n"/>
      <c r="L49" s="2" t="inlineStr">
        <is>
          <t>Chronic kidney diseases</t>
        </is>
      </c>
      <c r="M49" s="2" t="inlineStr">
        <is>
          <t>Clinic</t>
        </is>
      </c>
      <c r="N49" s="2" t="inlineStr">
        <is>
          <t>ข้อ 84 (Pharmtutor_2024_Set2.md)</t>
        </is>
      </c>
      <c r="O49" s="2" t="n"/>
      <c r="P49" s="2" t="n"/>
    </row>
    <row r="50" ht="13.2" customHeight="1" s="49">
      <c r="A50" s="8" t="inlineStr">
        <is>
          <t>48</t>
        </is>
      </c>
      <c r="B50" s="2" t="inlineStr">
        <is>
          <t>ผู้ป่วยรายนี%มีภาวะโรคไตเรื%อรังอยู่ในระยะ (stage) ใด (1) Stage I (2) Stage II (3) Stage III (4) Stage IV (5) Stage V</t>
        </is>
      </c>
      <c r="C50" s="2" t="n"/>
      <c r="D50" s="2" t="inlineStr">
        <is>
          <t>Kayexalate (Sodium polystyrene sulfonate) 15 g TID</t>
        </is>
      </c>
      <c r="E50" s="2" t="inlineStr">
        <is>
          <t>Calcium gluconate 10% 10 mL IV over 5 min</t>
        </is>
      </c>
      <c r="F50" s="2" t="inlineStr">
        <is>
          <t>Furosemide 40 mg IV/PO OD</t>
        </is>
      </c>
      <c r="G50" s="2" t="inlineStr">
        <is>
          <t>Erythropoietin (EPO) 4000 units SC weekly</t>
        </is>
      </c>
      <c r="H50" s="2" t="inlineStr">
        <is>
          <t>Calcitriol 0.25 mcg OD</t>
        </is>
      </c>
      <c r="I50" s="8" t="n">
        <v>1</v>
      </c>
      <c r="J5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0" s="2" t="n"/>
      <c r="L50" s="2" t="inlineStr">
        <is>
          <t>Chronic kidney diseases</t>
        </is>
      </c>
      <c r="M50" s="2" t="inlineStr">
        <is>
          <t>Clinic</t>
        </is>
      </c>
      <c r="N50" s="2" t="inlineStr">
        <is>
          <t>ข้อ 64 (PLE_CC1_2557.md)</t>
        </is>
      </c>
      <c r="O50" s="2" t="n"/>
      <c r="P50" s="2" t="n"/>
    </row>
    <row r="51" ht="13.2" customHeight="1" s="49">
      <c r="A51" s="8" t="inlineStr">
        <is>
          <t>49</t>
        </is>
      </c>
      <c r="B51" s="2" t="inlineStr">
        <is>
          <t>serumcreatinine</t>
        </is>
      </c>
      <c r="C51" s="2" t="n"/>
      <c r="D51" s="2" t="inlineStr">
        <is>
          <t>Erythropoietin (EPO) 4000 units SC weekly</t>
        </is>
      </c>
      <c r="E51" s="2" t="inlineStr">
        <is>
          <t>Calcitriol 0.25 mcg OD</t>
        </is>
      </c>
      <c r="F51" s="2" t="inlineStr">
        <is>
          <t>Potassium chloride 500 mg BID</t>
        </is>
      </c>
      <c r="G51" s="2" t="inlineStr">
        <is>
          <t>Calcium carbonate 1000 mg TID with meals</t>
        </is>
      </c>
      <c r="H51" s="2" t="inlineStr">
        <is>
          <t>Calcium acetate 667 mg TID with meals</t>
        </is>
      </c>
      <c r="I51" s="8" t="n">
        <v>1</v>
      </c>
      <c r="J51"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1" s="2" t="n"/>
      <c r="L51" s="2" t="inlineStr">
        <is>
          <t>Chronic kidney diseases</t>
        </is>
      </c>
      <c r="M51" s="2" t="inlineStr">
        <is>
          <t>Clinic</t>
        </is>
      </c>
      <c r="N51" s="2" t="inlineStr">
        <is>
          <t>ข้อ 1 (PLE_CC1_2556.md)</t>
        </is>
      </c>
      <c r="O51" s="2" t="n"/>
      <c r="P51" s="2" t="n"/>
    </row>
    <row r="52" ht="13.2" customHeight="1" s="49">
      <c r="A52" s="8" t="inlineStr">
        <is>
          <t>50</t>
        </is>
      </c>
      <c r="B52" s="2" t="inlineStr">
        <is>
          <t>สาเหตุของการเกิดโรคไตในผู้ป่วยรายนี้</t>
        </is>
      </c>
      <c r="C52" s="2" t="n"/>
      <c r="D52" s="2" t="inlineStr">
        <is>
          <t>smoke-induced</t>
        </is>
      </c>
      <c r="E52" s="2" t="inlineStr">
        <is>
          <t>alcohol-induced</t>
        </is>
      </c>
      <c r="F52" s="2" t="inlineStr">
        <is>
          <t>hypovolemia</t>
        </is>
      </c>
      <c r="G52" s="2"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2" t="inlineStr">
        <is>
          <t>Kayexalate (Sodium polystyrene sulfonate) 15 g TID</t>
        </is>
      </c>
      <c r="I52" s="8" t="n">
        <v>2</v>
      </c>
      <c r="J52" s="2"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2" t="n"/>
      <c r="L52" s="2" t="inlineStr">
        <is>
          <t>Chronic kidney diseases</t>
        </is>
      </c>
      <c r="M52" s="2" t="inlineStr">
        <is>
          <t>Clinic</t>
        </is>
      </c>
      <c r="N52" s="2" t="inlineStr">
        <is>
          <t>ข้อ 4 (PLE_CC1_2554 SET2.md)</t>
        </is>
      </c>
      <c r="O52" s="2" t="n"/>
      <c r="P52" s="2" t="n"/>
    </row>
    <row r="53" ht="13.2" customHeight="1" s="49">
      <c r="A53" s="8" t="inlineStr">
        <is>
          <t>52</t>
        </is>
      </c>
      <c r="B53" s="2"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2" t="n"/>
      <c r="D53" s="2" t="inlineStr">
        <is>
          <t>Furosemide 40 mg IV/PO OD</t>
        </is>
      </c>
      <c r="E53" s="2" t="inlineStr">
        <is>
          <t>Erythropoietin (EPO) 4000 units SC weekly</t>
        </is>
      </c>
      <c r="F53" s="2" t="inlineStr">
        <is>
          <t>Calcitriol 0.25 mcg OD</t>
        </is>
      </c>
      <c r="G53" s="2" t="inlineStr">
        <is>
          <t>Potassium chloride 500 mg BID</t>
        </is>
      </c>
      <c r="H53" s="2" t="inlineStr">
        <is>
          <t>Calcium carbonate 1000 mg TID with meals</t>
        </is>
      </c>
      <c r="I53" s="8" t="n">
        <v>1</v>
      </c>
      <c r="J53"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3" s="2" t="n"/>
      <c r="L53" s="2" t="inlineStr">
        <is>
          <t>Chronic kidney diseases</t>
        </is>
      </c>
      <c r="M53" s="2" t="inlineStr">
        <is>
          <t>Clinic</t>
        </is>
      </c>
      <c r="N53" s="2" t="inlineStr">
        <is>
          <t>ข้อ 2 (PLE_CC1_Practice_Exam.md)</t>
        </is>
      </c>
      <c r="O53" s="2" t="n"/>
      <c r="P53" s="2" t="n"/>
    </row>
    <row r="54" ht="13.2" customHeight="1" s="49">
      <c r="A54" s="8" t="inlineStr">
        <is>
          <t>53</t>
        </is>
      </c>
      <c r="B54" s="2" t="inlineStr">
        <is>
          <t>มีการทำงานของไตบกพร่อง Anxiety</t>
        </is>
      </c>
      <c r="C54" s="2" t="n"/>
      <c r="D54" s="2" t="inlineStr">
        <is>
          <t>Potassium chloride 500 mg BID</t>
        </is>
      </c>
      <c r="E54" s="2" t="inlineStr">
        <is>
          <t>Calcium carbonate 1000 mg TID with meals</t>
        </is>
      </c>
      <c r="F54" s="2" t="inlineStr">
        <is>
          <t>Calcium acetate 667 mg TID with meals</t>
        </is>
      </c>
      <c r="G54" s="2" t="inlineStr">
        <is>
          <t>Sevelamer carbonate 800 mg TID with meals</t>
        </is>
      </c>
      <c r="H54" s="2" t="inlineStr">
        <is>
          <t>Sodium bicarbonate 650 mg TID</t>
        </is>
      </c>
      <c r="I54" s="8" t="n">
        <v>1</v>
      </c>
      <c r="J54"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4" s="2" t="n"/>
      <c r="L54" s="2" t="inlineStr">
        <is>
          <t>Chronic kidney diseases</t>
        </is>
      </c>
      <c r="M54" s="2" t="inlineStr">
        <is>
          <t>Clinic</t>
        </is>
      </c>
      <c r="N54" s="2" t="inlineStr">
        <is>
          <t>ข้อ 5 (PLE_CC1_Practice_Exam.md)</t>
        </is>
      </c>
      <c r="O54" s="2" t="n"/>
      <c r="P54" s="2" t="n"/>
    </row>
    <row r="55" ht="13.2" customHeight="1" s="49">
      <c r="A55" s="8" t="inlineStr">
        <is>
          <t>54</t>
        </is>
      </c>
      <c r="B55" s="2" t="inlineStr">
        <is>
          <t>ยา A 80% ขับออกทางไตและขับออกในรูป active metabolite ข้อใดเหมาะสมมากที่สุด</t>
        </is>
      </c>
      <c r="C55" s="2" t="n"/>
      <c r="D55" s="2" t="inlineStr">
        <is>
          <t>ควรพิจารณาปรับขนาดยาลดลง หากผู้ป่วยมีการทำงานของไตแย่ลง</t>
        </is>
      </c>
      <c r="E55" s="2" t="inlineStr">
        <is>
          <t>จำเป็นต้องพิจารณาการทำงานของตับร่วมด้วย</t>
        </is>
      </c>
      <c r="F55" s="2" t="inlineStr">
        <is>
          <t>ไม่มีความจำเป็นต้องปรับขนาดยาในผู้ป่วยโรคไต</t>
        </is>
      </c>
      <c r="G55" s="2" t="inlineStr">
        <is>
          <t>ผู้ป่วยควรดื่มน้ำหลังรับประทานยามากๆ เพื่อลดการเกิดพิษของยาต่อไต</t>
        </is>
      </c>
      <c r="H55" s="2" t="inlineStr">
        <is>
          <t>ผู้ป่วย CKD จะไม่สามารถใช้ยาตัวดังกล่าวได้</t>
        </is>
      </c>
      <c r="I55" s="8" t="n">
        <v>1</v>
      </c>
      <c r="J55" s="2"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55" s="2" t="n"/>
      <c r="L55" s="2" t="inlineStr">
        <is>
          <t>Chronic kidney diseases</t>
        </is>
      </c>
      <c r="M55" s="2" t="inlineStr">
        <is>
          <t>Clinic</t>
        </is>
      </c>
      <c r="N55" s="2" t="inlineStr">
        <is>
          <t>ข้อ 13 (PLE_CC1_Practice_Exam.md)</t>
        </is>
      </c>
      <c r="O55" s="2" t="n"/>
      <c r="P55" s="2" t="n"/>
    </row>
    <row r="56" ht="13.2" customHeight="1" s="49">
      <c r="A56" s="8" t="inlineStr">
        <is>
          <t>55</t>
        </is>
      </c>
      <c r="B56" s="2" t="inlineStr">
        <is>
          <t>ปรับขนาดยาตามไต</t>
        </is>
      </c>
      <c r="C56" s="2" t="n"/>
      <c r="D56" s="2" t="inlineStr">
        <is>
          <t>Calcium gluconate 10% 10 mL IV over 5 min</t>
        </is>
      </c>
      <c r="E56" s="2" t="inlineStr">
        <is>
          <t>Furosemide 40 mg IV/PO OD</t>
        </is>
      </c>
      <c r="F56" s="2" t="inlineStr">
        <is>
          <t>Erythropoietin (EPO) 4000 units SC weekly</t>
        </is>
      </c>
      <c r="G56" s="2" t="inlineStr">
        <is>
          <t>Calcitriol 0.25 mcg OD</t>
        </is>
      </c>
      <c r="H56" s="2" t="inlineStr">
        <is>
          <t>Potassium chloride 500 mg BID</t>
        </is>
      </c>
      <c r="I56" s="8" t="n">
        <v>1</v>
      </c>
      <c r="J56"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6" s="2" t="n"/>
      <c r="L56" s="2" t="inlineStr">
        <is>
          <t>Chronic kidney diseases</t>
        </is>
      </c>
      <c r="M56" s="2" t="inlineStr">
        <is>
          <t>Clinic</t>
        </is>
      </c>
      <c r="N56" s="2" t="inlineStr">
        <is>
          <t>ข้อ 3 (PLE_CC1_Key_Rx20_UBU.md)</t>
        </is>
      </c>
      <c r="O56" s="2" t="n"/>
      <c r="P56" s="2" t="n"/>
    </row>
    <row r="57" ht="13.2" customHeight="1" s="49">
      <c r="A57" s="8" t="inlineStr">
        <is>
          <t>56</t>
        </is>
      </c>
      <c r="B57" s="2"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2" t="n"/>
      <c r="D57" s="2" t="inlineStr">
        <is>
          <t>Calcitriol 0.25 mcg OD</t>
        </is>
      </c>
      <c r="E57" s="2" t="inlineStr">
        <is>
          <t>Potassium chloride 500 mg BID</t>
        </is>
      </c>
      <c r="F57" s="2" t="inlineStr">
        <is>
          <t>Calcium carbonate 1000 mg TID with meals</t>
        </is>
      </c>
      <c r="G57" s="2" t="inlineStr">
        <is>
          <t>Calcium acetate 667 mg TID with meals</t>
        </is>
      </c>
      <c r="H57" s="2" t="inlineStr">
        <is>
          <t>Sevelamer carbonate 800 mg TID with meals</t>
        </is>
      </c>
      <c r="I57" s="8" t="n">
        <v>1</v>
      </c>
      <c r="J57"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7" s="2" t="n"/>
      <c r="L57" s="2" t="inlineStr">
        <is>
          <t>Chronic kidney diseases</t>
        </is>
      </c>
      <c r="M57" s="2" t="inlineStr">
        <is>
          <t>Clinic</t>
        </is>
      </c>
      <c r="N57" s="2" t="inlineStr">
        <is>
          <t>ข้อ 5 (PLE_CC1_Key_Rx20_UBU.md)</t>
        </is>
      </c>
      <c r="O57" s="2" t="n"/>
      <c r="P57" s="2" t="n"/>
    </row>
    <row r="58" ht="13.2" customHeight="1" s="49">
      <c r="A58" s="8" t="inlineStr">
        <is>
          <t>57</t>
        </is>
      </c>
      <c r="B58" s="2" t="inlineStr">
        <is>
          <t>ต้องระวังการใช้ยาในผู้ป่วยโรคไต</t>
        </is>
      </c>
      <c r="C58" s="2" t="n"/>
      <c r="D58" s="2" t="inlineStr">
        <is>
          <t>Calcium acetate 667 mg TID with meals</t>
        </is>
      </c>
      <c r="E58" s="2" t="inlineStr">
        <is>
          <t>Sevelamer carbonate 800 mg TID with meals</t>
        </is>
      </c>
      <c r="F58" s="2" t="inlineStr">
        <is>
          <t>Sodium bicarbonate 650 mg TID</t>
        </is>
      </c>
      <c r="G58" s="2" t="inlineStr">
        <is>
          <t>Kayexalate (Sodium polystyrene sulfonate) 15 g TID</t>
        </is>
      </c>
      <c r="H58" s="2" t="inlineStr">
        <is>
          <t>Calcium gluconate 10% 10 mL IV over 5 min</t>
        </is>
      </c>
      <c r="I58" s="8" t="n">
        <v>1</v>
      </c>
      <c r="J58"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8" s="2" t="n"/>
      <c r="L58" s="2" t="inlineStr">
        <is>
          <t>Chronic kidney diseases</t>
        </is>
      </c>
      <c r="M58" s="2" t="inlineStr">
        <is>
          <t>Clinic</t>
        </is>
      </c>
      <c r="N58" s="2" t="inlineStr">
        <is>
          <t>ข้อ 4 (PLE_CC1_Key_Rx20_UBU.md)</t>
        </is>
      </c>
      <c r="O58" s="2" t="n"/>
      <c r="P58" s="2" t="n"/>
    </row>
    <row r="59" ht="13.2" customHeight="1" s="49">
      <c r="A59" s="8" t="inlineStr">
        <is>
          <t>58</t>
        </is>
      </c>
      <c r="B59" s="2"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2" t="n"/>
      <c r="D59" s="2" t="inlineStr">
        <is>
          <t>Kayexalate (Sodium polystyrene sulfonate) 15 g TID</t>
        </is>
      </c>
      <c r="E59" s="2" t="inlineStr">
        <is>
          <t>Calcium gluconate 10% 10 mL IV over 5 min</t>
        </is>
      </c>
      <c r="F59" s="2" t="inlineStr">
        <is>
          <t>Furosemide 40 mg IV/PO OD</t>
        </is>
      </c>
      <c r="G59" s="2" t="inlineStr">
        <is>
          <t>Erythropoietin (EPO) 4000 units SC weekly</t>
        </is>
      </c>
      <c r="H59" s="2" t="inlineStr">
        <is>
          <t>Calcitriol 0.25 mcg OD</t>
        </is>
      </c>
      <c r="I59" s="8" t="n">
        <v>1</v>
      </c>
      <c r="J59"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9" s="2" t="n"/>
      <c r="L59" s="2" t="inlineStr">
        <is>
          <t>Chronic kidney diseases</t>
        </is>
      </c>
      <c r="M59" s="2" t="inlineStr">
        <is>
          <t>Clinic</t>
        </is>
      </c>
      <c r="N59" s="2" t="inlineStr">
        <is>
          <t>ข้อ 5 (PLE_CC1_Key_Rx20_UBU.md)</t>
        </is>
      </c>
      <c r="O59" s="2" t="n"/>
      <c r="P59" s="2" t="n"/>
    </row>
    <row r="60" ht="13.2" customHeight="1" s="49">
      <c r="A60" s="8" t="inlineStr">
        <is>
          <t>59</t>
        </is>
      </c>
      <c r="B60" s="2" t="inlineStr">
        <is>
          <t>ยาบำรุงเลือดสำหรับผู้ป่วยโรคไตที่แนะนำในผู้ป่วยรายนี้มากที่สุด</t>
        </is>
      </c>
      <c r="C60" s="2" t="n"/>
      <c r="D60" s="2" t="inlineStr">
        <is>
          <t>Erythropoietin (EPO) 4000 units SC weekly</t>
        </is>
      </c>
      <c r="E60" s="2" t="inlineStr">
        <is>
          <t>Calcitriol 0.25 mcg OD</t>
        </is>
      </c>
      <c r="F60" s="2" t="inlineStr">
        <is>
          <t>Potassium chloride 500 mg BID</t>
        </is>
      </c>
      <c r="G60" s="2" t="inlineStr">
        <is>
          <t>Calcium carbonate 1000 mg TID with meals</t>
        </is>
      </c>
      <c r="H60" s="2" t="inlineStr">
        <is>
          <t>Calcium acetate 667 mg TID with meals</t>
        </is>
      </c>
      <c r="I60" s="8" t="n">
        <v>1</v>
      </c>
      <c r="J6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0" s="2" t="n"/>
      <c r="L60" s="2" t="inlineStr">
        <is>
          <t>Chronic kidney diseases</t>
        </is>
      </c>
      <c r="M60" s="2" t="inlineStr">
        <is>
          <t>Clinic</t>
        </is>
      </c>
      <c r="N60" s="2" t="inlineStr">
        <is>
          <t>ข้อ 3 (PLE_CC1_Key_Rx20_UBU.md)</t>
        </is>
      </c>
      <c r="O60" s="2" t="n"/>
      <c r="P60" s="2" t="n"/>
    </row>
    <row r="61" ht="13.2" customHeight="1" s="49">
      <c r="A61" s="8" t="inlineStr">
        <is>
          <t>60</t>
        </is>
      </c>
      <c r="B61" s="2" t="inlineStr">
        <is>
          <t>การโฆษณาทางวิทยุยาสามัญประจำบ้านแผนโบราณสามารถรักษาโรคไตเรื้องรัง ข้อใดต่อไปนี้ถูก</t>
        </is>
      </c>
      <c r="C61" s="2" t="n"/>
      <c r="D61" s="2" t="inlineStr">
        <is>
          <t>Calcium carbonate 1000 mg TID with meals</t>
        </is>
      </c>
      <c r="E61" s="2" t="inlineStr">
        <is>
          <t>Calcium acetate 667 mg TID with meals</t>
        </is>
      </c>
      <c r="F61" s="2" t="inlineStr">
        <is>
          <t>Sevelamer carbonate 800 mg TID with meals</t>
        </is>
      </c>
      <c r="G61" s="2" t="inlineStr">
        <is>
          <t>Sodium bicarbonate 650 mg TID</t>
        </is>
      </c>
      <c r="H61" s="2" t="inlineStr">
        <is>
          <t>Kayexalate (Sodium polystyrene sulfonate) 15 g TID</t>
        </is>
      </c>
      <c r="I61" s="8" t="n">
        <v>1</v>
      </c>
      <c r="J61"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1" s="2" t="n"/>
      <c r="L61" s="2" t="inlineStr">
        <is>
          <t>Chronic kidney diseases</t>
        </is>
      </c>
      <c r="M61" s="2" t="inlineStr">
        <is>
          <t>Clinic</t>
        </is>
      </c>
      <c r="N61" s="2" t="inlineStr">
        <is>
          <t>ข้อ 8 (PLE_CC1_Key_Rx20_UBU.md)</t>
        </is>
      </c>
      <c r="O61" s="2" t="n"/>
      <c r="P61" s="2" t="n"/>
    </row>
    <row r="62" ht="13.2" customHeight="1" s="49">
      <c r="A62" s="8" t="inlineStr">
        <is>
          <t>61</t>
        </is>
      </c>
      <c r="B62" s="2" t="inlineStr">
        <is>
          <t>Creatinine phosphokinase ตอบ 4. Liver enzyme เนื่องจาก standard regimen มียาที่metabolismผ่านตับคือ H, R, Z มีความเสี่ยงการเกิดตับอักเสบ</t>
        </is>
      </c>
      <c r="C62" s="2" t="n"/>
      <c r="D62" s="2" t="inlineStr">
        <is>
          <t>หากใช้ยาคุมกำเนิดร่วมกับยา Rifampin จะเกิดผลอย่างไรกับยาคุมกำเนิดที่ใช้อยู่</t>
        </is>
      </c>
      <c r="E62" s="2" t="inlineStr">
        <is>
          <t>Kayexalate (Sodium polystyrene sulfonate) 15 g TID</t>
        </is>
      </c>
      <c r="F62" s="2" t="inlineStr">
        <is>
          <t>Calcium gluconate 10% 10 mL IV over 5 min</t>
        </is>
      </c>
      <c r="G62" s="2" t="inlineStr">
        <is>
          <t>Furosemide 40 mg IV/PO OD</t>
        </is>
      </c>
      <c r="H62" s="2" t="inlineStr">
        <is>
          <t>Erythropoietin (EPO) 4000 units SC weekly</t>
        </is>
      </c>
      <c r="I62" s="8" t="n">
        <v>1</v>
      </c>
      <c r="J62"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2" s="2" t="n"/>
      <c r="L62" s="2" t="inlineStr">
        <is>
          <t>Chronic kidney diseases</t>
        </is>
      </c>
      <c r="M62" s="2" t="inlineStr">
        <is>
          <t>Clinic</t>
        </is>
      </c>
      <c r="N62" s="2" t="inlineStr">
        <is>
          <t>ข้อ 5 (PLE_CC1_Key_Rx20_UBU.md)</t>
        </is>
      </c>
      <c r="O62" s="2" t="n"/>
      <c r="P62" s="2" t="n"/>
    </row>
    <row r="63" ht="13.2" customHeight="1" s="49">
      <c r="A63" s="8" t="inlineStr">
        <is>
          <t>62</t>
        </is>
      </c>
      <c r="B63" s="2"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ในผู$ป&amp;วย CKD (ปกติจะมี Mg สูงอยูGแล$ว)</t>
        </is>
      </c>
      <c r="C63" s="2" t="n"/>
      <c r="D63" s="2" t="inlineStr">
        <is>
          <t>Furosemide 40 mg IV/PO OD</t>
        </is>
      </c>
      <c r="E63" s="2" t="inlineStr">
        <is>
          <t>Erythropoietin (EPO) 4000 units SC weekly</t>
        </is>
      </c>
      <c r="F63" s="2" t="inlineStr">
        <is>
          <t>Calcitriol 0.25 mcg OD</t>
        </is>
      </c>
      <c r="G63" s="2" t="inlineStr">
        <is>
          <t>Potassium chloride 500 mg BID</t>
        </is>
      </c>
      <c r="H63" s="2" t="inlineStr">
        <is>
          <t>Calcium carbonate 1000 mg TID with meals</t>
        </is>
      </c>
      <c r="I63" s="8" t="n">
        <v>1</v>
      </c>
      <c r="J63"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3" s="2" t="n"/>
      <c r="L63" s="2" t="inlineStr">
        <is>
          <t>Chronic kidney diseases</t>
        </is>
      </c>
      <c r="M63" s="2" t="inlineStr">
        <is>
          <t>Clinic</t>
        </is>
      </c>
      <c r="N63" s="2" t="inlineStr">
        <is>
          <t>ข้อ 65 (PLE_CC1_Key_Rx20_UBU.md)</t>
        </is>
      </c>
      <c r="O63" s="2" t="n"/>
      <c r="P63" s="2" t="n"/>
    </row>
    <row r="64" ht="13.2" customHeight="1" s="49">
      <c r="A64" s="8" t="inlineStr">
        <is>
          <t>63</t>
        </is>
      </c>
      <c r="B64" s="2" t="inlineStr">
        <is>
          <t>ถ$ามีภาวะไตวาย ห$ามใช$ยาใด</t>
        </is>
      </c>
      <c r="C64" s="2" t="n"/>
      <c r="D64" s="2" t="inlineStr">
        <is>
          <t>Ethambutol</t>
        </is>
      </c>
      <c r="E64" s="2" t="inlineStr">
        <is>
          <t>Streptomycin</t>
        </is>
      </c>
      <c r="F64" s="2" t="inlineStr">
        <is>
          <t>Rifampin</t>
        </is>
      </c>
      <c r="G64" s="2" t="inlineStr">
        <is>
          <t>Pyrazinamide</t>
        </is>
      </c>
      <c r="H64" s="2" t="inlineStr">
        <is>
          <t>Isoniazid</t>
        </is>
      </c>
      <c r="I64" s="8" t="n">
        <v>2</v>
      </c>
      <c r="J64" s="2"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2" t="n"/>
      <c r="L64" s="2" t="inlineStr">
        <is>
          <t>Chronic kidney diseases</t>
        </is>
      </c>
      <c r="M64" s="2" t="inlineStr">
        <is>
          <t>Clinic</t>
        </is>
      </c>
      <c r="N64" s="2" t="inlineStr">
        <is>
          <t>ข้อ 14 (PLE_CC1_Key_Rx20_UBU.md)</t>
        </is>
      </c>
      <c r="O64" s="2" t="n"/>
      <c r="P64" s="2" t="n"/>
    </row>
    <row r="65" ht="13.2" customHeight="1" s="49">
      <c r="A65" s="8" t="inlineStr">
        <is>
          <t>64</t>
        </is>
      </c>
      <c r="B65" s="2" t="inlineStr">
        <is>
          <t>Increase serum creatinine</t>
        </is>
      </c>
      <c r="C65" s="2" t="n"/>
      <c r="D65" s="2" t="inlineStr">
        <is>
          <t>Sevelamer carbonate 800 mg TID with meals</t>
        </is>
      </c>
      <c r="E65" s="2" t="inlineStr">
        <is>
          <t>Sodium bicarbonate 650 mg TID</t>
        </is>
      </c>
      <c r="F65" s="2" t="inlineStr">
        <is>
          <t>Kayexalate (Sodium polystyrene sulfonate) 15 g TID</t>
        </is>
      </c>
      <c r="G65" s="2" t="inlineStr">
        <is>
          <t>Calcium gluconate 10% 10 mL IV over 5 min</t>
        </is>
      </c>
      <c r="H65" s="2" t="inlineStr">
        <is>
          <t>Furosemide 40 mg IV/PO OD</t>
        </is>
      </c>
      <c r="I65" s="8" t="n">
        <v>1</v>
      </c>
      <c r="J65"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5" s="2" t="n"/>
      <c r="L65" s="2" t="inlineStr">
        <is>
          <t>Chronic kidney diseases</t>
        </is>
      </c>
      <c r="M65" s="2" t="inlineStr">
        <is>
          <t>Clinic</t>
        </is>
      </c>
      <c r="N65" s="2" t="inlineStr">
        <is>
          <t>ข้อ 5 (PLE_CC1_Key_Rx20_UBU.md)</t>
        </is>
      </c>
      <c r="O65" s="2" t="n"/>
      <c r="P65" s="2" t="n"/>
    </row>
    <row r="66" ht="13.2" customHeight="1" s="49">
      <c r="A66" s="8" t="inlineStr">
        <is>
          <t>65</t>
        </is>
      </c>
      <c r="B66" s="2" t="inlineStr">
        <is>
          <t>Serum creatinine</t>
        </is>
      </c>
      <c r="C66" s="2" t="n"/>
      <c r="D66" s="2" t="inlineStr">
        <is>
          <t>Calcium gluconate 10% 10 mL IV over 5 min</t>
        </is>
      </c>
      <c r="E66" s="2" t="inlineStr">
        <is>
          <t>Furosemide 40 mg IV/PO OD</t>
        </is>
      </c>
      <c r="F66" s="2" t="inlineStr">
        <is>
          <t>Erythropoietin (EPO) 4000 units SC weekly</t>
        </is>
      </c>
      <c r="G66" s="2" t="inlineStr">
        <is>
          <t>Calcitriol 0.25 mcg OD</t>
        </is>
      </c>
      <c r="H66" s="2" t="inlineStr">
        <is>
          <t>Potassium chloride 500 mg BID</t>
        </is>
      </c>
      <c r="I66" s="8" t="n">
        <v>1</v>
      </c>
      <c r="J66"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6" s="2" t="n"/>
      <c r="L66" s="2" t="inlineStr">
        <is>
          <t>Chronic kidney diseases</t>
        </is>
      </c>
      <c r="M66" s="2" t="inlineStr">
        <is>
          <t>Clinic</t>
        </is>
      </c>
      <c r="N66" s="2" t="inlineStr">
        <is>
          <t>ข้อ 2 (PLE_CC1_Key_Rx20_UBU.md)</t>
        </is>
      </c>
      <c r="O66" s="2" t="n"/>
      <c r="P66" s="2" t="n"/>
    </row>
    <row r="67" ht="13.2" customHeight="1" s="49">
      <c r="A67" s="8" t="inlineStr">
        <is>
          <t>66</t>
        </is>
      </c>
      <c r="B67" s="2" t="inlineStr">
        <is>
          <t>Serum creatinine kinase</t>
        </is>
      </c>
      <c r="C67" s="2" t="n"/>
      <c r="D67" s="2" t="inlineStr">
        <is>
          <t>Calcitriol 0.25 mcg OD</t>
        </is>
      </c>
      <c r="E67" s="2" t="inlineStr">
        <is>
          <t>Potassium chloride 500 mg BID</t>
        </is>
      </c>
      <c r="F67" s="2" t="inlineStr">
        <is>
          <t>Calcium carbonate 1000 mg TID with meals</t>
        </is>
      </c>
      <c r="G67" s="2" t="inlineStr">
        <is>
          <t>Calcium acetate 667 mg TID with meals</t>
        </is>
      </c>
      <c r="H67" s="2" t="inlineStr">
        <is>
          <t>Sevelamer carbonate 800 mg TID with meals</t>
        </is>
      </c>
      <c r="I67" s="8" t="n">
        <v>1</v>
      </c>
      <c r="J67"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7" s="2" t="n"/>
      <c r="L67" s="2" t="inlineStr">
        <is>
          <t>Chronic kidney diseases</t>
        </is>
      </c>
      <c r="M67" s="2" t="inlineStr">
        <is>
          <t>Clinic</t>
        </is>
      </c>
      <c r="N67" s="2" t="inlineStr">
        <is>
          <t>ข้อ 4 (PLE_CC1_Key_Rx20_UBU.md)</t>
        </is>
      </c>
      <c r="O67" s="2" t="n"/>
      <c r="P67" s="2" t="n"/>
    </row>
    <row r="68" ht="13.2" customHeight="1" s="49">
      <c r="A68" s="8" t="inlineStr">
        <is>
          <t>67</t>
        </is>
      </c>
      <c r="B68" s="2" t="inlineStr">
        <is>
          <t>ควรประเมินการทำงานของไต</t>
        </is>
      </c>
      <c r="C68" s="2" t="n"/>
      <c r="D68" s="2" t="inlineStr">
        <is>
          <t>Calcium acetate 667 mg TID with meals</t>
        </is>
      </c>
      <c r="E68" s="2" t="inlineStr">
        <is>
          <t>Sevelamer carbonate 800 mg TID with meals</t>
        </is>
      </c>
      <c r="F68" s="2" t="inlineStr">
        <is>
          <t>Sodium bicarbonate 650 mg TID</t>
        </is>
      </c>
      <c r="G68" s="2" t="inlineStr">
        <is>
          <t>Kayexalate (Sodium polystyrene sulfonate) 15 g TID</t>
        </is>
      </c>
      <c r="H68" s="2" t="inlineStr">
        <is>
          <t>Calcium gluconate 10% 10 mL IV over 5 min</t>
        </is>
      </c>
      <c r="I68" s="8" t="n">
        <v>1</v>
      </c>
      <c r="J68"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8" s="2" t="n"/>
      <c r="L68" s="2" t="inlineStr">
        <is>
          <t>Chronic kidney diseases</t>
        </is>
      </c>
      <c r="M68" s="2" t="inlineStr">
        <is>
          <t>Clinic</t>
        </is>
      </c>
      <c r="N68" s="2" t="inlineStr">
        <is>
          <t>ข้อ 3 (PLE_CC1_Key_Rx20_UBU.md)</t>
        </is>
      </c>
      <c r="O68" s="2" t="n"/>
      <c r="P68" s="2" t="n"/>
    </row>
    <row r="69" ht="13.2" customHeight="1" s="49">
      <c r="A69" s="8" t="inlineStr">
        <is>
          <t>68</t>
        </is>
      </c>
      <c r="B69" s="2" t="inlineStr">
        <is>
          <t>Ganciclovir encephalitis ,PCP ใช้ Bactrim ทั้งคู๋ Case 7: โรคไต หญิงอายุ 68 ปี น้ำหนัก 50 kg เป็นโรคไตเรื้อรังมานาน 2 ปี serum creatinine 5 mg/dl</t>
        </is>
      </c>
      <c r="C69" s="2" t="n"/>
      <c r="D69" s="2" t="inlineStr">
        <is>
          <t>Kayexalate (Sodium polystyrene sulfonate) 15 g TID</t>
        </is>
      </c>
      <c r="E69" s="2" t="inlineStr">
        <is>
          <t>Calcium gluconate 10% 10 mL IV over 5 min</t>
        </is>
      </c>
      <c r="F69" s="2" t="inlineStr">
        <is>
          <t>Furosemide 40 mg IV/PO OD</t>
        </is>
      </c>
      <c r="G69" s="2" t="inlineStr">
        <is>
          <t>Erythropoietin (EPO) 4000 units SC weekly</t>
        </is>
      </c>
      <c r="H69" s="2" t="inlineStr">
        <is>
          <t>Calcitriol 0.25 mcg OD</t>
        </is>
      </c>
      <c r="I69" s="8" t="n">
        <v>3</v>
      </c>
      <c r="J69" s="2" t="inlineStr">
        <is>
          <t>✅ คำตอบที่ถูกต้อง: ข้อ 3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9" s="2" t="n"/>
      <c r="L69" s="2" t="inlineStr">
        <is>
          <t>Chronic kidney diseases</t>
        </is>
      </c>
      <c r="M69" s="2" t="inlineStr">
        <is>
          <t>Clinic</t>
        </is>
      </c>
      <c r="N69" s="2" t="inlineStr">
        <is>
          <t>ข้อ 4 (PLE_CC1_Key_Rx20_UBU.md)</t>
        </is>
      </c>
      <c r="O69" s="2" t="n"/>
      <c r="P69" s="2" t="n"/>
    </row>
    <row r="70" ht="13.2" customHeight="1" s="49">
      <c r="A70" s="8" t="inlineStr">
        <is>
          <t>69</t>
        </is>
      </c>
      <c r="B70" s="2" t="inlineStr">
        <is>
          <t>ผู้ป่วยเป็นโรคไตในระยะใด</t>
        </is>
      </c>
      <c r="C70" s="2" t="n"/>
      <c r="D70" s="2" t="inlineStr">
        <is>
          <t>Erythropoietin (EPO) 4000 units SC weekly</t>
        </is>
      </c>
      <c r="E70" s="2" t="inlineStr">
        <is>
          <t>Calcitriol 0.25 mcg OD</t>
        </is>
      </c>
      <c r="F70" s="2" t="inlineStr">
        <is>
          <t>Potassium chloride 500 mg BID</t>
        </is>
      </c>
      <c r="G70" s="2" t="inlineStr">
        <is>
          <t>Calcium carbonate 1000 mg TID with meals</t>
        </is>
      </c>
      <c r="H70" s="2" t="inlineStr">
        <is>
          <t>Calcium acetate 667 mg TID with meals</t>
        </is>
      </c>
      <c r="I70" s="8" t="n">
        <v>1</v>
      </c>
      <c r="J70" s="2"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
🔍 ข้ออื่นผิดเพราะอะไร:
- ตัวเลือกอื่น: ไม่สอดคล้องกับพยาธิสรีรวิทยา ข้อกำหนดทางเภสัชตำรับ หรือแนวทางมาตรฐานสากล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70" s="2" t="n"/>
      <c r="L70" s="2" t="inlineStr">
        <is>
          <t>Chronic kidney diseases</t>
        </is>
      </c>
      <c r="M70" s="2" t="inlineStr">
        <is>
          <t>Clinic</t>
        </is>
      </c>
      <c r="N70" s="2" t="inlineStr">
        <is>
          <t>ข้อ 2 (PLE_CC1_Key_Rx20_UBU.md)</t>
        </is>
      </c>
      <c r="O70" s="2" t="n"/>
      <c r="P70" s="2" t="n"/>
    </row>
    <row r="71" ht="13.2" customHeight="1" s="49">
      <c r="A71" t="n">
        <v>70</v>
      </c>
      <c r="B71" t="inlineStr">
        <is>
          <t>เภสัชกรควรแนะนำการใช้ยา savelamer carbonate อย่างไร = = or , Tricians Undign, navos X ิomdermissionery ~</t>
        </is>
      </c>
      <c r="D71" t="inlineStr">
        <is>
          <t>ห้ามเคี้ยวหรือบดให้ละเอียดก่อนรับประทาน</t>
        </is>
      </c>
      <c r="E71" t="inlineStr">
        <is>
          <t>ลดการกินอาหารที่มีโพแทสเซียมสูง</t>
        </is>
      </c>
      <c r="F71" t="inlineStr">
        <is>
          <t>ยานี้อาจทำให้เกิดการชักจากการขาดแคลเซียม</t>
        </is>
      </c>
      <c r="G71" t="inlineStr">
        <is>
          <t>กำจัดปริมาณน้ำต่อวันให้น้อยกว่า 1 ลิตร</t>
        </is>
      </c>
      <c r="H71" t="inlineStr">
        <is>
          <t>รับประทานก่อนนอน</t>
        </is>
      </c>
      <c r="I71" t="inlineStr">
        <is>
          <t>1</t>
        </is>
      </c>
      <c r="J71"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1" t="inlineStr">
        <is>
          <t>Hypertension</t>
        </is>
      </c>
      <c r="M71" t="inlineStr">
        <is>
          <t>Clinic</t>
        </is>
      </c>
      <c r="N71" t="inlineStr">
        <is>
          <t>ข้อ 78 (PLE_CC1_2562_Key.md)</t>
        </is>
      </c>
    </row>
    <row r="72" ht="13.2" customHeight="1" s="49">
      <c r="A72" t="n">
        <v>71</v>
      </c>
      <c r="B72" t="inlineStr">
        <is>
          <t>ยาในข้อใดมีผลทำให(เกิด proteinuria hypophosphatemia glycosuria hypokalemia hypocalcaemia และ bicarbonate wasting is't salty</t>
        </is>
      </c>
      <c r="D72" t="inlineStr">
        <is>
          <t>Acyclovir</t>
        </is>
      </c>
      <c r="E72" t="inlineStr">
        <is>
          <t>Tenofovir</t>
        </is>
      </c>
      <c r="F72" t="inlineStr">
        <is>
          <t>Amoxicillin</t>
        </is>
      </c>
      <c r="G72" t="inlineStr">
        <is>
          <t>Doxycycline</t>
        </is>
      </c>
      <c r="H72" t="inlineStr">
        <is>
          <t>Clindamycin</t>
        </is>
      </c>
      <c r="I72" t="inlineStr">
        <is>
          <t>1</t>
        </is>
      </c>
      <c r="J72"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L72" t="inlineStr">
        <is>
          <t>Hypertension</t>
        </is>
      </c>
      <c r="M72" t="inlineStr">
        <is>
          <t>Clinic</t>
        </is>
      </c>
      <c r="N72" t="inlineStr">
        <is>
          <t>ข้อ 67 (PLE_CC1_2561_Key.md)</t>
        </is>
      </c>
    </row>
    <row r="73" ht="13.2" customHeight="1" s="49">
      <c r="A73" t="n">
        <v>72</v>
      </c>
      <c r="B73" t="inlineStr">
        <is>
          <t>ยาในข้อใดเป็นยาทางเลือกแรกในการรักษาภาวะ Hyperphosphatemia</t>
        </is>
      </c>
      <c r="D73" t="inlineStr">
        <is>
          <t>Aluminum hydroxide</t>
        </is>
      </c>
      <c r="E73" t="inlineStr">
        <is>
          <t>Calcium hydroxide</t>
        </is>
      </c>
      <c r="F73" t="inlineStr">
        <is>
          <t>Sodium polystyrene sulfonate</t>
        </is>
      </c>
      <c r="G73" t="inlineStr">
        <is>
          <t>Calcium polystyrene sulfonate</t>
        </is>
      </c>
      <c r="H73" t="inlineStr">
        <is>
          <t>Sodium bicarbonate</t>
        </is>
      </c>
      <c r="I73" t="inlineStr">
        <is>
          <t>1</t>
        </is>
      </c>
      <c r="J73"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3" t="inlineStr">
        <is>
          <t>Hypertension</t>
        </is>
      </c>
      <c r="M73" t="inlineStr">
        <is>
          <t>Clinic</t>
        </is>
      </c>
      <c r="N73" t="inlineStr">
        <is>
          <t>ข้อ 83 (Pharmtutor_2024_Set2.md)</t>
        </is>
      </c>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2"/>
  <sheetViews>
    <sheetView workbookViewId="0">
      <selection activeCell="A1" sqref="A1"/>
    </sheetView>
  </sheetViews>
  <sheetFormatPr baseColWidth="8" defaultRowHeight="13.2"/>
  <cols>
    <col width="10" customWidth="1" style="49" min="1" max="1"/>
    <col width="60" customWidth="1" style="49" min="2" max="2"/>
    <col width="15" customWidth="1" style="49" min="3" max="3"/>
    <col width="35" customWidth="1" style="49" min="4" max="8"/>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8.05" customHeight="1" s="49">
      <c r="A2" s="44" t="inlineStr">
        <is>
          <t>ข้อที่</t>
        </is>
      </c>
      <c r="B2" s="44" t="inlineStr">
        <is>
          <t>คำถาม</t>
        </is>
      </c>
      <c r="C2" s="44" t="inlineStr">
        <is>
          <t>รูปถาม</t>
        </is>
      </c>
      <c r="D2" s="44" t="inlineStr">
        <is>
          <t>ตัวเลือก 1</t>
        </is>
      </c>
      <c r="E2" s="44" t="inlineStr">
        <is>
          <t>ตัวเลือก 2</t>
        </is>
      </c>
      <c r="F2" s="44" t="inlineStr">
        <is>
          <t>ตัวเลือก 3</t>
        </is>
      </c>
      <c r="G2" s="44" t="inlineStr">
        <is>
          <t>ตัวเลือก 4</t>
        </is>
      </c>
      <c r="H2" s="44" t="inlineStr">
        <is>
          <t>ตัวเลือก 5</t>
        </is>
      </c>
      <c r="I2" s="44" t="inlineStr">
        <is>
          <t>เฉลย (ตัวเลข 1-5)</t>
        </is>
      </c>
      <c r="J2" s="44" t="inlineStr">
        <is>
          <t>คำอธิบายเฉลย</t>
        </is>
      </c>
      <c r="K2" s="44" t="inlineStr">
        <is>
          <t>รูปเฉลย</t>
        </is>
      </c>
      <c r="L2" s="44" t="inlineStr">
        <is>
          <t>Filter หมวด/Subtopic</t>
        </is>
      </c>
      <c r="M2" s="44" t="inlineStr">
        <is>
          <t>Product / Clinic</t>
        </is>
      </c>
      <c r="N2" s="44" t="inlineStr">
        <is>
          <t>หมายเหตุ</t>
        </is>
      </c>
      <c r="Q2" t="inlineStr">
        <is>
          <t>Case ID (รหัสเคส)</t>
        </is>
      </c>
    </row>
    <row r="3" ht="64.95" customHeight="1" s="49">
      <c r="A3" s="35" t="n">
        <v>1</v>
      </c>
      <c r="B3" s="34"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45" t="n"/>
      <c r="D3" s="34" t="inlineStr">
        <is>
          <t>เริ่มให้ N-acetylcysteine (NAC) ทางหลอดเลือดดำทันทีตามเกณฑ์ Rumack-Matthew nomogram</t>
        </is>
      </c>
      <c r="E3" s="34" t="inlineStr">
        <is>
          <t>ให้ Activated charcoal 50 กรัม รับประทานทันทีเพื่อลดการดูดซึมยา</t>
        </is>
      </c>
      <c r="F3" s="34" t="inlineStr">
        <is>
          <t>รอตรวจซ้ำ Serum Paracetamol ที่ 12 ชั่วโมงหลังรับประทานยาก่อนตัดสินใจให้ยาต้านพิษ</t>
        </is>
      </c>
      <c r="G3" s="34" t="inlineStr">
        <is>
          <t>ให้การรักษาแบบประคับประคองและติดตามค่า AST/ALT ทุก 24 ชั่วโมงโดยไม่ต้องให้ยาต้านพิษ</t>
        </is>
      </c>
      <c r="H3" s="34" t="inlineStr">
        <is>
          <t>ทำ Gastric lavage ร่วมกับให้ Sodium bicarbonate ทางหลอดเลือดดำ</t>
        </is>
      </c>
      <c r="I3" s="35" t="n">
        <v>1</v>
      </c>
      <c r="J3" s="34"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45" t="n"/>
      <c r="L3" s="35" t="inlineStr">
        <is>
          <t>Paracetamol Toxicity</t>
        </is>
      </c>
      <c r="M3" s="35" t="inlineStr">
        <is>
          <t>Clinic</t>
        </is>
      </c>
      <c r="N3" s="34" t="inlineStr">
        <is>
          <t>Rumack-Matthew Nomogram &amp; NAC Protocol</t>
        </is>
      </c>
    </row>
    <row r="4" ht="64.95" customHeight="1" s="49">
      <c r="A4" s="35" t="n">
        <v>2</v>
      </c>
      <c r="B4" s="34"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45" t="n"/>
      <c r="D4" s="34" t="inlineStr">
        <is>
          <t>หยุดหยดยา NAC ชั่วคราว ให้ Chlorpheniramine ฉีดเข้าหลอดเลือดดำ และเริ่มหยด NAC ต่อในอัตราที่ช้าลงเมื่ออาการดีขึ้น</t>
        </is>
      </c>
      <c r="E4" s="34" t="inlineStr">
        <is>
          <t>หยุดยา NAC ถาวรทันทีและเปลี่ยนเป็น Activated charcoal ทางสายยาง</t>
        </is>
      </c>
      <c r="F4" s="34" t="inlineStr">
        <is>
          <t>ฉีด Adrenaline (Epinephrine) 0.5 mg เข้ากล้ามเนื้อทันทีเนื่องจากเป็น Anaphylaxis</t>
        </is>
      </c>
      <c r="G4" s="34" t="inlineStr">
        <is>
          <t>เพิ่มอัตราเร็วการหยดยา NAC ให้หมดเร็วขึ้นเพื่อรีบขับพิษออกจากร่างกาย</t>
        </is>
      </c>
      <c r="H4" s="34" t="inlineStr">
        <is>
          <t>ให้ Hydrocortisone 100 mg IV และส่งผู้ป่วยเข้าห้องผ่าตัดเพื่อปลูกถ่ายตับฉุกเฉิน</t>
        </is>
      </c>
      <c r="I4" s="35" t="n">
        <v>1</v>
      </c>
      <c r="J4" s="34"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45" t="n"/>
      <c r="L4" s="35" t="inlineStr">
        <is>
          <t>Paracetamol Toxicity</t>
        </is>
      </c>
      <c r="M4" s="35" t="inlineStr">
        <is>
          <t>Clinic</t>
        </is>
      </c>
      <c r="N4" s="34" t="inlineStr">
        <is>
          <t>NAC Non-IgE Anaphylactoid Reaction</t>
        </is>
      </c>
    </row>
    <row r="5" ht="64.95" customHeight="1" s="49">
      <c r="A5" s="35" t="n">
        <v>3</v>
      </c>
      <c r="B5" s="34"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45" t="n"/>
      <c r="D5" s="34" t="inlineStr">
        <is>
          <t>Naloxone</t>
        </is>
      </c>
      <c r="E5" s="34" t="inlineStr">
        <is>
          <t>Flumazenil</t>
        </is>
      </c>
      <c r="F5" s="34" t="inlineStr">
        <is>
          <t>Atropine</t>
        </is>
      </c>
      <c r="G5" s="34" t="inlineStr">
        <is>
          <t>N-acetylcysteine</t>
        </is>
      </c>
      <c r="H5" s="34" t="inlineStr">
        <is>
          <t>Sodium bicarbonate</t>
        </is>
      </c>
      <c r="I5" s="35" t="n">
        <v>1</v>
      </c>
      <c r="J5" s="34"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45" t="n"/>
      <c r="L5" s="35" t="inlineStr">
        <is>
          <t>Opioid Toxicity</t>
        </is>
      </c>
      <c r="M5" s="35" t="inlineStr">
        <is>
          <t>Clinic</t>
        </is>
      </c>
      <c r="N5" s="34" t="inlineStr">
        <is>
          <t>Opioid Toxidrome &amp; Naloxone</t>
        </is>
      </c>
    </row>
    <row r="6" ht="64.95" customHeight="1" s="49">
      <c r="A6" s="35" t="n">
        <v>4</v>
      </c>
      <c r="B6" s="34"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45" t="n"/>
      <c r="D6" s="34"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34" t="inlineStr">
        <is>
          <t>สามารถอนุญาตให้กลับบ้านได้ทันทีหากเดินทรงตัวได้ดี</t>
        </is>
      </c>
      <c r="F6" s="34" t="inlineStr">
        <is>
          <t>สังเกตอาการต่อเพียง 1 ชั่วโมง หากไม่ง่วงซึมสามารถกลับบ้านได้</t>
        </is>
      </c>
      <c r="G6" s="34" t="inlineStr">
        <is>
          <t>ให้ยา Naloxone ชนิดรับประทานกลับไปกินที่บ้านต่อเนื่อง 3 วัน</t>
        </is>
      </c>
      <c r="H6" s="34" t="inlineStr">
        <is>
          <t>เปลี่ยนยาเป็น Naltrexone ฉีดเข้ากล้ามเนื้อก่อนจำหน่ายออกจากโรงพยาบาล</t>
        </is>
      </c>
      <c r="I6" s="35" t="n">
        <v>1</v>
      </c>
      <c r="J6" s="34"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45" t="n"/>
      <c r="L6" s="35" t="inlineStr">
        <is>
          <t>Opioid Toxicity</t>
        </is>
      </c>
      <c r="M6" s="35" t="inlineStr">
        <is>
          <t>Clinic</t>
        </is>
      </c>
      <c r="N6" s="34" t="inlineStr">
        <is>
          <t>Renarcotization risk with Methadone</t>
        </is>
      </c>
    </row>
    <row r="7" ht="64.95" customHeight="1" s="49">
      <c r="A7" s="35" t="n">
        <v>5</v>
      </c>
      <c r="B7" s="34"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45" t="n"/>
      <c r="D7" s="34" t="inlineStr">
        <is>
          <t>Atropine sulfate</t>
        </is>
      </c>
      <c r="E7" s="34" t="inlineStr">
        <is>
          <t>Pralidoxime (2-PAM)</t>
        </is>
      </c>
      <c r="F7" s="34" t="inlineStr">
        <is>
          <t>Diphenhydramine</t>
        </is>
      </c>
      <c r="G7" s="34" t="inlineStr">
        <is>
          <t>Salbutamol nebulizer</t>
        </is>
      </c>
      <c r="H7" s="34" t="inlineStr">
        <is>
          <t>Succinylcholine</t>
        </is>
      </c>
      <c r="I7" s="35" t="n">
        <v>1</v>
      </c>
      <c r="J7" s="34"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45" t="n"/>
      <c r="L7" s="35" t="inlineStr">
        <is>
          <t>Organophosphate Toxicity</t>
        </is>
      </c>
      <c r="M7" s="35" t="inlineStr">
        <is>
          <t>Clinic</t>
        </is>
      </c>
      <c r="N7" s="34" t="inlineStr">
        <is>
          <t>Cholinergic Toxidrome &amp; Atropine</t>
        </is>
      </c>
    </row>
    <row r="8" ht="64.95" customHeight="1" s="49">
      <c r="A8" s="35" t="n">
        <v>6</v>
      </c>
      <c r="B8" s="34" t="inlineStr">
        <is>
          <t>ข้อใดเป็นข้อบ่งชี้และหลักการที่ถูกต้องในการใช้ Pralidoxime (2-PAM) ในผู้ป่วยที่ได้รับสารพิษกลุ่ม Organophosphates</t>
        </is>
      </c>
      <c r="C8" s="45" t="n"/>
      <c r="D8" s="34"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34" t="inlineStr">
        <is>
          <t>ให้เดี่ยวๆ โดยไม่ต้องให้ Atropine ร่วมด้วย</t>
        </is>
      </c>
      <c r="F8" s="34" t="inlineStr">
        <is>
          <t>ใช้ได้ผลดีเลิศและจำเป็นต้องให้ในผู้ป่วยที่ได้รับสารพิษกลุ่ม Carbamates ทุกราย</t>
        </is>
      </c>
      <c r="G8" s="34" t="inlineStr">
        <is>
          <t>ให้เฉพาะเมื่อผู้ป่วยมีอาการน้ำลายไหลและม่านตาหดเล็กเท่านั้น</t>
        </is>
      </c>
      <c r="H8" s="34" t="inlineStr">
        <is>
          <t>สามารถให้ทดแทนการล้างตัว (Decontamination) ในผู้ป่วยที่สัมผัสทางผิวหนังได้</t>
        </is>
      </c>
      <c r="I8" s="35" t="n">
        <v>1</v>
      </c>
      <c r="J8" s="34"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45" t="n"/>
      <c r="L8" s="35" t="inlineStr">
        <is>
          <t>Organophosphate Toxicity</t>
        </is>
      </c>
      <c r="M8" s="35" t="inlineStr">
        <is>
          <t>Clinic</t>
        </is>
      </c>
      <c r="N8" s="34" t="inlineStr">
        <is>
          <t>Pralidoxime &amp; Aging of AChE</t>
        </is>
      </c>
    </row>
    <row r="9" ht="64.95" customHeight="1" s="49">
      <c r="A9" s="35" t="n">
        <v>7</v>
      </c>
      <c r="B9" s="34"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45" t="n"/>
      <c r="D9" s="34" t="inlineStr">
        <is>
          <t>Fomepizole หรือ Ethanol 10% IV infusion</t>
        </is>
      </c>
      <c r="E9" s="34" t="inlineStr">
        <is>
          <t>Methylene blue</t>
        </is>
      </c>
      <c r="F9" s="34" t="inlineStr">
        <is>
          <t>Dimercaprol (BAL)</t>
        </is>
      </c>
      <c r="G9" s="34" t="inlineStr">
        <is>
          <t>Thiamine IV</t>
        </is>
      </c>
      <c r="H9" s="34" t="inlineStr">
        <is>
          <t>Deferoxamine</t>
        </is>
      </c>
      <c r="I9" s="35" t="n">
        <v>1</v>
      </c>
      <c r="J9" s="34"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45" t="n"/>
      <c r="L9" s="35" t="inlineStr">
        <is>
          <t>Toxic Alcohol</t>
        </is>
      </c>
      <c r="M9" s="35" t="inlineStr">
        <is>
          <t>Clinic</t>
        </is>
      </c>
      <c r="N9" s="34" t="inlineStr">
        <is>
          <t>Methanol toxicity &amp; Alcohol dehydrogenase</t>
        </is>
      </c>
    </row>
    <row r="10" ht="64.95" customHeight="1" s="49">
      <c r="A10" s="35" t="n">
        <v>8</v>
      </c>
      <c r="B10" s="34"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45" t="n"/>
      <c r="D10" s="34" t="inlineStr">
        <is>
          <t>Folic acid (หรือ Folinic acid / Leucovorin)</t>
        </is>
      </c>
      <c r="E10" s="34" t="inlineStr">
        <is>
          <t>Pyridoxine (Vitamin B6)</t>
        </is>
      </c>
      <c r="F10" s="34" t="inlineStr">
        <is>
          <t>Thiamine (Vitamin B1)</t>
        </is>
      </c>
      <c r="G10" s="34" t="inlineStr">
        <is>
          <t>Vitamin K1 (Phytomenadione)</t>
        </is>
      </c>
      <c r="H10" s="34" t="inlineStr">
        <is>
          <t>Ascorbic acid (Vitamin C)</t>
        </is>
      </c>
      <c r="I10" s="35" t="n">
        <v>1</v>
      </c>
      <c r="J10" s="34"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45" t="n"/>
      <c r="L10" s="35" t="inlineStr">
        <is>
          <t>Toxic Alcohol</t>
        </is>
      </c>
      <c r="M10" s="35" t="inlineStr">
        <is>
          <t>Clinic</t>
        </is>
      </c>
      <c r="N10" s="34" t="inlineStr">
        <is>
          <t>Folic acid role in Methanol metabolism</t>
        </is>
      </c>
    </row>
    <row r="11" ht="64.95" customHeight="1" s="49">
      <c r="A11" s="35" t="n">
        <v>9</v>
      </c>
      <c r="B11" s="34"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45" t="n"/>
      <c r="D11" s="34" t="inlineStr">
        <is>
          <t>Hydroxocobalamin (Cyanokit)</t>
        </is>
      </c>
      <c r="E11" s="34" t="inlineStr">
        <is>
          <t>Sodium nitrite + Sodium thiosulfate</t>
        </is>
      </c>
      <c r="F11" s="34" t="inlineStr">
        <is>
          <t>Methylene blue</t>
        </is>
      </c>
      <c r="G11" s="34" t="inlineStr">
        <is>
          <t>N-acetylcysteine</t>
        </is>
      </c>
      <c r="H11" s="34" t="inlineStr">
        <is>
          <t>Atropine + Pralidoxime</t>
        </is>
      </c>
      <c r="I11" s="35" t="n">
        <v>1</v>
      </c>
      <c r="J11" s="34"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45" t="n"/>
      <c r="L11" s="35" t="inlineStr">
        <is>
          <t>Cyanide Toxicity</t>
        </is>
      </c>
      <c r="M11" s="35" t="inlineStr">
        <is>
          <t>Clinic</t>
        </is>
      </c>
      <c r="N11" s="34" t="inlineStr">
        <is>
          <t>Cyanide Poisoning in Smoke Inhalation</t>
        </is>
      </c>
    </row>
    <row r="12" ht="64.95" customHeight="1" s="49">
      <c r="A12" s="35" t="n">
        <v>10</v>
      </c>
      <c r="B12" s="34" t="inlineStr">
        <is>
          <t>กลไกการออกฤทธิ์ของ Sodium thiosulfate ในการรักษาภาวะพิษจาก Cyanide คือข้อใด</t>
        </is>
      </c>
      <c r="C12" s="45" t="n"/>
      <c r="D12" s="34" t="inlineStr">
        <is>
          <t>ทำหน้าที่เป็น Sulfur donor ให้แก่เอนไซม์ Rhodanese เพื่อเปลี่ยน Cyanide เป็น Thiocyanate ที่ไม่เป็นพิษและขับออกทางไต</t>
        </is>
      </c>
      <c r="E12" s="34" t="inlineStr">
        <is>
          <t>ออกซิไดซ์ฮีโมโกลบินให้กลายเป็น Methemoglobin เพื่อดึง Cyanide ออกจาก Cytochrome oxidase</t>
        </is>
      </c>
      <c r="F12" s="34" t="inlineStr">
        <is>
          <t>แย่งจับกับ Cytochrome c oxidase โดยตรงเพื่อป้องกันไม่ให้ Cyanide เข้าจับ</t>
        </is>
      </c>
      <c r="G12" s="34" t="inlineStr">
        <is>
          <t>กระตุ้นการทำงานของ Cytochrome P450 ในตับเพื่อสลายโมเลกุลของ Cyanide</t>
        </is>
      </c>
      <c r="H12" s="34" t="inlineStr">
        <is>
          <t>จับกับ Cyanide ในทางเดินอาหารและป้องกันการดูดซึม</t>
        </is>
      </c>
      <c r="I12" s="35" t="n">
        <v>1</v>
      </c>
      <c r="J12" s="34"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45" t="n"/>
      <c r="L12" s="35" t="inlineStr">
        <is>
          <t>Cyanide Toxicity</t>
        </is>
      </c>
      <c r="M12" s="35" t="inlineStr">
        <is>
          <t>Clinic</t>
        </is>
      </c>
      <c r="N12" s="34" t="inlineStr">
        <is>
          <t>Sodium thiosulfate mechanism of action</t>
        </is>
      </c>
    </row>
    <row r="13" ht="64.95" customHeight="1" s="49">
      <c r="A13" s="35" t="n">
        <v>11</v>
      </c>
      <c r="B13" s="34"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45" t="n"/>
      <c r="D13" s="34" t="inlineStr">
        <is>
          <t>Hypokalemia</t>
        </is>
      </c>
      <c r="E13" s="34" t="inlineStr">
        <is>
          <t>Hyperkalemia</t>
        </is>
      </c>
      <c r="F13" s="34" t="inlineStr">
        <is>
          <t>Hypernatremia</t>
        </is>
      </c>
      <c r="G13" s="34" t="inlineStr">
        <is>
          <t>Hypercalcemia เดี่ยวๆ โดยที่โปแทสเซียมปกติ</t>
        </is>
      </c>
      <c r="H13" s="34" t="inlineStr">
        <is>
          <t>Hyponatremia</t>
        </is>
      </c>
      <c r="I13" s="35" t="n">
        <v>1</v>
      </c>
      <c r="J13" s="34"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45" t="n"/>
      <c r="L13" s="35" t="inlineStr">
        <is>
          <t>Digoxin Toxicity</t>
        </is>
      </c>
      <c r="M13" s="35" t="inlineStr">
        <is>
          <t>Clinic</t>
        </is>
      </c>
      <c r="N13" s="34" t="inlineStr">
        <is>
          <t>Hypokalemia predisposing to Digoxin toxicity</t>
        </is>
      </c>
    </row>
    <row r="14" ht="64.95" customHeight="1" s="49">
      <c r="A14" s="35" t="n">
        <v>12</v>
      </c>
      <c r="B14" s="34"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45" t="n"/>
      <c r="D14" s="34" t="inlineStr">
        <is>
          <t>ยาแก้พิษคือ Digoxin-specific Fab (Digibind) และห้ามฉีด Calcium gluconate/chloride</t>
        </is>
      </c>
      <c r="E14" s="34" t="inlineStr">
        <is>
          <t>ยาแก้พิษคือ Calcium chloride และห้ามให้ Digoxin-specific Fab</t>
        </is>
      </c>
      <c r="F14" s="34" t="inlineStr">
        <is>
          <t>ยาแก้พิษคือ Atropine และห้ามให้ Potassium chloride</t>
        </is>
      </c>
      <c r="G14" s="34" t="inlineStr">
        <is>
          <t>ยาแก้พิษคือ Sodium polystyrene sulfonate และห้ามให้ Magnesium</t>
        </is>
      </c>
      <c r="H14" s="34" t="inlineStr">
        <is>
          <t>ยาแก้พิษคือ Amiodarone และห้ามให้ Lidocaine</t>
        </is>
      </c>
      <c r="I14" s="35" t="n">
        <v>1</v>
      </c>
      <c r="J14" s="34"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45" t="n"/>
      <c r="L14" s="35" t="inlineStr">
        <is>
          <t>Digoxin Toxicity</t>
        </is>
      </c>
      <c r="M14" s="35" t="inlineStr">
        <is>
          <t>Clinic</t>
        </is>
      </c>
      <c r="N14" s="34" t="inlineStr">
        <is>
          <t>Digibind &amp; Avoid Calcium in Digoxin toxicity</t>
        </is>
      </c>
    </row>
    <row r="15" ht="64.95" customHeight="1" s="49">
      <c r="A15" s="35" t="n">
        <v>13</v>
      </c>
      <c r="B15" s="34"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45" t="n"/>
      <c r="D15" s="34" t="inlineStr">
        <is>
          <t>Deferoxamine (Desferrioxamine)</t>
        </is>
      </c>
      <c r="E15" s="34" t="inlineStr">
        <is>
          <t>Dimercaprol (BAL)</t>
        </is>
      </c>
      <c r="F15" s="34" t="inlineStr">
        <is>
          <t>Calcium disodium EDTA</t>
        </is>
      </c>
      <c r="G15" s="34" t="inlineStr">
        <is>
          <t>Penicillamine</t>
        </is>
      </c>
      <c r="H15" s="34" t="inlineStr">
        <is>
          <t>Succimer (DMSA)</t>
        </is>
      </c>
      <c r="I15" s="35" t="n">
        <v>1</v>
      </c>
      <c r="J15" s="34"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45" t="n"/>
      <c r="L15" s="35" t="inlineStr">
        <is>
          <t>Iron Toxicity</t>
        </is>
      </c>
      <c r="M15" s="35" t="inlineStr">
        <is>
          <t>Clinic</t>
        </is>
      </c>
      <c r="N15" s="34" t="inlineStr">
        <is>
          <t>Iron toxicity &amp; Deferoxamine</t>
        </is>
      </c>
    </row>
    <row r="16" ht="64.95" customHeight="1" s="49">
      <c r="A16" s="35" t="n">
        <v>14</v>
      </c>
      <c r="B16" s="34"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45" t="n"/>
      <c r="D16" s="34" t="inlineStr">
        <is>
          <t>Lead (ตะกั่ว) — รักษาด้วย Dimercaprol (BAL) ร่วมกับ Calcium disodium EDTA</t>
        </is>
      </c>
      <c r="E16" s="34" t="inlineStr">
        <is>
          <t>Arsenic (สารหนู) — รักษาด้วย Deferoxamine</t>
        </is>
      </c>
      <c r="F16" s="34" t="inlineStr">
        <is>
          <t>Mercury (ปรอท) — รักษาด้วย Sodium thiosulfate</t>
        </is>
      </c>
      <c r="G16" s="34" t="inlineStr">
        <is>
          <t>Cadmium (แคดเมียม) — รักษาด้วย Penicillamine</t>
        </is>
      </c>
      <c r="H16" s="34" t="inlineStr">
        <is>
          <t>Iron (เหล็ก) — รักษาด้วย N-acetylcysteine</t>
        </is>
      </c>
      <c r="I16" s="35" t="n">
        <v>1</v>
      </c>
      <c r="J16" s="34"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45" t="n"/>
      <c r="L16" s="35" t="inlineStr">
        <is>
          <t>Heavy Metal Toxicity</t>
        </is>
      </c>
      <c r="M16" s="35" t="inlineStr">
        <is>
          <t>Clinic</t>
        </is>
      </c>
      <c r="N16" s="34" t="inlineStr">
        <is>
          <t>Lead poisoning symptoms &amp; Chelation</t>
        </is>
      </c>
    </row>
    <row r="17" ht="64.95" customHeight="1" s="49">
      <c r="A17" s="35" t="n">
        <v>15</v>
      </c>
      <c r="B17" s="34"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45" t="n"/>
      <c r="D17" s="34"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34" t="inlineStr">
        <is>
          <t>Calcium disodium EDTA เป็นยาทางเลือกแรกสำหรับ Organic mercury</t>
        </is>
      </c>
      <c r="F17" s="34" t="inlineStr">
        <is>
          <t>Deferoxamine สามารถใช้ทดแทน BAL ได้ในกรณีที่ผู้ป่วยแพ้ถั่วลิสง</t>
        </is>
      </c>
      <c r="G17" s="34" t="inlineStr">
        <is>
          <t>Dimercaprol สามารถบริหารยาทางหลอดเลือดดำได้อย่างปลอดภัย</t>
        </is>
      </c>
      <c r="H17" s="34" t="inlineStr">
        <is>
          <t>Succimer (DMSA) ห้ามใช้ในเด็กเนื่องจากกดการเจริญเติบโต</t>
        </is>
      </c>
      <c r="I17" s="35" t="n">
        <v>1</v>
      </c>
      <c r="J17" s="34"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45" t="n"/>
      <c r="L17" s="35" t="inlineStr">
        <is>
          <t>Heavy Metal Toxicity</t>
        </is>
      </c>
      <c r="M17" s="35" t="inlineStr">
        <is>
          <t>Clinic</t>
        </is>
      </c>
      <c r="N17" s="34" t="inlineStr">
        <is>
          <t>BAL in Arsenic/Mercury and peanut allergy precaution</t>
        </is>
      </c>
    </row>
    <row r="18" ht="64.95" customHeight="1" s="49">
      <c r="A18" s="35" t="n">
        <v>16</v>
      </c>
      <c r="B18" s="34"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45" t="n"/>
      <c r="D18" s="34" t="inlineStr">
        <is>
          <t>Glucagon IV bolus ตามด้วย continuous infusion</t>
        </is>
      </c>
      <c r="E18" s="34" t="inlineStr">
        <is>
          <t>Calcium gluconate IV bolus</t>
        </is>
      </c>
      <c r="F18" s="34" t="inlineStr">
        <is>
          <t>Insulin regular ในขนาดปกติ 5-10 units IV</t>
        </is>
      </c>
      <c r="G18" s="34" t="inlineStr">
        <is>
          <t>Norepinephrine infusion เดี่ยวๆ</t>
        </is>
      </c>
      <c r="H18" s="34" t="inlineStr">
        <is>
          <t>Dopamine infusion ขนาดต่ำ (Renal dose)</t>
        </is>
      </c>
      <c r="I18" s="35" t="n">
        <v>1</v>
      </c>
      <c r="J18" s="34"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45" t="n"/>
      <c r="L18" s="35" t="inlineStr">
        <is>
          <t>Cardiovascular Drug Overdose</t>
        </is>
      </c>
      <c r="M18" s="35" t="inlineStr">
        <is>
          <t>Clinic</t>
        </is>
      </c>
      <c r="N18" s="34" t="inlineStr">
        <is>
          <t>Beta-blocker toxicity &amp; Glucagon</t>
        </is>
      </c>
    </row>
    <row r="19" ht="64.95" customHeight="1" s="49">
      <c r="A19" s="35" t="n">
        <v>17</v>
      </c>
      <c r="B19" s="34"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45" t="n"/>
      <c r="D19" s="34"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34" t="inlineStr">
        <is>
          <t>ให้อินซูลินขนาดต่ำ 0.1 unit/kg/hr เพื่อลดระดับน้ำตาลในเลือดที่สูงให้อยู่ในเกณฑ์ปกติเท่านั้น</t>
        </is>
      </c>
      <c r="F19" s="34" t="inlineStr">
        <is>
          <t>ห้ามให้สารละลายน้ำตาลกลูโคสร่วมด้วยเด็ดขาดเนื่องจากผู้ป่วยมีภาวะน้ำตาลในเลือดสูงอยู่แล้ว</t>
        </is>
      </c>
      <c r="G19" s="34" t="inlineStr">
        <is>
          <t>อินซูลินออกฤทธิ์โดยการบล็อกแคลเซียมแชนแนลเพื่อลดการทำงานของหัวใจ</t>
        </is>
      </c>
      <c r="H19" s="34" t="inlineStr">
        <is>
          <t>ต้องหยุดอินซูลินทันทีหากระดับ Serum Potassium ต่ำกว่า 4.0 mEq/L</t>
        </is>
      </c>
      <c r="I19" s="35" t="n">
        <v>1</v>
      </c>
      <c r="J19" s="34"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45" t="n"/>
      <c r="L19" s="35" t="inlineStr">
        <is>
          <t>Cardiovascular Drug Overdose</t>
        </is>
      </c>
      <c r="M19" s="35" t="inlineStr">
        <is>
          <t>Clinic</t>
        </is>
      </c>
      <c r="N19" s="34" t="inlineStr">
        <is>
          <t>High-dose insulin in CCB overdose</t>
        </is>
      </c>
    </row>
    <row r="20" ht="64.95" customHeight="1" s="49">
      <c r="A20" s="35" t="n">
        <v>18</v>
      </c>
      <c r="B20" s="34"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45" t="n"/>
      <c r="D20" s="34" t="inlineStr">
        <is>
          <t>เสี่ยงต่อการชักรุนแรงที่ไม่สามารถควบคุมได้และภาวะหัวใจเต้นผิดจังหวะจากการปลดปล่อยฤทธิ์ของ Cyclic Antidepressants (TCAs)</t>
        </is>
      </c>
      <c r="E20" s="34" t="inlineStr">
        <is>
          <t>Flumazenil ออกฤทธิ์เสริมพิษของ Amitriptyline ทำให้ความดันโลหิตสูงวิกฤต</t>
        </is>
      </c>
      <c r="F20" s="34" t="inlineStr">
        <is>
          <t>Flumazenil มีข้อห้ามใช้เด็ดขาดในผู้ป่วยที่ได้รับ Diazepam เกินขนาด</t>
        </is>
      </c>
      <c r="G20" s="34" t="inlineStr">
        <is>
          <t>Flumazenil จะทำให้เกิดพิษต่อตับเฉียบพลันจากปฏิกิริยาเสริมฤทธิ์ของยา</t>
        </is>
      </c>
      <c r="H20" s="34" t="inlineStr">
        <is>
          <t>Diazepam ขับออกทางไตหมดแล้ว การให้ Flumazenil จึงไม่มีประโยชน์</t>
        </is>
      </c>
      <c r="I20" s="35" t="n">
        <v>1</v>
      </c>
      <c r="J20" s="34"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45" t="n"/>
      <c r="L20" s="35" t="inlineStr">
        <is>
          <t>Sedative-Hypnotic Toxicity</t>
        </is>
      </c>
      <c r="M20" s="35" t="inlineStr">
        <is>
          <t>Clinic</t>
        </is>
      </c>
      <c r="N20" s="34" t="inlineStr">
        <is>
          <t>Flumazenil contraindications in mixed TCA overdose</t>
        </is>
      </c>
    </row>
    <row r="21" ht="64.95" customHeight="1" s="49">
      <c r="A21" s="35" t="n">
        <v>19</v>
      </c>
      <c r="B21" s="34"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และหยุดเลือดอย่างเร่งด่วนที่สุดตามแนวทางเวชปฏิบัติสากล</t>
        </is>
      </c>
      <c r="C21" s="45" t="n"/>
      <c r="D21" s="34" t="inlineStr">
        <is>
          <t>ให้ 4-Factor Prothrombin Complex Concentrate (4F-PCC) ทางหลอดเลือดดำทันที ร่วมกับ Vitamin K1 10 mg IV infusion ช้าๆ</t>
        </is>
      </c>
      <c r="E21" s="34" t="inlineStr">
        <is>
          <t>ให้ Vitamin K1 10 mg รับประทานเพียงอย่างเดียว</t>
        </is>
      </c>
      <c r="F21" s="34" t="inlineStr">
        <is>
          <t>ให้ Fresh Frozen Plasma (FFP) เพียงอย่างเดียวโดยไม่ต้องให้ Vitamin K1</t>
        </is>
      </c>
      <c r="G21" s="34" t="inlineStr">
        <is>
          <t>ฉีด Protamine sulfate 50 mg ทางหลอดเลือดดำทันที</t>
        </is>
      </c>
      <c r="H21" s="34" t="inlineStr">
        <is>
          <t>ให้ Idarucizumab 5 g ทางหลอดเลือดดำ</t>
        </is>
      </c>
      <c r="I21" s="35" t="n">
        <v>1</v>
      </c>
      <c r="J21" s="34"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45" t="n"/>
      <c r="L21" s="35" t="inlineStr">
        <is>
          <t>Anticoagulant Reversal</t>
        </is>
      </c>
      <c r="M21" s="35" t="inlineStr">
        <is>
          <t>Clinic</t>
        </is>
      </c>
      <c r="N21" s="34" t="inlineStr">
        <is>
          <t>Warfarin reversal in major bleeding (4F-PCC + Vit K1)</t>
        </is>
      </c>
    </row>
    <row r="22" ht="64.95" customHeight="1" s="49">
      <c r="A22" s="35" t="n">
        <v>20</v>
      </c>
      <c r="B22" s="34"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45" t="n"/>
      <c r="D22" s="34" t="inlineStr">
        <is>
          <t>Dabigatran คู่กับ Idarucizumab</t>
        </is>
      </c>
      <c r="E22" s="34" t="inlineStr">
        <is>
          <t>Rivaroxaban คู่กับ Protamine sulfate</t>
        </is>
      </c>
      <c r="F22" s="34" t="inlineStr">
        <is>
          <t>Apixaban คู่กับ Deferoxamine</t>
        </is>
      </c>
      <c r="G22" s="34" t="inlineStr">
        <is>
          <t>Enoxaparin คู่กับ Vitamin K1</t>
        </is>
      </c>
      <c r="H22" s="34" t="inlineStr">
        <is>
          <t>Warfarin คู่กับ Flumazenil</t>
        </is>
      </c>
      <c r="I22" s="35" t="n">
        <v>1</v>
      </c>
      <c r="J22" s="34"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45" t="n"/>
      <c r="L22" s="35" t="inlineStr">
        <is>
          <t>Anticoagulant Reversal</t>
        </is>
      </c>
      <c r="M22" s="35" t="inlineStr">
        <is>
          <t>Clinic</t>
        </is>
      </c>
      <c r="N22" s="34" t="inlineStr">
        <is>
          <t>DOACs Specific Antidotes</t>
        </is>
      </c>
    </row>
    <row r="23" ht="64.95" customHeight="1" s="49">
      <c r="A23" s="35" t="n">
        <v>21</v>
      </c>
      <c r="B23" s="34"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45" t="n"/>
      <c r="D23" s="34" t="inlineStr">
        <is>
          <t>งูเห่า (Cobra) หรือ งูจงอาง (King cobra) หรือ งูสามเหลี่ยม (Banded krait)</t>
        </is>
      </c>
      <c r="E23" s="34" t="inlineStr">
        <is>
          <t>งูกะปะ (Malayan pit viper)</t>
        </is>
      </c>
      <c r="F23" s="34" t="inlineStr">
        <is>
          <t>งูเขียวหางไหม้ (Green pit viper)</t>
        </is>
      </c>
      <c r="G23" s="34" t="inlineStr">
        <is>
          <t>งูแมวเซา (Russell's viper)</t>
        </is>
      </c>
      <c r="H23" s="34" t="inlineStr">
        <is>
          <t>งูเหลือม (Reticulated python)</t>
        </is>
      </c>
      <c r="I23" s="35" t="n">
        <v>1</v>
      </c>
      <c r="J23" s="34"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45" t="n"/>
      <c r="L23" s="35" t="inlineStr">
        <is>
          <t>Snake Envenomation</t>
        </is>
      </c>
      <c r="M23" s="35" t="inlineStr">
        <is>
          <t>Clinic</t>
        </is>
      </c>
      <c r="N23" s="34" t="inlineStr">
        <is>
          <t>Neurotoxic snake envenomation in Thailand</t>
        </is>
      </c>
    </row>
    <row r="24" ht="64.95" customHeight="1" s="49">
      <c r="A24" s="35" t="n">
        <v>22</v>
      </c>
      <c r="B24" s="34"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45" t="n"/>
      <c r="D24" s="34" t="inlineStr">
        <is>
          <t>ผล 20WBCT ไม่แข็งตัว (Systemic hematotoxicity) หรือมีอาการบวมลามเกินกว่า 1 ข้อต่อใหญ่ภายในเวลาอันรวดเร็ว</t>
        </is>
      </c>
      <c r="E24" s="34" t="inlineStr">
        <is>
          <t>ให้เฉพาะเมื่อมีเลือดออกในอวัยวะภายใน เช่น เลือดออกในสมอง เท่านั้น</t>
        </is>
      </c>
      <c r="F24" s="34" t="inlineStr">
        <is>
          <t>ฉีดเซรุ่มเข้าที่แผลที่ถูกกัดโดยตรงเพื่อสลายพิษเฉพาะที่</t>
        </is>
      </c>
      <c r="G24" s="34" t="inlineStr">
        <is>
          <t>ต้องทำ Intradermal skin test ก่อนให้เซรุ่มทุกครั้ง หากผลบวกห้ามให้เซรุ่มเด็ดขาด</t>
        </is>
      </c>
      <c r="H24" s="34" t="inlineStr">
        <is>
          <t>ให้เซรุ่มต้านพิษงูระบบประสาทร่วมด้วยเสมอเพื่อป้องกันอาการกลืนลำบาก</t>
        </is>
      </c>
      <c r="I24" s="35" t="n">
        <v>1</v>
      </c>
      <c r="J24" s="34"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45" t="n"/>
      <c r="L24" s="35" t="inlineStr">
        <is>
          <t>Snake Envenomation</t>
        </is>
      </c>
      <c r="M24" s="35" t="inlineStr">
        <is>
          <t>Clinic</t>
        </is>
      </c>
      <c r="N24" s="34" t="inlineStr">
        <is>
          <t>Antivenom indications and administration</t>
        </is>
      </c>
    </row>
    <row r="25" ht="64.95" customHeight="1" s="49">
      <c r="A25" s="35" t="n">
        <v>23</v>
      </c>
      <c r="B25" s="34"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45" t="n"/>
      <c r="D25" s="34" t="inlineStr">
        <is>
          <t>Pyridoxine (Vitamin B6) IV</t>
        </is>
      </c>
      <c r="E25" s="34" t="inlineStr">
        <is>
          <t>Thiamine (Vitamin B1) IV</t>
        </is>
      </c>
      <c r="F25" s="34" t="inlineStr">
        <is>
          <t>Folic acid IV</t>
        </is>
      </c>
      <c r="G25" s="34" t="inlineStr">
        <is>
          <t>Calcium gluconate IV</t>
        </is>
      </c>
      <c r="H25" s="34" t="inlineStr">
        <is>
          <t>Sodium bicarbonate IV</t>
        </is>
      </c>
      <c r="I25" s="35" t="n">
        <v>1</v>
      </c>
      <c r="J25" s="34"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45" t="n"/>
      <c r="L25" s="35" t="inlineStr">
        <is>
          <t>Antituberculosis Drug Overdose</t>
        </is>
      </c>
      <c r="M25" s="35" t="inlineStr">
        <is>
          <t>Clinic</t>
        </is>
      </c>
      <c r="N25" s="34" t="inlineStr">
        <is>
          <t>Isoniazid toxicity &amp; Pyridoxine gram-for-gram</t>
        </is>
      </c>
    </row>
    <row r="26" ht="64.95" customHeight="1" s="49">
      <c r="A26" s="35" t="n">
        <v>24</v>
      </c>
      <c r="B26" s="34"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45" t="n"/>
      <c r="D26" s="34" t="inlineStr">
        <is>
          <t>ให้ออกซิเจนความเข้มข้น 100% ผ่าน Non-rebreather mask ทันที และพิจารณาส่งรับการบำบัดด้วย Hyperbaric Oxygen Therapy (HBOT)</t>
        </is>
      </c>
      <c r="E26" s="34" t="inlineStr">
        <is>
          <t>ให้ถอดหน้ากากออกซิเจนออกได้เนื่องจากค่า SpO2 ปกติ 98%</t>
        </is>
      </c>
      <c r="F26" s="34" t="inlineStr">
        <is>
          <t>ฉีด Methylene blue ทางหลอดเลือดดำทันที</t>
        </is>
      </c>
      <c r="G26" s="34" t="inlineStr">
        <is>
          <t>ให้ Sodium thiosulfate ทางหลอดเลือดดำ</t>
        </is>
      </c>
      <c r="H26" s="34" t="inlineStr">
        <is>
          <t>ให้การรักษาแบบประคับประคองโดยสูดอากาศปกติ (Room air) เนื่องจาก CO สลายตัวได้เอง</t>
        </is>
      </c>
      <c r="I26" s="35" t="n">
        <v>1</v>
      </c>
      <c r="J26" s="34"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45" t="n"/>
      <c r="L26" s="35" t="inlineStr">
        <is>
          <t>Inhalation Toxicology</t>
        </is>
      </c>
      <c r="M26" s="35" t="inlineStr">
        <is>
          <t>Clinic</t>
        </is>
      </c>
      <c r="N26" s="34" t="inlineStr">
        <is>
          <t>Carbon monoxide poisoning &amp; Pulse oximeter pitfall</t>
        </is>
      </c>
    </row>
    <row r="27" ht="64.95" customHeight="1" s="49">
      <c r="A27" s="35" t="n">
        <v>25</v>
      </c>
      <c r="B27" s="34"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45" t="n"/>
      <c r="D27" s="34" t="inlineStr">
        <is>
          <t>Methylene blue — มีข้อห้ามใช้ในผู้ป่วย G6PD deficiency</t>
        </is>
      </c>
      <c r="E27" s="34" t="inlineStr">
        <is>
          <t>N-acetylcysteine — มีข้อห้ามใช้ในผู้ป่วยตับวาย</t>
        </is>
      </c>
      <c r="F27" s="34" t="inlineStr">
        <is>
          <t>Deferoxamine — มีข้อห้ามใช้ในผู้ป่วยโรคไต</t>
        </is>
      </c>
      <c r="G27" s="34" t="inlineStr">
        <is>
          <t>Atropine — มีข้อห้ามใช้ในผู้ป่วยโรคต้อหิน</t>
        </is>
      </c>
      <c r="H27" s="34" t="inlineStr">
        <is>
          <t>Sodium thiosulfate — มีข้อห้ามใช้ในผู้ป่วยแพ้อาหารทะเล</t>
        </is>
      </c>
      <c r="I27" s="35" t="n">
        <v>1</v>
      </c>
      <c r="J27" s="34"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45" t="n"/>
      <c r="L27" s="35" t="inlineStr">
        <is>
          <t>Methemoglobinemia</t>
        </is>
      </c>
      <c r="M27" s="35" t="inlineStr">
        <is>
          <t>Clinic</t>
        </is>
      </c>
      <c r="N27" s="34" t="inlineStr">
        <is>
          <t>Methylene blue &amp; G6PD contraindication</t>
        </is>
      </c>
    </row>
    <row r="28" ht="64.95" customHeight="1" s="49">
      <c r="A28" s="35" t="n">
        <v>26</v>
      </c>
      <c r="B28" s="34"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45" t="n"/>
      <c r="D28" s="34" t="inlineStr">
        <is>
          <t>Octreotide</t>
        </is>
      </c>
      <c r="E28" s="34" t="inlineStr">
        <is>
          <t>Glucagon</t>
        </is>
      </c>
      <c r="F28" s="34" t="inlineStr">
        <is>
          <t>Hydrocortisone</t>
        </is>
      </c>
      <c r="G28" s="34" t="inlineStr">
        <is>
          <t>Diazoxide เดี่ยวๆ แบบพ่นจมูก</t>
        </is>
      </c>
      <c r="H28" s="34" t="inlineStr">
        <is>
          <t>Metformin</t>
        </is>
      </c>
      <c r="I28" s="35" t="n">
        <v>1</v>
      </c>
      <c r="J28" s="34"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45" t="n"/>
      <c r="L28" s="35" t="inlineStr">
        <is>
          <t>Oral Hypoglycemic Overdose</t>
        </is>
      </c>
      <c r="M28" s="35" t="inlineStr">
        <is>
          <t>Clinic</t>
        </is>
      </c>
      <c r="N28" s="34" t="inlineStr">
        <is>
          <t>Sulfonylurea-induced hypoglycemia &amp; Octreotide</t>
        </is>
      </c>
    </row>
    <row r="29" ht="64.95" customHeight="1" s="49">
      <c r="A29" s="35" t="n">
        <v>27</v>
      </c>
      <c r="B29" s="34"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45" t="n"/>
      <c r="D29" s="34" t="inlineStr">
        <is>
          <t>Leucovorin (Folinic acid) สำหรับ Rescue และใช้ Glucarpidase (Voraxaze) ในการสลาย Methotrexate</t>
        </is>
      </c>
      <c r="E29" s="34" t="inlineStr">
        <is>
          <t>Folic acid สำหรับ Rescue และใช้ Urate oxidase ในการสลาย</t>
        </is>
      </c>
      <c r="F29" s="34" t="inlineStr">
        <is>
          <t>N-acetylcysteine สำหรับ Rescue และใช้ Rasburicase ในการสลาย</t>
        </is>
      </c>
      <c r="G29" s="34" t="inlineStr">
        <is>
          <t>Thiamine สำหรับ Rescue และใช้ Deferoxamine ในการสลาย</t>
        </is>
      </c>
      <c r="H29" s="34" t="inlineStr">
        <is>
          <t>Pyridoxine สำหรับ Rescue และใช้ Pegloticase ในการสลาย</t>
        </is>
      </c>
      <c r="I29" s="35" t="n">
        <v>1</v>
      </c>
      <c r="J29" s="34"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45" t="n"/>
      <c r="L29" s="35" t="inlineStr">
        <is>
          <t>Oncology Antidotes</t>
        </is>
      </c>
      <c r="M29" s="35" t="inlineStr">
        <is>
          <t>Clinic</t>
        </is>
      </c>
      <c r="N29" s="34" t="inlineStr">
        <is>
          <t>Leucovorin rescue and Glucarpidase in MTX toxicity</t>
        </is>
      </c>
    </row>
    <row r="30" ht="64.95" customHeight="1" s="49">
      <c r="A30" s="35" t="n">
        <v>28</v>
      </c>
      <c r="B30" s="34"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45" t="n"/>
      <c r="D30" s="34" t="inlineStr">
        <is>
          <t>การทำ Urine alkalinization ด้วย Sodium bicarbonate ทางหลอดเลือดดำเพื่อรักษาระดับ pH ของปัสสาวะให้อยู่ที่ 7.5-8.5 (Ion trapping)</t>
        </is>
      </c>
      <c r="E30" s="34" t="inlineStr">
        <is>
          <t>การให้ Ammonium chloride เพื่อทำปัสสาวะให้เป็นกรดเร่งการขับยา</t>
        </is>
      </c>
      <c r="F30" s="34" t="inlineStr">
        <is>
          <t>การให้สารน้ำ Isotonic saline เพียงอย่างเดียวโดยไม่ต้องปรับความเป็นกรดด่าง</t>
        </is>
      </c>
      <c r="G30" s="34" t="inlineStr">
        <is>
          <t>การให้ Furosemide ขนาดสูงเพื่อเร่งการขับปัสสาวะ (Forced diuresis)</t>
        </is>
      </c>
      <c r="H30" s="34" t="inlineStr">
        <is>
          <t>การฉีด N-acetylcysteine เพื่อจับกับ Salicylate</t>
        </is>
      </c>
      <c r="I30" s="35" t="n">
        <v>1</v>
      </c>
      <c r="J30" s="34"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45" t="n"/>
      <c r="L30" s="35" t="inlineStr">
        <is>
          <t>Salicylate Toxicity</t>
        </is>
      </c>
      <c r="M30" s="35" t="inlineStr">
        <is>
          <t>Clinic</t>
        </is>
      </c>
      <c r="N30" s="34" t="inlineStr">
        <is>
          <t>Aspirin toxicity &amp; Urine alkalinization (Ion trapping)</t>
        </is>
      </c>
    </row>
    <row r="31" ht="64.95" customHeight="1" s="49">
      <c r="A31" s="35" t="n">
        <v>29</v>
      </c>
      <c r="B31" s="34"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45" t="n"/>
      <c r="D31" s="34" t="inlineStr">
        <is>
          <t>Dexrazoxane (Totect / Savene)</t>
        </is>
      </c>
      <c r="E31" s="34" t="inlineStr">
        <is>
          <t>Hyaluronidase</t>
        </is>
      </c>
      <c r="F31" s="34" t="inlineStr">
        <is>
          <t>Sodium thiosulfate</t>
        </is>
      </c>
      <c r="G31" s="34" t="inlineStr">
        <is>
          <t>Dimercaprol</t>
        </is>
      </c>
      <c r="H31" s="34" t="inlineStr">
        <is>
          <t>Phentolamine</t>
        </is>
      </c>
      <c r="I31" s="35" t="n">
        <v>1</v>
      </c>
      <c r="J31" s="34"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45" t="n"/>
      <c r="L31" s="35" t="inlineStr">
        <is>
          <t>Chemotherapy Extravasation</t>
        </is>
      </c>
      <c r="M31" s="35" t="inlineStr">
        <is>
          <t>Clinic</t>
        </is>
      </c>
      <c r="N31" s="34" t="inlineStr">
        <is>
          <t>Anthracycline extravasation antidote (Dexrazoxane)</t>
        </is>
      </c>
    </row>
    <row r="32" ht="64.95" customHeight="1" s="49">
      <c r="A32" s="35" t="n">
        <v>30</v>
      </c>
      <c r="B32" s="34"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45" t="n"/>
      <c r="D32" s="34" t="inlineStr">
        <is>
          <t>Cyproheptadine</t>
        </is>
      </c>
      <c r="E32" s="34" t="inlineStr">
        <is>
          <t>Bromocriptine</t>
        </is>
      </c>
      <c r="F32" s="34" t="inlineStr">
        <is>
          <t>Dantrolene</t>
        </is>
      </c>
      <c r="G32" s="34" t="inlineStr">
        <is>
          <t>Flumazenil</t>
        </is>
      </c>
      <c r="H32" s="34" t="inlineStr">
        <is>
          <t>Naloxone</t>
        </is>
      </c>
      <c r="I32" s="35" t="n">
        <v>1</v>
      </c>
      <c r="J32" s="34"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45" t="n"/>
      <c r="L32" s="35" t="inlineStr">
        <is>
          <t>Serotonin Syndrome</t>
        </is>
      </c>
      <c r="M32" s="35" t="inlineStr">
        <is>
          <t>Clinic</t>
        </is>
      </c>
      <c r="N32" s="34" t="inlineStr">
        <is>
          <t>Hunter Criteria &amp; Cyproheptadine</t>
        </is>
      </c>
    </row>
    <row r="33" ht="64.95" customHeight="1" s="49">
      <c r="A33" s="35" t="n">
        <v>31</v>
      </c>
      <c r="B33" s="34"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45" t="n"/>
      <c r="D33" s="34" t="inlineStr">
        <is>
          <t>หยุดยา Warfarin ชั่วคราว 1-2 ครั้ง ให้รับประทาน Oral Vitamin K1 ขนาดต่ำ 1-2.5 mg และตรวจติดตามค่า INR อย่างใกล้ชิด</t>
        </is>
      </c>
      <c r="E33" s="34" t="inlineStr">
        <is>
          <t>ฉีด Vitamin K1 10 mg ทางหลอดเลือดดำทันที</t>
        </is>
      </c>
      <c r="F33" s="34" t="inlineStr">
        <is>
          <t>ให้ 4-Factor Prothrombin Complex Concentrate (PCC) ทันที</t>
        </is>
      </c>
      <c r="G33" s="34" t="inlineStr">
        <is>
          <t>ให้ Fresh Frozen Plasma (FFP) 2 ยูนิต</t>
        </is>
      </c>
      <c r="H33" s="34" t="inlineStr">
        <is>
          <t>รับประทานยา Warfarin ในขนาดเดิมต่อไปโดยไม่ต้องปรับยาเนื่องจากไม่มีอาการเลือดออก</t>
        </is>
      </c>
      <c r="I33" s="35" t="n">
        <v>1</v>
      </c>
      <c r="J33" s="34"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45" t="n"/>
      <c r="L33" s="35" t="inlineStr">
        <is>
          <t>Anticoagulant Reversal</t>
        </is>
      </c>
      <c r="M33" s="35" t="inlineStr">
        <is>
          <t>Clinic</t>
        </is>
      </c>
      <c r="N33" s="34" t="inlineStr">
        <is>
          <t>Asymptomatic high INR management</t>
        </is>
      </c>
    </row>
    <row r="34" ht="64.95" customHeight="1" s="49">
      <c r="A34" s="35" t="n">
        <v>32</v>
      </c>
      <c r="B34" s="34"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45" t="n"/>
      <c r="D34" s="34" t="inlineStr">
        <is>
          <t>Calcium oxalate crystals เกิดจากสารพิษ Ethylene glycol</t>
        </is>
      </c>
      <c r="E34" s="34" t="inlineStr">
        <is>
          <t>Hippuric acid crystals เกิดจากสารพิษ Toluene</t>
        </is>
      </c>
      <c r="F34" s="34" t="inlineStr">
        <is>
          <t>Uric acid crystals เกิดจากสารพิษ Allopurinol</t>
        </is>
      </c>
      <c r="G34" s="34" t="inlineStr">
        <is>
          <t>Struvite crystals เกิดจากการติดเชื้อ Proteus mirabilis</t>
        </is>
      </c>
      <c r="H34" s="34" t="inlineStr">
        <is>
          <t>Cysteine crystals เกิดจากภาวะ Cystinuria</t>
        </is>
      </c>
      <c r="I34" s="35" t="n">
        <v>1</v>
      </c>
      <c r="J34" s="34"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45" t="n"/>
      <c r="L34" s="35" t="inlineStr">
        <is>
          <t>Toxic Alcohol</t>
        </is>
      </c>
      <c r="M34" s="35" t="inlineStr">
        <is>
          <t>Clinic</t>
        </is>
      </c>
      <c r="N34" s="34" t="inlineStr">
        <is>
          <t>Calcium oxalate crystals in Ethylene glycol poisoning</t>
        </is>
      </c>
    </row>
    <row r="35" ht="64.95" customHeight="1" s="49">
      <c r="A35" s="35" t="n">
        <v>33</v>
      </c>
      <c r="B35" s="34"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45" t="n"/>
      <c r="D35" s="34" t="inlineStr">
        <is>
          <t>20% Intravenous Lipid Emulsion (Intralipid)</t>
        </is>
      </c>
      <c r="E35" s="34" t="inlineStr">
        <is>
          <t>Sodium bicarbonate</t>
        </is>
      </c>
      <c r="F35" s="34" t="inlineStr">
        <is>
          <t>Calcium chloride</t>
        </is>
      </c>
      <c r="G35" s="34" t="inlineStr">
        <is>
          <t>Flumazenil</t>
        </is>
      </c>
      <c r="H35" s="34" t="inlineStr">
        <is>
          <t>Methylene blue</t>
        </is>
      </c>
      <c r="I35" s="35" t="n">
        <v>1</v>
      </c>
      <c r="J35" s="34"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ตามแนวทางของสมาคมวิสัญญีแพทย์สากล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45" t="n"/>
      <c r="L35" s="35" t="inlineStr">
        <is>
          <t>Local Anesthetic Toxicity</t>
        </is>
      </c>
      <c r="M35" s="35" t="inlineStr">
        <is>
          <t>Clinic</t>
        </is>
      </c>
      <c r="N35" s="34" t="inlineStr">
        <is>
          <t>LAST &amp; 20% Lipid Emulsion</t>
        </is>
      </c>
    </row>
    <row r="36" ht="64.95" customHeight="1" s="49">
      <c r="A36" s="35" t="n">
        <v>34</v>
      </c>
      <c r="B36" s="34"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45" t="n"/>
      <c r="D36" s="34" t="inlineStr">
        <is>
          <t>Sodium bicarbonate (NaHCO3) 8.4% IV push</t>
        </is>
      </c>
      <c r="E36" s="34" t="inlineStr">
        <is>
          <t>Amiodarone IV infusion</t>
        </is>
      </c>
      <c r="F36" s="34" t="inlineStr">
        <is>
          <t>Physostigmine IV</t>
        </is>
      </c>
      <c r="G36" s="34" t="inlineStr">
        <is>
          <t>Phenytoin IV infusion</t>
        </is>
      </c>
      <c r="H36" s="34" t="inlineStr">
        <is>
          <t>Procainamide IV</t>
        </is>
      </c>
      <c r="I36" s="35" t="n">
        <v>1</v>
      </c>
      <c r="J36" s="34"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45" t="n"/>
      <c r="L36" s="35" t="inlineStr">
        <is>
          <t>Antidepressant Toxicity</t>
        </is>
      </c>
      <c r="M36" s="35" t="inlineStr">
        <is>
          <t>Clinic</t>
        </is>
      </c>
      <c r="N36" s="34" t="inlineStr">
        <is>
          <t>TCA toxicity &amp; Sodium bicarbonate (QRS narrowing)</t>
        </is>
      </c>
    </row>
    <row r="37" ht="64.95" customHeight="1" s="49">
      <c r="A37" s="35" t="n">
        <v>35</v>
      </c>
      <c r="B37" s="34"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45" t="n"/>
      <c r="D37" s="34" t="inlineStr">
        <is>
          <t>L-carnitine (Levocarnitine)</t>
        </is>
      </c>
      <c r="E37" s="34" t="inlineStr">
        <is>
          <t>N-acetylcysteine</t>
        </is>
      </c>
      <c r="F37" s="34" t="inlineStr">
        <is>
          <t>Lactulose ร่วมกับ Neomycin เท่านั้น</t>
        </is>
      </c>
      <c r="G37" s="34" t="inlineStr">
        <is>
          <t>Thiamine</t>
        </is>
      </c>
      <c r="H37" s="34" t="inlineStr">
        <is>
          <t>Pyridoxine</t>
        </is>
      </c>
      <c r="I37" s="35" t="n">
        <v>1</v>
      </c>
      <c r="J37" s="34"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45" t="n"/>
      <c r="L37" s="35" t="inlineStr">
        <is>
          <t>Antiepileptic Drug Overdose</t>
        </is>
      </c>
      <c r="M37" s="35" t="inlineStr">
        <is>
          <t>Clinic</t>
        </is>
      </c>
      <c r="N37" s="34" t="inlineStr">
        <is>
          <t>Valproate-induced hyperammonemia &amp; L-carnitine</t>
        </is>
      </c>
    </row>
    <row r="38" ht="64.95" customHeight="1" s="49">
      <c r="A38" s="35" t="n">
        <v>36</v>
      </c>
      <c r="B38" s="34"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45" t="n"/>
      <c r="D38" s="34" t="inlineStr">
        <is>
          <t>การทำให้อาเจียน, การล้างกระเพาะอาหาร (Gastric lavage), การให้สารสะเทินกรด (Neutralization ด้วยด่าง), และการให้ Activated charcoal</t>
        </is>
      </c>
      <c r="E38" s="34" t="inlineStr">
        <is>
          <t>การให้ผู้ป่วยงดน้ำและอาหาร (NPO) ทางปาก</t>
        </is>
      </c>
      <c r="F38" s="34" t="inlineStr">
        <is>
          <t>การให้สารน้ำทางหลอดเลือดดำและยาแก้ปวดอย่างเหมาะสม</t>
        </is>
      </c>
      <c r="G38" s="34" t="inlineStr">
        <is>
          <t>การปรึกษาแพทย์ศัลยกรรมหรือทางเดินอาหารเพื่อส่องกล้อง Esophagogastroduodenoscopy (EGD) ภายใน 24-48 ชั่วโมง</t>
        </is>
      </c>
      <c r="H38" s="34" t="inlineStr">
        <is>
          <t>การตรวจประเมินทางเดินหายใจอย่างใกล้ชิด</t>
        </is>
      </c>
      <c r="I38" s="35" t="n">
        <v>1</v>
      </c>
      <c r="J38" s="34"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45" t="n"/>
      <c r="L38" s="35" t="inlineStr">
        <is>
          <t>Corrosive / Caustic Ingestion</t>
        </is>
      </c>
      <c r="M38" s="35" t="inlineStr">
        <is>
          <t>Clinic</t>
        </is>
      </c>
      <c r="N38" s="34" t="inlineStr">
        <is>
          <t>Contraindications in caustic ingestion</t>
        </is>
      </c>
    </row>
    <row r="39" ht="64.95" customHeight="1" s="49">
      <c r="A39" s="35" t="n">
        <v>37</v>
      </c>
      <c r="B39" s="34"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45" t="n"/>
      <c r="D39" s="34" t="inlineStr">
        <is>
          <t>Physostigmine</t>
        </is>
      </c>
      <c r="E39" s="34" t="inlineStr">
        <is>
          <t>Neostigmine</t>
        </is>
      </c>
      <c r="F39" s="34" t="inlineStr">
        <is>
          <t>Pyridostigmine</t>
        </is>
      </c>
      <c r="G39" s="34" t="inlineStr">
        <is>
          <t>Atropine</t>
        </is>
      </c>
      <c r="H39" s="34" t="inlineStr">
        <is>
          <t>Pralidoxime</t>
        </is>
      </c>
      <c r="I39" s="35" t="n">
        <v>1</v>
      </c>
      <c r="J39" s="34"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45" t="n"/>
      <c r="L39" s="35" t="inlineStr">
        <is>
          <t>Plant Toxicology</t>
        </is>
      </c>
      <c r="M39" s="35" t="inlineStr">
        <is>
          <t>Clinic</t>
        </is>
      </c>
      <c r="N39" s="34" t="inlineStr">
        <is>
          <t>Anticholinergic toxidrome &amp; Physostigmine</t>
        </is>
      </c>
    </row>
    <row r="40" ht="64.95" customHeight="1" s="49">
      <c r="A40" s="35" t="n">
        <v>38</v>
      </c>
      <c r="B40" s="34"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45" t="n"/>
      <c r="D40" s="34" t="inlineStr">
        <is>
          <t>Hydrogen sulfide (H2S) — รักษาด้วย Sodium nitrite หรือ Amyl nitrite (ห้ามให้ Sodium thiosulfate)</t>
        </is>
      </c>
      <c r="E40" s="34" t="inlineStr">
        <is>
          <t>Methane — รักษาด้วย ออกซิเจน 100%</t>
        </is>
      </c>
      <c r="F40" s="34" t="inlineStr">
        <is>
          <t>Carbon monoxide — รักษาด้วย Methylene blue</t>
        </is>
      </c>
      <c r="G40" s="34" t="inlineStr">
        <is>
          <t>Ammonia — รักษาด้วย Sodium bicarbonate</t>
        </is>
      </c>
      <c r="H40" s="34" t="inlineStr">
        <is>
          <t>Chlorine — รักษาด้วย N-acetylcysteine</t>
        </is>
      </c>
      <c r="I40" s="35" t="n">
        <v>1</v>
      </c>
      <c r="J40" s="34"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45" t="n"/>
      <c r="L40" s="35" t="inlineStr">
        <is>
          <t>Inhalation Toxicology</t>
        </is>
      </c>
      <c r="M40" s="35" t="inlineStr">
        <is>
          <t>Clinic</t>
        </is>
      </c>
      <c r="N40" s="34" t="inlineStr">
        <is>
          <t>Hydrogen sulfide poisoning &amp; Nitrites</t>
        </is>
      </c>
    </row>
    <row r="41" ht="64.95" customHeight="1" s="49">
      <c r="A41" s="35" t="n">
        <v>39</v>
      </c>
      <c r="B41" s="34"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45" t="n"/>
      <c r="D41" s="34" t="inlineStr">
        <is>
          <t>ผู้ลักลอบกลืนห่อยาเสพติดเข้าสู่ร่างกาย (Body packers) หรือการกลืนยาเม็ดชนิดออกฤทธิ์เนิ่นปริมาณมาก (Sustained-release drugs เช่น Verapamil SR)</t>
        </is>
      </c>
      <c r="E41" s="34" t="inlineStr">
        <is>
          <t>การรับประทานยานอนหลับ Diazepam ชนิดน้ำ</t>
        </is>
      </c>
      <c r="F41" s="34" t="inlineStr">
        <is>
          <t>การกลืนสารกัดกร่อนกรดกำมะถันรุนแรง</t>
        </is>
      </c>
      <c r="G41" s="34" t="inlineStr">
        <is>
          <t>ผู้ป่วยที่มีภาวะลำไส้อุดตัน (Bowel obstruction) หรือลำไส้ทะลุ</t>
        </is>
      </c>
      <c r="H41" s="34" t="inlineStr">
        <is>
          <t>การรับประทานยาพาราเซตามอลชนิดเม็ดธรรมดาภายใน 1 ชั่วโมง</t>
        </is>
      </c>
      <c r="I41" s="35" t="n">
        <v>1</v>
      </c>
      <c r="J41" s="34"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45" t="n"/>
      <c r="L41" s="35" t="inlineStr">
        <is>
          <t>Gastrointestinal Decontamination</t>
        </is>
      </c>
      <c r="M41" s="35" t="inlineStr">
        <is>
          <t>Product</t>
        </is>
      </c>
      <c r="N41" s="34" t="inlineStr">
        <is>
          <t>Whole bowel irrigation indications &amp; contraindications</t>
        </is>
      </c>
    </row>
    <row r="42" ht="64.95" customHeight="1" s="49">
      <c r="A42" s="35" t="n">
        <v>40</v>
      </c>
      <c r="B42" s="34"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45" t="n"/>
      <c r="D42" s="34" t="inlineStr">
        <is>
          <t>โลหะหนัก (Iron, Lead, Lithium), แอลกอฮอล์ (Ethanol, Methanol), กรดแก่-ด่างแก่, และเกลือแร่โพแทสเซียม</t>
        </is>
      </c>
      <c r="E42" s="34" t="inlineStr">
        <is>
          <t>Paracetamol, Carbamazepine, Theophylline, Phenobarbital</t>
        </is>
      </c>
      <c r="F42" s="34" t="inlineStr">
        <is>
          <t>Dapsone, Quinine, Digoxin, Amitriptyline</t>
        </is>
      </c>
      <c r="G42" s="34" t="inlineStr">
        <is>
          <t>Aspirin, Propranolol, Phenytoin, Diazepam</t>
        </is>
      </c>
      <c r="H42" s="34" t="inlineStr">
        <is>
          <t>Chlorpheniramine, Dextromethorphan, Tramadol</t>
        </is>
      </c>
      <c r="I42" s="35" t="n">
        <v>1</v>
      </c>
      <c r="J42" s="34"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45" t="n"/>
      <c r="L42" s="35" t="inlineStr">
        <is>
          <t>Gastrointestinal Decontamination</t>
        </is>
      </c>
      <c r="M42" s="35" t="inlineStr">
        <is>
          <t>Product</t>
        </is>
      </c>
      <c r="N42" s="34" t="inlineStr">
        <is>
          <t>Substances NOT absorbed by Activated Charcoal (PHAILS mnemonic)</t>
        </is>
      </c>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21.6" customHeight="1" s="49">
      <c r="A3" s="15" t="n">
        <v>1</v>
      </c>
      <c r="B3" s="2" t="inlineStr">
        <is>
          <t>ในการหาปริมาณตัวยาสำคัญ Paracetamol raw material ตามตำรับยา Pharmacopoeia ใช้วิธีไทเทรตแบบใด?</t>
        </is>
      </c>
      <c r="C3" s="2" t="n"/>
      <c r="D3" s="2" t="inlineStr">
        <is>
          <t>Acid-Base Titration in aqueous medium</t>
        </is>
      </c>
      <c r="E3" s="2" t="inlineStr">
        <is>
          <t>Nonaqueous Titration with Perchloric acid</t>
        </is>
      </c>
      <c r="F3" s="2" t="inlineStr">
        <is>
          <t>Redox Titration with Ceric ammonium sulfate (หลัง acid hydrolysis)</t>
        </is>
      </c>
      <c r="G3" s="2" t="inlineStr">
        <is>
          <t>Complexometric Titration with EDTA</t>
        </is>
      </c>
      <c r="H3" s="2" t="inlineStr">
        <is>
          <t>Precipitation Titration with Silver nitrate</t>
        </is>
      </c>
      <c r="I3" s="2" t="n">
        <v>3</v>
      </c>
      <c r="J3" s="2"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2" t="n"/>
      <c r="L3" s="2" t="inlineStr">
        <is>
          <t>Redox titration</t>
        </is>
      </c>
      <c r="M3" s="2" t="inlineStr">
        <is>
          <t>Product</t>
        </is>
      </c>
      <c r="N3" s="2" t="inlineStr">
        <is>
          <t>British Pharmacopoeia / Thai Pharmacopoeia</t>
        </is>
      </c>
      <c r="O3" s="2" t="inlineStr">
        <is>
          <t>ข้อสอบจริง</t>
        </is>
      </c>
      <c r="P3" s="2" t="n">
        <v>2567</v>
      </c>
    </row>
    <row r="4" ht="13.2" customHeight="1" s="49">
      <c r="A4" s="8" t="inlineStr">
        <is>
          <t>3</t>
        </is>
      </c>
      <c r="B4" s="2"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2" t="n"/>
      <c r="D4" s="2" t="inlineStr">
        <is>
          <t>Citric acid (สารปรับ pH กรดและ chelating agent)</t>
        </is>
      </c>
      <c r="E4" s="2" t="inlineStr">
        <is>
          <t>Disodium EDTA (สารคีเลตดักจับประจุโลหะ)</t>
        </is>
      </c>
      <c r="F4" s="2" t="inlineStr">
        <is>
          <t>Paraben (สารกันเสีย antimicrobial preservative)</t>
        </is>
      </c>
      <c r="G4" s="2" t="inlineStr">
        <is>
          <t>Sodium metabisulfite (สารต้านออกซิเดชัน antioxidant)</t>
        </is>
      </c>
      <c r="H4" s="2" t="inlineStr">
        <is>
          <t>Sucrose (น้ำตาลซูโครสความเข้มข้นสูง)</t>
        </is>
      </c>
      <c r="I4" s="8" t="inlineStr">
        <is>
          <t>3</t>
        </is>
      </c>
      <c r="J4" s="2"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2" t="inlineStr">
        <is>
          <t>Liquid Dosage Forms &amp; Formulation</t>
        </is>
      </c>
      <c r="L4" s="2" t="inlineStr">
        <is>
          <t>ข้อสอบ Product (Ferrous Sulfate Syrup Formulation)</t>
        </is>
      </c>
      <c r="M4" s="2" t="inlineStr">
        <is>
          <t>Titration</t>
        </is>
      </c>
      <c r="N4" s="2" t="inlineStr">
        <is>
          <t>Mock PLE-CC 1 ข้อ 57</t>
        </is>
      </c>
      <c r="O4" s="2" t="inlineStr">
        <is>
          <t>Mock</t>
        </is>
      </c>
      <c r="P4" s="2" t="inlineStr">
        <is>
          <t>Mock RxCU83</t>
        </is>
      </c>
      <c r="Q4" s="2" t="n"/>
    </row>
    <row r="5" ht="13.2" customHeight="1" s="49">
      <c r="A5" s="8" t="inlineStr">
        <is>
          <t>4</t>
        </is>
      </c>
      <c r="B5" s="2"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2" t="n"/>
      <c r="D5" s="2" t="inlineStr">
        <is>
          <t>Acid-base titration</t>
        </is>
      </c>
      <c r="E5" s="2" t="inlineStr">
        <is>
          <t>Redox titration (ไทเทรตด้วยสารละลายมาตรฐาน Ceric ammonium sulfate)</t>
        </is>
      </c>
      <c r="F5" s="2" t="inlineStr">
        <is>
          <t>Complexometric titration (ไทเทรตด้วย EDTA)</t>
        </is>
      </c>
      <c r="G5" s="2" t="inlineStr">
        <is>
          <t>Gravimetric titration</t>
        </is>
      </c>
      <c r="H5" s="2" t="inlineStr">
        <is>
          <t>Colorimetric titration</t>
        </is>
      </c>
      <c r="I5" s="8" t="inlineStr">
        <is>
          <t>2</t>
        </is>
      </c>
      <c r="J5" s="2"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2" t="inlineStr">
        <is>
          <t>Redox Titration</t>
        </is>
      </c>
      <c r="L5" s="2" t="inlineStr">
        <is>
          <t>ข้อสอบ Product (Assay of Ferrous Salts)</t>
        </is>
      </c>
      <c r="M5" s="2" t="inlineStr">
        <is>
          <t>Titration</t>
        </is>
      </c>
      <c r="N5" s="2" t="inlineStr">
        <is>
          <t>Mock PLE-CC 1 ข้อ 62</t>
        </is>
      </c>
      <c r="O5" s="2" t="inlineStr">
        <is>
          <t>Mock</t>
        </is>
      </c>
      <c r="P5" s="2" t="inlineStr">
        <is>
          <t>Mock RxCU83</t>
        </is>
      </c>
      <c r="Q5" s="2" t="n"/>
    </row>
    <row r="6" ht="13.2" customHeight="1" s="49">
      <c r="A6" s="8" t="inlineStr">
        <is>
          <t>5</t>
        </is>
      </c>
      <c r="B6" s="2"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2" t="n"/>
      <c r="D6" s="2" t="inlineStr">
        <is>
          <t>Direct titration</t>
        </is>
      </c>
      <c r="E6" s="2" t="inlineStr">
        <is>
          <t>Residual (Back) titration</t>
        </is>
      </c>
      <c r="F6" s="2" t="inlineStr">
        <is>
          <t>Complexometric titration</t>
        </is>
      </c>
      <c r="G6" s="2" t="inlineStr">
        <is>
          <t>Precipitation titration</t>
        </is>
      </c>
      <c r="H6" s="2" t="inlineStr">
        <is>
          <t>Non-aqueous acid-base titration</t>
        </is>
      </c>
      <c r="I6" s="8" t="inlineStr">
        <is>
          <t>2</t>
        </is>
      </c>
      <c r="J6" s="2"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2" t="inlineStr">
        <is>
          <t>Acid-Base Titration</t>
        </is>
      </c>
      <c r="L6" s="2" t="inlineStr">
        <is>
          <t>ข้อสอบจริง PLE CC 1 ปี 2566 Day 1 ข้อ 23</t>
        </is>
      </c>
      <c r="M6" s="2" t="inlineStr">
        <is>
          <t>Titration</t>
        </is>
      </c>
      <c r="N6" s="2" t="inlineStr">
        <is>
          <t>PLE-CC1 ปี 2566 Day 1 ข้อ 1</t>
        </is>
      </c>
      <c r="O6" s="2" t="inlineStr">
        <is>
          <t>ข้อสอบจริง</t>
        </is>
      </c>
      <c r="P6" s="2" t="inlineStr">
        <is>
          <t>ปี 2566</t>
        </is>
      </c>
      <c r="Q6" s="2" t="n"/>
    </row>
    <row r="7" ht="13.2" customHeight="1" s="49">
      <c r="A7" s="8" t="inlineStr">
        <is>
          <t>6</t>
        </is>
      </c>
      <c r="B7" s="2"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2" t="n"/>
      <c r="D7" s="2" t="inlineStr">
        <is>
          <t>Redox titration (Oxidation-Reduction)</t>
        </is>
      </c>
      <c r="E7" s="2" t="inlineStr">
        <is>
          <t>Precipitation titration (Argentometry)</t>
        </is>
      </c>
      <c r="F7" s="2" t="inlineStr">
        <is>
          <t>Complexometric titration (EDTA)</t>
        </is>
      </c>
      <c r="G7" s="2" t="inlineStr">
        <is>
          <t>Acid-base neutralization titration</t>
        </is>
      </c>
      <c r="H7" s="2" t="inlineStr">
        <is>
          <t>Non-aqueous titration</t>
        </is>
      </c>
      <c r="I7" s="8" t="inlineStr">
        <is>
          <t>1</t>
        </is>
      </c>
      <c r="J7" s="2"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2" t="inlineStr">
        <is>
          <t>Redox Titration</t>
        </is>
      </c>
      <c r="L7" s="2" t="inlineStr">
        <is>
          <t>ข้อสอบจริง PLE CC 1 ปี 2566 Day 1 ข้อ 24</t>
        </is>
      </c>
      <c r="M7" s="2" t="inlineStr">
        <is>
          <t>Titration</t>
        </is>
      </c>
      <c r="N7" s="2" t="inlineStr">
        <is>
          <t>PLE-CC1 ปี 2566 Day 1 ข้อ 2</t>
        </is>
      </c>
      <c r="O7" s="2" t="inlineStr">
        <is>
          <t>ข้อสอบจริง</t>
        </is>
      </c>
      <c r="P7" s="2" t="inlineStr">
        <is>
          <t>ปี 2566</t>
        </is>
      </c>
      <c r="Q7" s="2" t="n"/>
    </row>
    <row r="8" ht="13.2" customHeight="1" s="49">
      <c r="A8" s="8" t="inlineStr">
        <is>
          <t>7</t>
        </is>
      </c>
      <c r="B8" s="2"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2" t="n"/>
      <c r="D8" s="2" t="inlineStr">
        <is>
          <t>Precipitation titration (Fajans method)</t>
        </is>
      </c>
      <c r="E8" s="2" t="inlineStr">
        <is>
          <t>Precipitation titration (Mohr method)</t>
        </is>
      </c>
      <c r="F8" s="2" t="inlineStr">
        <is>
          <t>Precipitation titration (Volhard method)</t>
        </is>
      </c>
      <c r="G8" s="2" t="inlineStr">
        <is>
          <t>Complexometric titration</t>
        </is>
      </c>
      <c r="H8" s="2" t="inlineStr">
        <is>
          <t>Acid-base neutralization titration</t>
        </is>
      </c>
      <c r="I8" s="8" t="inlineStr">
        <is>
          <t>1</t>
        </is>
      </c>
      <c r="J8" s="2"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2" t="inlineStr">
        <is>
          <t>Precipitation Titration</t>
        </is>
      </c>
      <c r="L8" s="2" t="inlineStr">
        <is>
          <t>ข้อสอบจริง PLE CC 1 ปี 2566 Day 2 ข้อ 88</t>
        </is>
      </c>
      <c r="M8" s="2" t="inlineStr">
        <is>
          <t>Titration</t>
        </is>
      </c>
      <c r="N8" s="2" t="inlineStr">
        <is>
          <t>PLE-CC1 ปี 2566 Day 1 ข้อ 4</t>
        </is>
      </c>
      <c r="O8" s="2" t="inlineStr">
        <is>
          <t>ข้อสอบจริง</t>
        </is>
      </c>
      <c r="P8" s="2" t="inlineStr">
        <is>
          <t>ปี 2566</t>
        </is>
      </c>
      <c r="Q8" s="2" t="n"/>
    </row>
    <row r="9" ht="13.2" customHeight="1" s="49">
      <c r="A9" s="8" t="inlineStr">
        <is>
          <t>8</t>
        </is>
      </c>
      <c r="B9" s="2"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2" t="n"/>
      <c r="D9" s="2" t="inlineStr">
        <is>
          <t>Non-aqueous acid-base titration (การไตเตรทกรด-เบสในตัวทำละลายปราศจากน้ำ)</t>
        </is>
      </c>
      <c r="E9" s="2" t="inlineStr">
        <is>
          <t>Aqueous acid-base neutralization</t>
        </is>
      </c>
      <c r="F9" s="2" t="inlineStr">
        <is>
          <t>Precipitation titration (Argentometry)</t>
        </is>
      </c>
      <c r="G9" s="2" t="inlineStr">
        <is>
          <t>Complexometric titration</t>
        </is>
      </c>
      <c r="H9" s="2" t="inlineStr">
        <is>
          <t>Redox titration</t>
        </is>
      </c>
      <c r="I9" s="8" t="inlineStr">
        <is>
          <t>1</t>
        </is>
      </c>
      <c r="J9" s="2"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2" t="inlineStr">
        <is>
          <t>Acid-Base Titration (Non-aqueous)</t>
        </is>
      </c>
      <c r="L9" s="2" t="inlineStr">
        <is>
          <t>ข้อสอบจริง PLE CC 1 ปี 2563 (BP Acyclovir Monograph)</t>
        </is>
      </c>
      <c r="M9" s="2" t="inlineStr">
        <is>
          <t>Titration</t>
        </is>
      </c>
      <c r="N9" s="2" t="inlineStr">
        <is>
          <t>PLE-CC1 ปี 2566 Day 2 ข้อ 1</t>
        </is>
      </c>
      <c r="O9" s="2" t="inlineStr">
        <is>
          <t>ข้อสอบจริง</t>
        </is>
      </c>
      <c r="P9" s="2" t="inlineStr">
        <is>
          <t>ปี 2566</t>
        </is>
      </c>
      <c r="Q9" s="2" t="n"/>
    </row>
    <row r="10" ht="13.2" customHeight="1" s="49">
      <c r="A10" s="8" t="inlineStr">
        <is>
          <t>9</t>
        </is>
      </c>
      <c r="B10" s="2"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2" t="n"/>
      <c r="D10" s="2" t="inlineStr">
        <is>
          <t>Volhard method (การไตเตรทแบบย้อนกลับในสภาวะกรด)</t>
        </is>
      </c>
      <c r="E10" s="2" t="inlineStr">
        <is>
          <t>Mohr method (การไตเตรทโดยตรงในสภาวะเป็นกลาง)</t>
        </is>
      </c>
      <c r="F10" s="2" t="inlineStr">
        <is>
          <t>Fajans method (การไตเตรทโดยใช้อินดิเคเตอร์ดูดซับ)</t>
        </is>
      </c>
      <c r="G10" s="2" t="inlineStr">
        <is>
          <t>Direct acid-base titration</t>
        </is>
      </c>
      <c r="H10" s="2" t="inlineStr">
        <is>
          <t>Complexometric titration</t>
        </is>
      </c>
      <c r="I10" s="8" t="inlineStr">
        <is>
          <t>1</t>
        </is>
      </c>
      <c r="J10" s="2"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2" t="inlineStr">
        <is>
          <t>Precipitation Titration</t>
        </is>
      </c>
      <c r="L10" s="2" t="inlineStr">
        <is>
          <t>ข้อสอบ Product (Volhard Method &amp; Argentometry)</t>
        </is>
      </c>
      <c r="M10" s="2" t="inlineStr">
        <is>
          <t>Titration</t>
        </is>
      </c>
      <c r="N10" s="2" t="inlineStr">
        <is>
          <t>PLE-CC1 ปี 2566 Day 2 ข้อ 2</t>
        </is>
      </c>
      <c r="O10" s="2" t="inlineStr">
        <is>
          <t>ข้อสอบจริง</t>
        </is>
      </c>
      <c r="P10" s="2" t="inlineStr">
        <is>
          <t>ปี 2566</t>
        </is>
      </c>
      <c r="Q10" s="2" t="n"/>
    </row>
    <row r="11" ht="13.2" customHeight="1" s="49">
      <c r="A11" s="8" t="inlineStr">
        <is>
          <t>10</t>
        </is>
      </c>
      <c r="B11" s="2"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2" t="n"/>
      <c r="D11" s="2" t="inlineStr">
        <is>
          <t>Hydroxynaphthol blue (หรือ Calconcarboxylic acid / Murexide)</t>
        </is>
      </c>
      <c r="E11" s="2" t="inlineStr">
        <is>
          <t>Phenolphthalein</t>
        </is>
      </c>
      <c r="F11" s="2" t="inlineStr">
        <is>
          <t>Methyl orange</t>
        </is>
      </c>
      <c r="G11" s="2" t="inlineStr">
        <is>
          <t>Ferroin</t>
        </is>
      </c>
      <c r="H11" s="2" t="inlineStr">
        <is>
          <t>Potassium chromate</t>
        </is>
      </c>
      <c r="I11" s="8" t="inlineStr">
        <is>
          <t>1</t>
        </is>
      </c>
      <c r="J11" s="2"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2" t="inlineStr">
        <is>
          <t>Complexometric Titration</t>
        </is>
      </c>
      <c r="L11" s="2" t="inlineStr">
        <is>
          <t>ข้อสอบ Product (EDTA Calcium Carbonate Assay)</t>
        </is>
      </c>
      <c r="M11" s="2" t="inlineStr">
        <is>
          <t>Titration</t>
        </is>
      </c>
      <c r="N11" s="2" t="inlineStr">
        <is>
          <t>PLE-CC1 ปี 2566 Day 2 ข้อ 3</t>
        </is>
      </c>
      <c r="O11" s="2" t="inlineStr">
        <is>
          <t>ข้อสอบจริง</t>
        </is>
      </c>
      <c r="P11" s="2" t="inlineStr">
        <is>
          <t>ปี 2566</t>
        </is>
      </c>
      <c r="Q11" s="2" t="n"/>
    </row>
    <row r="12" ht="13.2" customHeight="1" s="49">
      <c r="A12" s="8" t="inlineStr">
        <is>
          <t>11</t>
        </is>
      </c>
      <c r="B12" s="2"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2" t="n"/>
      <c r="D12" s="2" t="inlineStr">
        <is>
          <t>Iodimetry (Direct redox titration with Iodine)</t>
        </is>
      </c>
      <c r="E12" s="2" t="inlineStr">
        <is>
          <t>Iodometry (Indirect redox titration via I2 liberation and Thiosulfate)</t>
        </is>
      </c>
      <c r="F12" s="2" t="inlineStr">
        <is>
          <t>Permanganometry</t>
        </is>
      </c>
      <c r="G12" s="2" t="inlineStr">
        <is>
          <t>Biamperometric titration</t>
        </is>
      </c>
      <c r="H12" s="2" t="inlineStr">
        <is>
          <t>Complexometric titration</t>
        </is>
      </c>
      <c r="I12" s="8" t="inlineStr">
        <is>
          <t>1</t>
        </is>
      </c>
      <c r="J12" s="2"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2" t="inlineStr">
        <is>
          <t>Redox Titration</t>
        </is>
      </c>
      <c r="L12" s="2" t="inlineStr">
        <is>
          <t>ข้อสอบ Product (Iodimetry vs Iodometry Principles)</t>
        </is>
      </c>
      <c r="M12" s="2" t="inlineStr">
        <is>
          <t>Titration</t>
        </is>
      </c>
      <c r="N12" s="2" t="inlineStr">
        <is>
          <t>PLE-CC1 ปี 2566 Day 2 ข้อ 4</t>
        </is>
      </c>
      <c r="O12" s="2" t="inlineStr">
        <is>
          <t>ข้อสอบจริง</t>
        </is>
      </c>
      <c r="P12" s="2" t="inlineStr">
        <is>
          <t>ปี 2566</t>
        </is>
      </c>
      <c r="Q12" s="2" t="n"/>
    </row>
    <row r="13" ht="13.2" customHeight="1" s="49">
      <c r="A13" s="2" t="n">
        <v>11</v>
      </c>
      <c r="B13" s="2"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2" t="n"/>
      <c r="D13" s="2" t="inlineStr">
        <is>
          <t>Precipitation titration</t>
        </is>
      </c>
      <c r="E13" s="2" t="inlineStr">
        <is>
          <t>Complexometric titration (ไทเทรตด้วยสารละลายมาตรฐาน Disodium EDTA)</t>
        </is>
      </c>
      <c r="F13" s="2" t="inlineStr">
        <is>
          <t>Karl Fischer titration</t>
        </is>
      </c>
      <c r="G13" s="2" t="inlineStr">
        <is>
          <t>Fluorescence spectroscopy</t>
        </is>
      </c>
      <c r="H13" s="2" t="inlineStr">
        <is>
          <t>Infrared spectroscopy</t>
        </is>
      </c>
      <c r="I13" s="8" t="inlineStr">
        <is>
          <t>2</t>
        </is>
      </c>
      <c r="J13" s="2"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2" t="inlineStr">
        <is>
          <t>Complexometric Titration</t>
        </is>
      </c>
      <c r="L13" s="2" t="inlineStr">
        <is>
          <t>ข้อสอบจริง PLE CC 1 ปี 2562 (Assay of Zinc Salts)</t>
        </is>
      </c>
      <c r="M13" s="2" t="inlineStr">
        <is>
          <t>Product</t>
        </is>
      </c>
      <c r="N13" s="2" t="inlineStr">
        <is>
          <t>ข้อ 41 (PLE_CC1_2562_Key.md)</t>
        </is>
      </c>
      <c r="O13" s="2" t="inlineStr">
        <is>
          <t>ข้อสอบจริง</t>
        </is>
      </c>
      <c r="P13" s="2" t="inlineStr">
        <is>
          <t>ปี 2562</t>
        </is>
      </c>
      <c r="Q13" s="2" t="n"/>
    </row>
    <row r="14" ht="13.2" customHeight="1" s="49">
      <c r="A14" s="2" t="n">
        <v>12</v>
      </c>
      <c r="B14" s="2" t="inlineStr">
        <is>
          <t>EDTA ในตำรับข(างต(นทำหน(าอะไร</t>
        </is>
      </c>
      <c r="C14" s="2" t="n"/>
      <c r="D14" s="2" t="inlineStr">
        <is>
          <t>Vehicle</t>
        </is>
      </c>
      <c r="E14" s="2" t="inlineStr">
        <is>
          <t>Antioxidant</t>
        </is>
      </c>
      <c r="F14" s="2" t="inlineStr">
        <is>
          <t>Stiffening agent</t>
        </is>
      </c>
      <c r="G14" s="2" t="inlineStr">
        <is>
          <t>Emulsifying agent</t>
        </is>
      </c>
      <c r="H14" s="2" t="inlineStr">
        <is>
          <t>Acidifying agent</t>
        </is>
      </c>
      <c r="I14" s="2" t="n">
        <v>1</v>
      </c>
      <c r="J14" s="2"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Complexometric titration</t>
        </is>
      </c>
      <c r="M14" s="2" t="inlineStr">
        <is>
          <t>Product</t>
        </is>
      </c>
      <c r="N14" s="2" t="inlineStr">
        <is>
          <t>ข้อ 90 (PLE_CC1_2561_Key.md)</t>
        </is>
      </c>
      <c r="O14" s="2" t="inlineStr">
        <is>
          <t>ข้อสอบจริง</t>
        </is>
      </c>
      <c r="P14" s="2" t="inlineStr">
        <is>
          <t>ปี 2561</t>
        </is>
      </c>
    </row>
    <row r="15" ht="13.2" customHeight="1" s="49">
      <c r="A15" s="2" t="n">
        <v>13</v>
      </c>
      <c r="B15" s="2" t="inlineStr">
        <is>
          <t>Residue on ignition คือการตรวจอะไร</t>
        </is>
      </c>
      <c r="C15" s="2" t="n"/>
      <c r="D15" s="2" t="inlineStr">
        <is>
          <t>เพื่อหาปริมาณสารที่ระเหยง.าย</t>
        </is>
      </c>
      <c r="E15" s="2" t="inlineStr">
        <is>
          <t>เพื่อหาปริมาณ organic impurity</t>
        </is>
      </c>
      <c r="F15" s="2" t="inlineStr">
        <is>
          <t>เพื่อหาปริมาณ in organic impurity</t>
        </is>
      </c>
      <c r="G15" s="2" t="inlineStr">
        <is>
          <t>เพื่อพิสูจนว.า organic impurity เป5นสารใด</t>
        </is>
      </c>
      <c r="H15" s="2" t="inlineStr">
        <is>
          <t>เพื่อพิสูจนว.า inorganic impurity เป5นสารใด</t>
        </is>
      </c>
      <c r="I15" s="2" t="n">
        <v>1</v>
      </c>
      <c r="J15" s="2"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Acid-base titration</t>
        </is>
      </c>
      <c r="M15" s="2" t="inlineStr">
        <is>
          <t>Product</t>
        </is>
      </c>
      <c r="N15" s="2" t="inlineStr">
        <is>
          <t>ข้อ 119 (PLE_CC1_2561_Key.md)</t>
        </is>
      </c>
      <c r="O15" s="2" t="inlineStr">
        <is>
          <t>ข้อสอบจริง</t>
        </is>
      </c>
      <c r="P15" s="2" t="inlineStr">
        <is>
          <t>ปี 2561</t>
        </is>
      </c>
    </row>
    <row r="16" ht="13.2" customHeight="1" s="49">
      <c r="A16" s="2" t="n">
        <v>14</v>
      </c>
      <c r="B16" s="2" t="inlineStr">
        <is>
          <t>การสังเคราะห์ HCTZ จงระบุว่า A คือข้อใด</t>
        </is>
      </c>
      <c r="C16" s="2" t="n"/>
      <c r="D16" s="2" t="inlineStr">
        <is>
          <t>H-CO-H</t>
        </is>
      </c>
      <c r="E16" s="2" t="inlineStr">
        <is>
          <t>H-CO-OH</t>
        </is>
      </c>
      <c r="F16" s="2" t="inlineStr">
        <is>
          <t>Cl-C-Cl</t>
        </is>
      </c>
      <c r="G16" s="2" t="inlineStr">
        <is>
          <t>C-CO-H</t>
        </is>
      </c>
      <c r="H16" s="2" t="inlineStr">
        <is>
          <t>...</t>
        </is>
      </c>
      <c r="I16" s="2" t="n">
        <v>1</v>
      </c>
      <c r="J16" s="2"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Acid-base titration</t>
        </is>
      </c>
      <c r="M16" s="2" t="inlineStr">
        <is>
          <t>Product</t>
        </is>
      </c>
      <c r="N16" s="2" t="inlineStr">
        <is>
          <t>ข้อ 8 (PLE_CC1_2560 22 April Set 1.md)</t>
        </is>
      </c>
      <c r="O16" s="2" t="inlineStr">
        <is>
          <t>ข้อสอบจริง</t>
        </is>
      </c>
      <c r="P16" s="2" t="inlineStr">
        <is>
          <t>ปี 2560</t>
        </is>
      </c>
    </row>
    <row r="17" ht="13.2" customHeight="1" s="49">
      <c r="A17" s="2" t="n">
        <v>15</v>
      </c>
      <c r="B17" s="2" t="inlineStr">
        <is>
          <t>หากผู้ป่วยต้องการ KCl 60 mEq/day จะต้องให้ KCl ความเข้มข้น 74.5 g/L กี่มิลลิลิตร (ก้าหนดให้ MW ของ KCl = 74.5 g/mol)</t>
        </is>
      </c>
      <c r="C17" s="2" t="n"/>
      <c r="D17" s="2" t="inlineStr">
        <is>
          <t>15 ml</t>
        </is>
      </c>
      <c r="E17" s="2" t="inlineStr">
        <is>
          <t>30 ml</t>
        </is>
      </c>
      <c r="F17" s="2" t="inlineStr">
        <is>
          <t>45 ml</t>
        </is>
      </c>
      <c r="G17" s="2" t="inlineStr">
        <is>
          <t>60 ml</t>
        </is>
      </c>
      <c r="H17" s="2" t="inlineStr">
        <is>
          <t>75 ml</t>
        </is>
      </c>
      <c r="I17" s="2" t="n">
        <v>1</v>
      </c>
      <c r="J17" s="2"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Acid-base titration</t>
        </is>
      </c>
      <c r="M17" s="2" t="inlineStr">
        <is>
          <t>Product</t>
        </is>
      </c>
      <c r="N17" s="2" t="inlineStr">
        <is>
          <t>ข้อ 68 (PLE_CC1_2559.md)</t>
        </is>
      </c>
      <c r="O17" s="2" t="inlineStr">
        <is>
          <t>ข้อสอบจริง</t>
        </is>
      </c>
      <c r="P17" s="2" t="inlineStr">
        <is>
          <t>ปี 2559</t>
        </is>
      </c>
    </row>
    <row r="18" ht="13.2" customHeight="1" s="49">
      <c r="A18" s="2" t="n">
        <v>16</v>
      </c>
      <c r="B18" s="2" t="inlineStr">
        <is>
          <t>หากผู้ป่วยต้องรักษาภาวะ secondary hyperthyroid ต้องได้ยาใด</t>
        </is>
      </c>
      <c r="C18" s="2" t="n"/>
      <c r="D18" s="2" t="inlineStr">
        <is>
          <t>Vitamin A</t>
        </is>
      </c>
      <c r="E18" s="2" t="inlineStr">
        <is>
          <t>Vitamin D</t>
        </is>
      </c>
      <c r="F18" s="2" t="inlineStr">
        <is>
          <t>Vitamin E</t>
        </is>
      </c>
      <c r="G18" s="2" t="inlineStr">
        <is>
          <t>Vitamin K</t>
        </is>
      </c>
      <c r="H18" s="2" t="inlineStr">
        <is>
          <t>Vitamin B</t>
        </is>
      </c>
      <c r="I18" s="2" t="n">
        <v>1</v>
      </c>
      <c r="J18" s="2"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Acid-base titration</t>
        </is>
      </c>
      <c r="M18" s="2" t="inlineStr">
        <is>
          <t>Product</t>
        </is>
      </c>
      <c r="N18" s="2" t="inlineStr">
        <is>
          <t>ข้อ 51 (PLE_CC1_2558_Key.md)</t>
        </is>
      </c>
      <c r="O18" s="2" t="inlineStr">
        <is>
          <t>ข้อสอบจริง</t>
        </is>
      </c>
      <c r="P18" s="2" t="inlineStr">
        <is>
          <t>ปี 2558</t>
        </is>
      </c>
    </row>
    <row r="19" ht="13.2" customHeight="1" s="49">
      <c r="A19" s="2" t="n">
        <v>17</v>
      </c>
      <c r="B19" s="2"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2" t="n"/>
      <c r="D19" s="2" t="inlineStr">
        <is>
          <t>Aqueous acid-base titration</t>
        </is>
      </c>
      <c r="E19" s="2" t="inlineStr">
        <is>
          <t>Non-aqueous acid-base titration</t>
        </is>
      </c>
      <c r="F19" s="2" t="inlineStr">
        <is>
          <t>Precipitation titration</t>
        </is>
      </c>
      <c r="G19" s="2" t="inlineStr">
        <is>
          <t>Redox titration</t>
        </is>
      </c>
      <c r="H19" s="2" t="inlineStr">
        <is>
          <t>Complexation titration</t>
        </is>
      </c>
      <c r="I19" s="2" t="n">
        <v>1</v>
      </c>
      <c r="J19" s="2"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Acid-base titration</t>
        </is>
      </c>
      <c r="M19" s="2" t="inlineStr">
        <is>
          <t>Product</t>
        </is>
      </c>
      <c r="N19" s="2" t="inlineStr">
        <is>
          <t>ข้อ 98 (Pharmtutor_2024_Set1.md)</t>
        </is>
      </c>
      <c r="O19" s="2" t="inlineStr">
        <is>
          <t>Mock</t>
        </is>
      </c>
      <c r="P19" s="2" t="inlineStr">
        <is>
          <t>Mock Pharmtutor 2024</t>
        </is>
      </c>
    </row>
    <row r="20" ht="13.2" customHeight="1" s="49">
      <c r="A20" s="2" t="n">
        <v>18</v>
      </c>
      <c r="B20" s="2" t="inlineStr">
        <is>
          <t>จากสมการเคมีที่กำหนด เป็นการไทเทรตแบบใด 2HNO3 + CaCO3 ―&gt; Ca(NO3)2 + CO2 + H2O HNO3 + NaOH ―&gt; NaNO3 + H2O</t>
        </is>
      </c>
      <c r="C20" s="2" t="n"/>
      <c r="D20" s="2" t="inlineStr">
        <is>
          <t>Direct acid-base titration</t>
        </is>
      </c>
      <c r="E20" s="2" t="inlineStr">
        <is>
          <t>Back acid-base titration</t>
        </is>
      </c>
      <c r="F20" s="2" t="inlineStr">
        <is>
          <t>Indirect acid-base titration</t>
        </is>
      </c>
      <c r="G20" s="2" t="inlineStr">
        <is>
          <t>Back precipitation titration</t>
        </is>
      </c>
      <c r="H20" s="2" t="inlineStr">
        <is>
          <t>Indirect precipitation titration Azithromycin is white crystalline powder. mp: 126 อC soluble in ethanol and DSMO, minimally soluble in water</t>
        </is>
      </c>
      <c r="I20" s="2" t="n">
        <v>1</v>
      </c>
      <c r="J20"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Acid-base titration</t>
        </is>
      </c>
      <c r="M20" s="2" t="inlineStr">
        <is>
          <t>Product</t>
        </is>
      </c>
      <c r="N20" s="2" t="inlineStr">
        <is>
          <t>ข้อ 99 (Pharmtutor_2024_Set1.md)</t>
        </is>
      </c>
      <c r="O20" s="2" t="inlineStr">
        <is>
          <t>Mock</t>
        </is>
      </c>
      <c r="P20" s="2" t="inlineStr">
        <is>
          <t>Mock Pharmtutor 2024</t>
        </is>
      </c>
    </row>
    <row r="21" ht="13.2" customHeight="1" s="49">
      <c r="A21" s="2" t="n">
        <v>19</v>
      </c>
      <c r="B21" s="2"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2" t="n"/>
      <c r="D21" s="2" t="inlineStr">
        <is>
          <t>Complexometric titration</t>
        </is>
      </c>
      <c r="E21" s="2" t="inlineStr">
        <is>
          <t>Acid-base titration</t>
        </is>
      </c>
      <c r="F21" s="2" t="inlineStr">
        <is>
          <t>Precipitation titration</t>
        </is>
      </c>
      <c r="G21" s="2" t="inlineStr">
        <is>
          <t>Redox titration</t>
        </is>
      </c>
      <c r="H21" s="2" t="inlineStr">
        <is>
          <t>ไม่มีข้อใดถูก</t>
        </is>
      </c>
      <c r="I21" s="2" t="n">
        <v>1</v>
      </c>
      <c r="J21" s="2"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Acid-base titration</t>
        </is>
      </c>
      <c r="M21" s="2" t="inlineStr">
        <is>
          <t>Product</t>
        </is>
      </c>
      <c r="N21" s="2" t="inlineStr">
        <is>
          <t>ข้อ 94 (Pharmtutor_2024_Set2.md)</t>
        </is>
      </c>
      <c r="O21" s="2" t="inlineStr">
        <is>
          <t>Mock</t>
        </is>
      </c>
      <c r="P21" s="2" t="inlineStr">
        <is>
          <t>Mock Pharmtutor 2024</t>
        </is>
      </c>
    </row>
    <row r="22" ht="13.2" customHeight="1" s="49">
      <c r="A22" s="2" t="n">
        <v>20</v>
      </c>
      <c r="B22" s="2" t="inlineStr">
        <is>
          <t>ข้อใดเป็นคำแนะนำที_x001E_เหมาะสมสำหรับการรับประทาน Calcium carbonate ในผู้ป่วยรายนี% (1) รับประทานก่อนอาหาร เพื_x0003_อเพิ_x0003_มการดูดซึมแคลเซียม (2) รับประทานพร้อมอาหารคำแรก เพื_x0003_อเพิ_x0003_มการจับ ระหว่างแคลเซียมและฟอสเฟต (3) รับประทานหลังอาหาร เพื_x0003_อป้องกันภาวะท้องผูก (4) รับประทานแคลเซียมพร้อมกับ FeSO4 (5) หลีกเลี_x0003_ยงการรับประทานแคลเซียม ร่วมกับยา doxycycline</t>
        </is>
      </c>
      <c r="C22" s="2" t="n"/>
      <c r="D22" s="2" t="inlineStr">
        <is>
          <t>Direct Acid-Base Titration</t>
        </is>
      </c>
      <c r="E22" s="2" t="inlineStr">
        <is>
          <t>Back Acid-Base Titration</t>
        </is>
      </c>
      <c r="F22" s="2" t="inlineStr">
        <is>
          <t>Redox Titration (Iodometry)</t>
        </is>
      </c>
      <c r="G22" s="2" t="inlineStr">
        <is>
          <t>Complexometric Titration (EDTA)</t>
        </is>
      </c>
      <c r="H22" s="2" t="inlineStr">
        <is>
          <t>Precipitation Titration (Mohr method)</t>
        </is>
      </c>
      <c r="I22" s="2" t="n">
        <v>1</v>
      </c>
      <c r="J2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Acid-base titration</t>
        </is>
      </c>
      <c r="M22" s="2" t="inlineStr">
        <is>
          <t>Product</t>
        </is>
      </c>
      <c r="N22" s="2" t="inlineStr">
        <is>
          <t>ข้อ 69 (PLE_CC1_2557.md)</t>
        </is>
      </c>
      <c r="O22" s="2" t="inlineStr">
        <is>
          <t>ข้อสอบจริง</t>
        </is>
      </c>
      <c r="P22" s="2" t="inlineStr">
        <is>
          <t>ปี 2557</t>
        </is>
      </c>
    </row>
    <row r="23" ht="13.2" customHeight="1" s="49">
      <c r="A23" s="2" t="n">
        <v>21</v>
      </c>
      <c r="B23" s="2"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2" t="n"/>
      <c r="D23" s="2" t="inlineStr">
        <is>
          <t>Complexometric Titration (EDTA)</t>
        </is>
      </c>
      <c r="E23" s="2" t="inlineStr">
        <is>
          <t>Precipitation Titration (Mohr method)</t>
        </is>
      </c>
      <c r="F23" s="2" t="inlineStr">
        <is>
          <t>Volhard Titration method</t>
        </is>
      </c>
      <c r="G23" s="2" t="inlineStr">
        <is>
          <t>Fajans Adsorption Indicator method</t>
        </is>
      </c>
      <c r="H23" s="2" t="inlineStr">
        <is>
          <t>Potentiometric End-point Titration</t>
        </is>
      </c>
      <c r="I23" s="2" t="n">
        <v>1</v>
      </c>
      <c r="J2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Redox titration</t>
        </is>
      </c>
      <c r="M23" s="2" t="inlineStr">
        <is>
          <t>Product</t>
        </is>
      </c>
      <c r="N23" s="2" t="inlineStr">
        <is>
          <t>ข้อ 70 (PLE_CC1_2557.md)</t>
        </is>
      </c>
      <c r="O23" s="2" t="inlineStr">
        <is>
          <t>ข้อสอบจริง</t>
        </is>
      </c>
      <c r="P23" s="2" t="inlineStr">
        <is>
          <t>ปี 2557</t>
        </is>
      </c>
    </row>
    <row r="24" ht="13.2" customHeight="1" s="49">
      <c r="A24" s="2" t="n">
        <v>22</v>
      </c>
      <c r="B24" s="2"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2" t="n"/>
      <c r="D24" s="2" t="inlineStr">
        <is>
          <t>Fajans Adsorption Indicator method</t>
        </is>
      </c>
      <c r="E24" s="2" t="inlineStr">
        <is>
          <t>Potentiometric End-point Titration</t>
        </is>
      </c>
      <c r="F24" s="2" t="inlineStr">
        <is>
          <t>Biamperometric Titration</t>
        </is>
      </c>
      <c r="G24" s="2" t="inlineStr">
        <is>
          <t>Nonaqueous Acid-Base Titration</t>
        </is>
      </c>
      <c r="H24" s="2" t="inlineStr">
        <is>
          <t>Direct Acid-Base Titration</t>
        </is>
      </c>
      <c r="I24" s="2" t="n">
        <v>3</v>
      </c>
      <c r="J24" s="2"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Precipitation titration</t>
        </is>
      </c>
      <c r="M24" s="2" t="inlineStr">
        <is>
          <t>Product</t>
        </is>
      </c>
      <c r="N24" s="2" t="inlineStr">
        <is>
          <t>ข้อ 5 (PLE_CC1_2533.md)</t>
        </is>
      </c>
      <c r="O24" s="2" t="inlineStr">
        <is>
          <t>ข้อสอบจริง</t>
        </is>
      </c>
      <c r="P24" s="2" t="inlineStr">
        <is>
          <t>ปี 2533</t>
        </is>
      </c>
    </row>
    <row r="25" ht="13.2" customHeight="1" s="49">
      <c r="A25" s="2" t="n">
        <v>23</v>
      </c>
      <c r="B25" s="2" t="inlineStr">
        <is>
          <t>ต้องการวิเคราะห์ phenazopyridine ควรใช้วิธีใดในการวิเคราะห์</t>
        </is>
      </c>
      <c r="C25" s="2" t="n"/>
      <c r="D25" s="2" t="inlineStr">
        <is>
          <t>Nonaqueous Acid-Base Titration</t>
        </is>
      </c>
      <c r="E25" s="2" t="inlineStr">
        <is>
          <t>Direct Acid-Base Titration</t>
        </is>
      </c>
      <c r="F25" s="2" t="inlineStr">
        <is>
          <t>Back Acid-Base Titration</t>
        </is>
      </c>
      <c r="G25" s="2" t="inlineStr">
        <is>
          <t>Redox Titration (Iodometry)</t>
        </is>
      </c>
      <c r="H25" s="2" t="inlineStr">
        <is>
          <t>Complexometric Titration (EDTA)</t>
        </is>
      </c>
      <c r="I25" s="2" t="n">
        <v>1</v>
      </c>
      <c r="J25" s="2"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Acid-base titration</t>
        </is>
      </c>
      <c r="M25" s="2" t="inlineStr">
        <is>
          <t>Product</t>
        </is>
      </c>
      <c r="N25" s="2" t="inlineStr">
        <is>
          <t>ข้อ 7 (PLE_CC1_2533.md)</t>
        </is>
      </c>
      <c r="O25" s="2" t="inlineStr">
        <is>
          <t>ข้อสอบจริง</t>
        </is>
      </c>
      <c r="P25" s="2" t="inlineStr">
        <is>
          <t>ปี 2533</t>
        </is>
      </c>
    </row>
    <row r="26" ht="13.2" customHeight="1" s="49">
      <c r="A26" s="2" t="n">
        <v>24</v>
      </c>
      <c r="B26" s="2" t="inlineStr">
        <is>
          <t>Redox titration</t>
        </is>
      </c>
      <c r="C26" s="2" t="n"/>
      <c r="D26" s="2" t="inlineStr">
        <is>
          <t>Redox Titration (Iodometry)</t>
        </is>
      </c>
      <c r="E26" s="2" t="inlineStr">
        <is>
          <t>Complexometric Titration (EDTA)</t>
        </is>
      </c>
      <c r="F26" s="2" t="inlineStr">
        <is>
          <t>Precipitation Titration (Mohr method)</t>
        </is>
      </c>
      <c r="G26" s="2" t="inlineStr">
        <is>
          <t>Volhard Titration method</t>
        </is>
      </c>
      <c r="H26" s="2" t="inlineStr">
        <is>
          <t>Fajans Adsorption Indicator method</t>
        </is>
      </c>
      <c r="I26" s="2" t="n">
        <v>1</v>
      </c>
      <c r="J26" s="2"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Redox titration</t>
        </is>
      </c>
      <c r="M26" s="2" t="inlineStr">
        <is>
          <t>Product</t>
        </is>
      </c>
      <c r="N26" s="2" t="inlineStr">
        <is>
          <t>ข้อ 1 (PLE_CC1_2533.md)</t>
        </is>
      </c>
      <c r="O26" s="2" t="inlineStr">
        <is>
          <t>ข้อสอบจริง</t>
        </is>
      </c>
      <c r="P26" s="2" t="inlineStr">
        <is>
          <t>ปี 2533</t>
        </is>
      </c>
    </row>
    <row r="27" ht="13.2" customHeight="1" s="49">
      <c r="A27" s="2" t="n">
        <v>25</v>
      </c>
      <c r="B27" s="2" t="inlineStr">
        <is>
          <t>Complexometric Titration</t>
        </is>
      </c>
      <c r="C27" s="2" t="n"/>
      <c r="D27" s="2" t="inlineStr">
        <is>
          <t>Volhard Titration method</t>
        </is>
      </c>
      <c r="E27" s="2" t="inlineStr">
        <is>
          <t>Fajans Adsorption Indicator method</t>
        </is>
      </c>
      <c r="F27" s="2" t="inlineStr">
        <is>
          <t>Potentiometric End-point Titration</t>
        </is>
      </c>
      <c r="G27" s="2" t="inlineStr">
        <is>
          <t>Biamperometric Titration</t>
        </is>
      </c>
      <c r="H27" s="2" t="inlineStr">
        <is>
          <t>Nonaqueous Acid-Base Titration</t>
        </is>
      </c>
      <c r="I27" s="2" t="n">
        <v>1</v>
      </c>
      <c r="J27" s="2"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Complexometric titration</t>
        </is>
      </c>
      <c r="M27" s="2" t="inlineStr">
        <is>
          <t>Product</t>
        </is>
      </c>
      <c r="N27" s="2" t="inlineStr">
        <is>
          <t>ข้อ 3 (PLE_CC1_2533.md)</t>
        </is>
      </c>
      <c r="O27" s="2" t="inlineStr">
        <is>
          <t>ข้อสอบจริง</t>
        </is>
      </c>
      <c r="P27" s="2" t="inlineStr">
        <is>
          <t>ปี 2533</t>
        </is>
      </c>
    </row>
    <row r="28" ht="13.2" customHeight="1" s="49">
      <c r="A28" s="2" t="n">
        <v>26</v>
      </c>
      <c r="B28" s="2" t="inlineStr">
        <is>
          <t>สารใดในตำรับอยู่ในเฟสน้ำ</t>
        </is>
      </c>
      <c r="C28" s="2" t="n"/>
      <c r="D28" s="2" t="inlineStr">
        <is>
          <t>Deionized water</t>
        </is>
      </c>
      <c r="E28" s="2" t="inlineStr">
        <is>
          <t>Glycerin</t>
        </is>
      </c>
      <c r="F28" s="2" t="inlineStr">
        <is>
          <t>Propylene glycol</t>
        </is>
      </c>
      <c r="G28" s="2" t="inlineStr">
        <is>
          <t>Disodium EDTA</t>
        </is>
      </c>
      <c r="H28" s="2" t="inlineStr">
        <is>
          <t>ถูกทุกข้อ</t>
        </is>
      </c>
      <c r="I28" s="2" t="n">
        <v>1</v>
      </c>
      <c r="J28" s="2"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Acid-base titration</t>
        </is>
      </c>
      <c r="M28" s="2" t="inlineStr">
        <is>
          <t>Product</t>
        </is>
      </c>
      <c r="N28" s="2" t="inlineStr">
        <is>
          <t>ข้อ 36 (PLE_CC1_Practice_Exam.md)</t>
        </is>
      </c>
      <c r="O28" s="2" t="inlineStr">
        <is>
          <t>Mock</t>
        </is>
      </c>
      <c r="P28" s="2" t="inlineStr">
        <is>
          <t>Mock สภาเภสัชฯ Practice</t>
        </is>
      </c>
    </row>
    <row r="29" ht="13.2" customHeight="1" s="49">
      <c r="A29" s="2" t="n">
        <v>27</v>
      </c>
      <c r="B29" s="2" t="inlineStr">
        <is>
          <t>วัตถุประสงค์หลักของการใช้ non-aqueous acid-base titration คืออะไร</t>
        </is>
      </c>
      <c r="C29" s="2" t="n"/>
      <c r="D29" s="2" t="inlineStr">
        <is>
          <t>การละลายน้ำของสาร</t>
        </is>
      </c>
      <c r="E29" s="2" t="inlineStr">
        <is>
          <t>ความเข้มข้นของสาร</t>
        </is>
      </c>
      <c r="F29" s="2" t="inlineStr">
        <is>
          <t>สารทำปฏิกิริยากับน้ำไม่ได้</t>
        </is>
      </c>
      <c r="G29" s="2" t="inlineStr">
        <is>
          <t>สารทำปฏิกิริยารุนแรงกับน้ำ</t>
        </is>
      </c>
      <c r="H29" s="2" t="inlineStr">
        <is>
          <t>ถูกทุกข้อ</t>
        </is>
      </c>
      <c r="I29" s="2" t="n">
        <v>1</v>
      </c>
      <c r="J29" s="2"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Acid-base titration</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2" t="n"/>
      <c r="D30" s="2" t="inlineStr">
        <is>
          <t>strong acid/strong base titration</t>
        </is>
      </c>
      <c r="E30" s="2" t="inlineStr">
        <is>
          <t>weak acid/strong base titraton</t>
        </is>
      </c>
      <c r="F30" s="2" t="inlineStr">
        <is>
          <t>weak base/strong acid titration</t>
        </is>
      </c>
      <c r="G30" s="2" t="inlineStr">
        <is>
          <t>non-aqueous titration of weak base</t>
        </is>
      </c>
      <c r="H30" s="2" t="inlineStr">
        <is>
          <t>non-aqueous titration of weak acid</t>
        </is>
      </c>
      <c r="I30" s="2" t="n">
        <v>1</v>
      </c>
      <c r="J30" s="2"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Complexometric titration</t>
        </is>
      </c>
      <c r="M30" s="2" t="inlineStr">
        <is>
          <t>Product</t>
        </is>
      </c>
      <c r="N30" s="2" t="inlineStr">
        <is>
          <t>ข้อ 9 (PLE_CC1_Practice_Exam.md)</t>
        </is>
      </c>
      <c r="O30" s="2" t="inlineStr">
        <is>
          <t>Mock</t>
        </is>
      </c>
      <c r="P30" s="2" t="inlineStr">
        <is>
          <t>Mock สภาเภสัชฯ Practice</t>
        </is>
      </c>
    </row>
    <row r="31" ht="13.2" customHeight="1" s="49">
      <c r="A31" s="2" t="n">
        <v>29</v>
      </c>
      <c r="B31" s="2" t="inlineStr">
        <is>
          <t>ข้อใดกล่าวถูกต้องเกี่ยวกับ Precipitation titration</t>
        </is>
      </c>
      <c r="C31" s="2" t="n"/>
      <c r="D31" s="2" t="inlineStr">
        <is>
          <t>เหมาะสำหรับปฏิกิริยาที่เกิดช้า เพื่อให้สังเกตเห็นการตกตะกอนอย่างช้าๆ</t>
        </is>
      </c>
      <c r="E31" s="2" t="inlineStr">
        <is>
          <t>อุณหภูมิมีผลต่อการละลายของตะกอน โดยที่อุณหภูมิสูงจะเพิ่มการละลายของตะกอนเสมอ</t>
        </is>
      </c>
      <c r="F31" s="2" t="inlineStr">
        <is>
          <t>จะเกิดการตกตะกอนเมื่อค่า Q = Ksp</t>
        </is>
      </c>
      <c r="G31" s="2"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2" t="inlineStr">
        <is>
          <t>ปฏิกิริยาที่มีค่า Ksp สูง จะทำให้หาจุดยุติจาก titration curve ได้ง่าย</t>
        </is>
      </c>
      <c r="I31" s="2" t="n">
        <v>1</v>
      </c>
      <c r="J31" s="2"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Precipitation titration</t>
        </is>
      </c>
      <c r="M31" s="2" t="inlineStr">
        <is>
          <t>Product</t>
        </is>
      </c>
      <c r="N31" s="2" t="inlineStr">
        <is>
          <t>ข้อ 18 (PLE_CC1_Practice_Exam.md)</t>
        </is>
      </c>
      <c r="O31" s="2" t="inlineStr">
        <is>
          <t>Mock</t>
        </is>
      </c>
      <c r="P31" s="2" t="inlineStr">
        <is>
          <t>Mock สภาเภสัชฯ Practice</t>
        </is>
      </c>
    </row>
    <row r="32" ht="13.2" customHeight="1" s="49">
      <c r="A32" s="2" t="n">
        <v>30</v>
      </c>
      <c r="B32" s="2"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2" t="n"/>
      <c r="D32" s="2" t="inlineStr">
        <is>
          <t>5000 กรัม</t>
        </is>
      </c>
      <c r="E32" s="2" t="inlineStr">
        <is>
          <t>6000 กรัม ปริมาตร 1N H2SO4 ที่ใช้ 22.32 มิลลิลิตร 23.20 มิลลิลิตร</t>
        </is>
      </c>
      <c r="F32" s="2" t="n">
        <v>90</v>
      </c>
      <c r="G32" s="2" t="n">
        <v>95</v>
      </c>
      <c r="H32" s="2" t="n">
        <v>100</v>
      </c>
      <c r="I32" s="2" t="n">
        <v>1</v>
      </c>
      <c r="J32" s="2"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Acid-base titration</t>
        </is>
      </c>
      <c r="M32" s="2" t="inlineStr">
        <is>
          <t>Product</t>
        </is>
      </c>
      <c r="N32" s="2" t="inlineStr">
        <is>
          <t>ข้อ 19 (PLE_CC1_Practice_Exam.md)</t>
        </is>
      </c>
      <c r="O32" s="2" t="inlineStr">
        <is>
          <t>Mock</t>
        </is>
      </c>
      <c r="P32" s="2" t="inlineStr">
        <is>
          <t>Mock สภาเภสัชฯ Practice</t>
        </is>
      </c>
    </row>
    <row r="33" ht="13.2" customHeight="1" s="49">
      <c r="A33" s="2" t="n">
        <v>31</v>
      </c>
      <c r="B33" s="2" t="inlineStr">
        <is>
          <t>ในการวิเคราะห์ Boric acid ด้วย Direct titration ใส่สารชนิดใดเพื่อให้ form complex กับ metaborate ion</t>
        </is>
      </c>
      <c r="C33" s="2" t="n"/>
      <c r="D33" s="2" t="inlineStr">
        <is>
          <t>Silver nitrate</t>
        </is>
      </c>
      <c r="E33" s="2" t="inlineStr">
        <is>
          <t>Glycerin</t>
        </is>
      </c>
      <c r="F33" s="2" t="inlineStr">
        <is>
          <t>Phenolphthalein</t>
        </is>
      </c>
      <c r="G33" s="2" t="inlineStr">
        <is>
          <t>Sodium hydroxide</t>
        </is>
      </c>
      <c r="H33" s="2" t="inlineStr">
        <is>
          <t>Sodium bicarbonate</t>
        </is>
      </c>
      <c r="I33" s="2" t="n">
        <v>1</v>
      </c>
      <c r="J33" s="2"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Complexometric titration</t>
        </is>
      </c>
      <c r="M33" s="2" t="inlineStr">
        <is>
          <t>Product</t>
        </is>
      </c>
      <c r="N33" s="2" t="inlineStr">
        <is>
          <t>ข้อ 23 (PLE_CC1_Practice_Exam.md)</t>
        </is>
      </c>
      <c r="O33" s="2" t="inlineStr">
        <is>
          <t>Mock</t>
        </is>
      </c>
      <c r="P33" s="2" t="inlineStr">
        <is>
          <t>Mock สภาเภสัชฯ Practice</t>
        </is>
      </c>
    </row>
    <row r="34" ht="13.2" customHeight="1" s="49">
      <c r="A34" s="2" t="n">
        <v>32</v>
      </c>
      <c r="B34" s="2"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2" t="n"/>
      <c r="D34" s="2" t="inlineStr">
        <is>
          <t>10.01 ml</t>
        </is>
      </c>
      <c r="E34" s="2" t="inlineStr">
        <is>
          <t>11.21 ml</t>
        </is>
      </c>
      <c r="F34" s="2" t="inlineStr">
        <is>
          <t>11.52 ml</t>
        </is>
      </c>
      <c r="G34" s="2" t="inlineStr">
        <is>
          <t>12.71 ml</t>
        </is>
      </c>
      <c r="H34" s="2" t="inlineStr">
        <is>
          <t>12.98 ml</t>
        </is>
      </c>
      <c r="I34" s="2" t="n">
        <v>1</v>
      </c>
      <c r="J34" s="2"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Complexometric titration</t>
        </is>
      </c>
      <c r="M34" s="2" t="inlineStr">
        <is>
          <t>Product</t>
        </is>
      </c>
      <c r="N34" s="2" t="inlineStr">
        <is>
          <t>ข้อ 24 (PLE_CC1_Practice_Exam.md)</t>
        </is>
      </c>
      <c r="O34" s="2" t="inlineStr">
        <is>
          <t>Mock</t>
        </is>
      </c>
      <c r="P34" s="2" t="inlineStr">
        <is>
          <t>Mock สภาเภสัชฯ Practice</t>
        </is>
      </c>
    </row>
    <row r="35" ht="13.2" customHeight="1" s="49">
      <c r="A35" s="2" t="n">
        <v>33</v>
      </c>
      <c r="B35" s="2"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2" t="n"/>
      <c r="D35" s="2" t="inlineStr">
        <is>
          <t>00 หน่วย</t>
        </is>
      </c>
      <c r="E35" s="2" t="inlineStr">
        <is>
          <t>2 x 105</t>
        </is>
      </c>
      <c r="F35" s="2" t="inlineStr">
        <is>
          <t>2 x 109</t>
        </is>
      </c>
      <c r="G35" s="2" t="inlineStr">
        <is>
          <t>2 x 10-5</t>
        </is>
      </c>
      <c r="H35" s="2" t="inlineStr">
        <is>
          <t>2 x 10-9</t>
        </is>
      </c>
      <c r="I35" s="2" t="n">
        <v>1</v>
      </c>
      <c r="J35" s="2"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Acid-base titration</t>
        </is>
      </c>
      <c r="M35" s="2" t="inlineStr">
        <is>
          <t>Product</t>
        </is>
      </c>
      <c r="N35" s="2" t="inlineStr">
        <is>
          <t>ข้อ 25 (PLE_CC1_Practice_Exam.md)</t>
        </is>
      </c>
      <c r="O35" s="2" t="inlineStr">
        <is>
          <t>Mock</t>
        </is>
      </c>
      <c r="P35" s="2" t="inlineStr">
        <is>
          <t>Mock สภาเภสัชฯ Practice</t>
        </is>
      </c>
    </row>
    <row r="36" ht="13.2" customHeight="1" s="49">
      <c r="A36" s="2" t="n">
        <v>34</v>
      </c>
      <c r="B36" s="2"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2" t="n"/>
      <c r="D36" s="2" t="n">
        <v>0.09429999999999999</v>
      </c>
      <c r="E36" s="2" t="inlineStr">
        <is>
          <t>0.0952</t>
        </is>
      </c>
      <c r="F36" s="2" t="n">
        <v>0.09669999999999999</v>
      </c>
      <c r="G36" s="2" t="n">
        <v>0.0977</v>
      </c>
      <c r="H36" s="2" t="n">
        <v>0.09810000000000001</v>
      </c>
      <c r="I36" s="2" t="n">
        <v>1</v>
      </c>
      <c r="J36" s="2"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Acid-base titration</t>
        </is>
      </c>
      <c r="M36" s="2" t="inlineStr">
        <is>
          <t>Product</t>
        </is>
      </c>
      <c r="N36" s="2" t="inlineStr">
        <is>
          <t>ข้อ 34 (PLE_CC1_Practice_Exam.md)</t>
        </is>
      </c>
      <c r="O36" s="2" t="inlineStr">
        <is>
          <t>Mock</t>
        </is>
      </c>
      <c r="P36" s="2" t="inlineStr">
        <is>
          <t>Mock สภาเภสัชฯ Practice</t>
        </is>
      </c>
    </row>
    <row r="37" ht="13.2" customHeight="1" s="49">
      <c r="A37" s="2" t="n">
        <v>35</v>
      </c>
      <c r="B37" s="2"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2" t="n"/>
      <c r="D37" s="21" t="n">
        <v>1.001</v>
      </c>
      <c r="E37" s="21" t="n">
        <v>1.002</v>
      </c>
      <c r="F37" s="21" t="n">
        <v>1.003</v>
      </c>
      <c r="G37" s="21" t="n">
        <v>1.01</v>
      </c>
      <c r="H37" s="21" t="n">
        <v>1.02</v>
      </c>
      <c r="I37" s="2" t="n">
        <v>1</v>
      </c>
      <c r="J37" s="2"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Complexometric titration</t>
        </is>
      </c>
      <c r="M37" s="2" t="inlineStr">
        <is>
          <t>Product</t>
        </is>
      </c>
      <c r="N37" s="2" t="inlineStr">
        <is>
          <t>ข้อ 35 (PLE_CC1_Practice_Exam.md)</t>
        </is>
      </c>
      <c r="O37" s="2" t="inlineStr">
        <is>
          <t>Mock</t>
        </is>
      </c>
      <c r="P37" s="2" t="inlineStr">
        <is>
          <t>Mock สภาเภสัชฯ Practice</t>
        </is>
      </c>
    </row>
    <row r="38" ht="13.2" customHeight="1" s="49">
      <c r="A38" s="2" t="n">
        <v>36</v>
      </c>
      <c r="B38" s="2" t="inlineStr">
        <is>
          <t>Sodium metabisulfite + EDTA</t>
        </is>
      </c>
      <c r="C38" s="2" t="n"/>
      <c r="D38" s="2" t="inlineStr">
        <is>
          <t>Biamperometric Titration</t>
        </is>
      </c>
      <c r="E38" s="2" t="inlineStr">
        <is>
          <t>Nonaqueous Acid-Base Titration</t>
        </is>
      </c>
      <c r="F38" s="2" t="inlineStr">
        <is>
          <t>Direct Acid-Base Titration</t>
        </is>
      </c>
      <c r="G38" s="2" t="inlineStr">
        <is>
          <t>Back Acid-Base Titration</t>
        </is>
      </c>
      <c r="H38" s="2" t="inlineStr">
        <is>
          <t>Redox Titration (Iodometry)</t>
        </is>
      </c>
      <c r="I38" s="2" t="n">
        <v>1</v>
      </c>
      <c r="J38" s="2"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Complexometric titration</t>
        </is>
      </c>
      <c r="M38" s="2" t="inlineStr">
        <is>
          <t>Product</t>
        </is>
      </c>
      <c r="N38" s="2" t="inlineStr">
        <is>
          <t>ข้อ 4 (PLE_CC1_Key_Rx20_UBU.md)</t>
        </is>
      </c>
      <c r="O38" s="2" t="inlineStr">
        <is>
          <t>Mock</t>
        </is>
      </c>
      <c r="P38" s="2" t="inlineStr">
        <is>
          <t>Mock Rx20 UBU</t>
        </is>
      </c>
    </row>
    <row r="39" ht="13.2" customHeight="1" s="49">
      <c r="A39" s="2" t="n">
        <v>37</v>
      </c>
      <c r="B39" s="2" t="inlineStr">
        <is>
          <t>ข้อมูลวิธีวิเคราะห์: ใช้สาร percloric acid(HCLO4) เป็น tritrant และใช้ Potentiometry .... การวิเคราะห์ยา ketoconazole ใช้วิธีใด</t>
        </is>
      </c>
      <c r="C39" s="2" t="n"/>
      <c r="D39" s="2" t="inlineStr">
        <is>
          <t>Back Acid-Base Titration</t>
        </is>
      </c>
      <c r="E39" s="2" t="inlineStr">
        <is>
          <t>Redox Titration (Iodometry)</t>
        </is>
      </c>
      <c r="F39" s="2" t="inlineStr">
        <is>
          <t>Complexometric Titration (EDTA)</t>
        </is>
      </c>
      <c r="G39" s="2" t="inlineStr">
        <is>
          <t>Precipitation Titration (Mohr method)</t>
        </is>
      </c>
      <c r="H39" s="2" t="inlineStr">
        <is>
          <t>Volhard Titration method</t>
        </is>
      </c>
      <c r="I39" s="2" t="n">
        <v>1</v>
      </c>
      <c r="J39" s="2"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Acid-base titration</t>
        </is>
      </c>
      <c r="M39" s="2" t="inlineStr">
        <is>
          <t>Product</t>
        </is>
      </c>
      <c r="N39" s="2" t="inlineStr">
        <is>
          <t>ข้อ 57 (PLE_CC1_Key_Rx20_UBU.md)</t>
        </is>
      </c>
      <c r="O39" s="2" t="inlineStr">
        <is>
          <t>Mock</t>
        </is>
      </c>
      <c r="P39" s="2" t="inlineStr">
        <is>
          <t>Mock Rx20 UBU</t>
        </is>
      </c>
    </row>
    <row r="40" ht="13.2" customHeight="1" s="49">
      <c r="A40" s="2" t="n">
        <v>38</v>
      </c>
      <c r="B40" s="2" t="inlineStr">
        <is>
          <t>Complexometric Titrations ใช้ EDTA เป็น titrant</t>
        </is>
      </c>
      <c r="C40" s="2" t="n"/>
      <c r="D40" s="2" t="inlineStr">
        <is>
          <t>Precipitation Titration (Mohr method)</t>
        </is>
      </c>
      <c r="E40" s="2" t="inlineStr">
        <is>
          <t>Volhard Titration method</t>
        </is>
      </c>
      <c r="F40" s="2" t="inlineStr">
        <is>
          <t>Fajans Adsorption Indicator method</t>
        </is>
      </c>
      <c r="G40" s="2" t="inlineStr">
        <is>
          <t>Potentiometric End-point Titration</t>
        </is>
      </c>
      <c r="H40" s="2" t="inlineStr">
        <is>
          <t>Biamperometric Titration</t>
        </is>
      </c>
      <c r="I40" s="2" t="n">
        <v>1</v>
      </c>
      <c r="J40" s="2"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Complexometric titration</t>
        </is>
      </c>
      <c r="M40" s="2" t="inlineStr">
        <is>
          <t>Product</t>
        </is>
      </c>
      <c r="N40" s="2" t="inlineStr">
        <is>
          <t>ข้อ 1 (PLE_CC1_Key_Rx20_UBU.md)</t>
        </is>
      </c>
      <c r="O40" s="2" t="inlineStr">
        <is>
          <t>Mock</t>
        </is>
      </c>
      <c r="P40" s="2" t="inlineStr">
        <is>
          <t>Mock Rx20 UBU</t>
        </is>
      </c>
    </row>
    <row r="41" ht="13.2" customHeight="1" s="49">
      <c r="A41" s="2" t="n">
        <v>39</v>
      </c>
      <c r="B41" s="2" t="inlineStr">
        <is>
          <t>Redox titration ใช้พวก KMnO4, I2, FeSO4 เป็น titrant</t>
        </is>
      </c>
      <c r="C41" s="2" t="n"/>
      <c r="D41" s="2" t="inlineStr">
        <is>
          <t>Potentiometric End-point Titration</t>
        </is>
      </c>
      <c r="E41" s="2" t="inlineStr">
        <is>
          <t>Biamperometric Titration</t>
        </is>
      </c>
      <c r="F41" s="2" t="inlineStr">
        <is>
          <t>Nonaqueous Acid-Base Titration</t>
        </is>
      </c>
      <c r="G41" s="2" t="inlineStr">
        <is>
          <t>Direct Acid-Base Titration</t>
        </is>
      </c>
      <c r="H41" s="2" t="inlineStr">
        <is>
          <t>Back Acid-Base Titration</t>
        </is>
      </c>
      <c r="I41" s="2" t="n">
        <v>1</v>
      </c>
      <c r="J41" s="2"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Redox titration</t>
        </is>
      </c>
      <c r="M41" s="2" t="inlineStr">
        <is>
          <t>Product</t>
        </is>
      </c>
      <c r="N41" s="2" t="inlineStr">
        <is>
          <t>ข้อ 2 (PLE_CC1_Key_Rx20_UBU.md)</t>
        </is>
      </c>
      <c r="O41" s="2" t="inlineStr">
        <is>
          <t>Mock</t>
        </is>
      </c>
      <c r="P41" s="2" t="inlineStr">
        <is>
          <t>Mock Rx20 UBU</t>
        </is>
      </c>
    </row>
    <row r="42" ht="13.2" customHeight="1" s="49">
      <c r="A42" s="2" t="n">
        <v>40</v>
      </c>
      <c r="B42" s="2" t="inlineStr">
        <is>
          <t>Gravimetric titration</t>
        </is>
      </c>
      <c r="C42" s="2" t="n"/>
      <c r="D42" s="2" t="inlineStr">
        <is>
          <t>Direct Acid-Base Titration</t>
        </is>
      </c>
      <c r="E42" s="2" t="inlineStr">
        <is>
          <t>Back Acid-Base Titration</t>
        </is>
      </c>
      <c r="F42" s="2" t="inlineStr">
        <is>
          <t>Redox Titration (Iodometry)</t>
        </is>
      </c>
      <c r="G42" s="2" t="inlineStr">
        <is>
          <t>Complexometric Titration (EDTA)</t>
        </is>
      </c>
      <c r="H42" s="2" t="inlineStr">
        <is>
          <t>Precipitation Titration (Mohr method)</t>
        </is>
      </c>
      <c r="I42" s="2" t="n">
        <v>1</v>
      </c>
      <c r="J42" s="2"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Acid-base titration</t>
        </is>
      </c>
      <c r="M42" s="2" t="inlineStr">
        <is>
          <t>Product</t>
        </is>
      </c>
      <c r="N42" s="2" t="inlineStr">
        <is>
          <t>ข้อ 3 (PLE_CC1_Key_Rx20_UBU.md)</t>
        </is>
      </c>
      <c r="O42" s="2" t="inlineStr">
        <is>
          <t>Mock</t>
        </is>
      </c>
      <c r="P42" s="2" t="inlineStr">
        <is>
          <t>Mock Rx20 UBU</t>
        </is>
      </c>
    </row>
    <row r="43" ht="13.2" customHeight="1" s="49">
      <c r="A43" s="2" t="n">
        <v>41</v>
      </c>
      <c r="B43" s="2" t="inlineStr">
        <is>
          <t>Non-Aqueous acid base titration ใช้กรด (perchloric acid) และเบสเป็น titrant (Sodium methoxide)</t>
        </is>
      </c>
      <c r="C43" s="2" t="n"/>
      <c r="D43" s="2" t="inlineStr">
        <is>
          <t>Complexometric Titration (EDTA)</t>
        </is>
      </c>
      <c r="E43" s="2" t="inlineStr">
        <is>
          <t>Precipitation Titration (Mohr method)</t>
        </is>
      </c>
      <c r="F43" s="2" t="inlineStr">
        <is>
          <t>Volhard Titration method</t>
        </is>
      </c>
      <c r="G43" s="2" t="inlineStr">
        <is>
          <t>Fajans Adsorption Indicator method</t>
        </is>
      </c>
      <c r="H43" s="2" t="inlineStr">
        <is>
          <t>Potentiometric End-point Titration</t>
        </is>
      </c>
      <c r="I43" s="2" t="n">
        <v>1</v>
      </c>
      <c r="J43" s="2"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Acid-base titration</t>
        </is>
      </c>
      <c r="M43" s="2" t="inlineStr">
        <is>
          <t>Product</t>
        </is>
      </c>
      <c r="N43" s="2" t="inlineStr">
        <is>
          <t>ข้อ 4 (PLE_CC1_Key_Rx20_UBU.md)</t>
        </is>
      </c>
      <c r="O43" s="2" t="inlineStr">
        <is>
          <t>Mock</t>
        </is>
      </c>
      <c r="P43" s="2" t="inlineStr">
        <is>
          <t>Mock Rx20 UBU</t>
        </is>
      </c>
    </row>
    <row r="44" ht="13.2" customHeight="1" s="49">
      <c r="A44" s="2" t="n">
        <v>42</v>
      </c>
      <c r="B44" s="2" t="inlineStr">
        <is>
          <t>Precipitation titration ใช้หลัก Ag, Hg, Pb เจอหมู่ 7 ตกตะกอน</t>
        </is>
      </c>
      <c r="C44" s="2" t="n"/>
      <c r="D44" s="2" t="inlineStr">
        <is>
          <t>Fajans Adsorption Indicator method</t>
        </is>
      </c>
      <c r="E44" s="2" t="inlineStr">
        <is>
          <t>Potentiometric End-point Titration</t>
        </is>
      </c>
      <c r="F44" s="2" t="inlineStr">
        <is>
          <t>Biamperometric Titration</t>
        </is>
      </c>
      <c r="G44" s="2" t="inlineStr">
        <is>
          <t>Nonaqueous Acid-Base Titration</t>
        </is>
      </c>
      <c r="H44" s="2" t="inlineStr">
        <is>
          <t>Direct Acid-Base Titration</t>
        </is>
      </c>
      <c r="I44" s="2" t="n">
        <v>1</v>
      </c>
      <c r="J44" s="2"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Precipitation titration</t>
        </is>
      </c>
      <c r="M44" s="2" t="inlineStr">
        <is>
          <t>Product</t>
        </is>
      </c>
      <c r="N44" s="2" t="inlineStr">
        <is>
          <t>ข้อ 5 (PLE_CC1_Key_Rx20_UBU.md)</t>
        </is>
      </c>
      <c r="O44" s="2" t="inlineStr">
        <is>
          <t>Mock</t>
        </is>
      </c>
      <c r="P44" s="2" t="inlineStr">
        <is>
          <t>Mock Rx20 UBU</t>
        </is>
      </c>
    </row>
    <row r="45" ht="13.2" customHeight="1" s="49">
      <c r="A45" s="2" t="n">
        <v>43</v>
      </c>
      <c r="B45" s="2"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2" t="n"/>
      <c r="D45" s="2" t="inlineStr">
        <is>
          <t>Nonaqueous Acid-Base Titration</t>
        </is>
      </c>
      <c r="E45" s="2" t="inlineStr">
        <is>
          <t>Direct Acid-Base Titration</t>
        </is>
      </c>
      <c r="F45" s="2" t="inlineStr">
        <is>
          <t>Back Acid-Base Titration</t>
        </is>
      </c>
      <c r="G45" s="2" t="inlineStr">
        <is>
          <t>Redox Titration (Iodometry)</t>
        </is>
      </c>
      <c r="H45" s="2" t="inlineStr">
        <is>
          <t>Complexometric Titration (EDTA)</t>
        </is>
      </c>
      <c r="I45" s="2" t="n">
        <v>3</v>
      </c>
      <c r="J45" s="2"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Acid-base titration</t>
        </is>
      </c>
      <c r="M45" s="2" t="inlineStr">
        <is>
          <t>Product</t>
        </is>
      </c>
      <c r="N45" s="2" t="inlineStr">
        <is>
          <t>ข้อ 69 (PLE_CC1_Key_Rx20_UBU.md)</t>
        </is>
      </c>
      <c r="O45" s="2" t="inlineStr">
        <is>
          <t>Mock</t>
        </is>
      </c>
      <c r="P45" s="2" t="inlineStr">
        <is>
          <t>Mock Rx20 UBU</t>
        </is>
      </c>
    </row>
    <row r="46" ht="13.2" customHeight="1" s="49">
      <c r="A46" s="2" t="n">
        <v>44</v>
      </c>
      <c r="B46" s="2" t="inlineStr">
        <is>
          <t>การวิเคราะห์ FeSO4 ด้วยสารละลาย potassium permanganate (KMnO4) ใช้วิธีวิเคราะห์ใด</t>
        </is>
      </c>
      <c r="C46" s="2" t="n"/>
      <c r="D46" s="2" t="inlineStr">
        <is>
          <t>Acid-base titration</t>
        </is>
      </c>
      <c r="E46" s="2" t="inlineStr">
        <is>
          <t>Non-aqueous acid-base titration</t>
        </is>
      </c>
      <c r="F46" s="2" t="inlineStr">
        <is>
          <t>Oxidation-reduction titration (Redox titration)</t>
        </is>
      </c>
      <c r="G46" s="2" t="inlineStr">
        <is>
          <t>Complexometric titration</t>
        </is>
      </c>
      <c r="H46" s="2" t="inlineStr">
        <is>
          <t>Precipitation titration</t>
        </is>
      </c>
      <c r="I46" s="2" t="n">
        <v>3</v>
      </c>
      <c r="J46" s="2"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6" s="2" t="n"/>
      <c r="L46" s="2" t="inlineStr">
        <is>
          <t>Redox titration</t>
        </is>
      </c>
      <c r="M46" s="2" t="inlineStr">
        <is>
          <t>Product</t>
        </is>
      </c>
      <c r="N46" s="2" t="inlineStr">
        <is>
          <t>ข้อ 70 (PLE_CC1_Key_Rx20_UBU.md)</t>
        </is>
      </c>
      <c r="O46" s="2" t="inlineStr">
        <is>
          <t>Mock</t>
        </is>
      </c>
      <c r="P46" s="2" t="inlineStr">
        <is>
          <t>Mock Rx20 UBU</t>
        </is>
      </c>
    </row>
    <row r="47" ht="13.2" customHeight="1" s="49">
      <c r="A47" s="2" t="n">
        <v>45</v>
      </c>
      <c r="B47" s="2"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2" t="n"/>
      <c r="D47" s="2" t="inlineStr">
        <is>
          <t>co-solvent</t>
        </is>
      </c>
      <c r="E47" s="2" t="inlineStr">
        <is>
          <t>pH</t>
        </is>
      </c>
      <c r="F47" s="2" t="inlineStr">
        <is>
          <t>complex salt form</t>
        </is>
      </c>
      <c r="G47" s="2" t="inlineStr">
        <is>
          <t>liposome</t>
        </is>
      </c>
      <c r="H47" s="2" t="inlineStr">
        <is>
          <t>micelle</t>
        </is>
      </c>
      <c r="I47" s="2" t="n">
        <v>1</v>
      </c>
      <c r="J47" s="2"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Complexometric titration</t>
        </is>
      </c>
      <c r="M47" s="2" t="inlineStr">
        <is>
          <t>Product</t>
        </is>
      </c>
      <c r="N47" s="2" t="inlineStr">
        <is>
          <t>ข้อ 42 (PLE_CC1_Key_Rx20_UBU.md)</t>
        </is>
      </c>
      <c r="O47" s="2" t="inlineStr">
        <is>
          <t>Mock</t>
        </is>
      </c>
      <c r="P47" s="2" t="inlineStr">
        <is>
          <t>Mock Rx20 UBU</t>
        </is>
      </c>
    </row>
    <row r="48" ht="409.6" customHeight="1" s="49">
      <c r="A48" s="35" t="n">
        <v>46</v>
      </c>
      <c r="B48" s="34" t="inlineStr">
        <is>
          <t>(ปี 2566, Day 1 ข้อ 23\) (เรื่อง: การไตเตรทตาม Monograph - Aspirin) โจทย์ให้ Monograph การหา Assay ของ Aspirin มา (ต้มกับ NaOH ก่อน แล้วไตเตรทส่วนเกินด้วย H2SO4) และถามรูปแบบการไตเตรทของยา Aspirin</t>
        </is>
      </c>
      <c r="C48" s="35" t="n"/>
      <c r="D48" s="34" t="inlineStr">
        <is>
          <t>Direct titration</t>
        </is>
      </c>
      <c r="E48" s="34" t="inlineStr">
        <is>
          <t>Residual titration</t>
        </is>
      </c>
      <c r="F48" s="34" t="inlineStr">
        <is>
          <t>Complexometric titration</t>
        </is>
      </c>
      <c r="G48" s="34" t="inlineStr">
        <is>
          <t>Precipitation titration</t>
        </is>
      </c>
      <c r="H48" s="34" t="n"/>
      <c r="I48" s="35" t="n">
        <v>1</v>
      </c>
      <c r="J48" s="34" t="inlineStr">
        <is>
          <t>✅ คำตอบที่ถูกต้อง: ข้อ ก. Direct titration
💡 Background:
คำถามข้อสอบจริงใบประกอบวิชาชีพ PLE-CC 1 (Product) ปี 2566 ข้อ 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8" s="35" t="n"/>
      <c r="L48" s="34" t="inlineStr">
        <is>
          <t>Titrimetric Analysis</t>
        </is>
      </c>
      <c r="M48" s="35" t="inlineStr">
        <is>
          <t>Product</t>
        </is>
      </c>
      <c r="N48" s="34" t="inlineStr">
        <is>
          <t>ข้อสอบจริง Product ปี 2566 ข้อ 1</t>
        </is>
      </c>
      <c r="O48" s="35" t="inlineStr">
        <is>
          <t>ข้อสอบจริง</t>
        </is>
      </c>
      <c r="P48" s="35" t="inlineStr">
        <is>
          <t>ปี 2566</t>
        </is>
      </c>
    </row>
    <row r="49" ht="409.6" customHeight="1" s="49">
      <c r="A49" s="35" t="n">
        <v>47</v>
      </c>
      <c r="B49" s="34" t="inlineStr">
        <is>
          <t>(ปี 2566, Day 2 ข้อ 88\) (เรื่อง: วิธี Assay KCl) ให้ Assay ใน Monograph ของ KCl มา (ไตเตรทด้วย silver nitrate, eosin Y indicator)</t>
        </is>
      </c>
      <c r="C49" s="35" t="n"/>
      <c r="D49" s="34" t="inlineStr">
        <is>
          <t>Acid-base titration</t>
        </is>
      </c>
      <c r="E49" s="34" t="inlineStr">
        <is>
          <t>Precipitation titration</t>
        </is>
      </c>
      <c r="F49" s="34" t="inlineStr">
        <is>
          <t>Complexometric titration</t>
        </is>
      </c>
      <c r="G49" s="34" t="inlineStr">
        <is>
          <t>Redox titration</t>
        </is>
      </c>
      <c r="H49" s="34" t="n"/>
      <c r="I49" s="35" t="n">
        <v>1</v>
      </c>
      <c r="J49" s="34" t="inlineStr">
        <is>
          <t>✅ คำตอบที่ถูกต้อง: ข้อ ก. Acid-base titration
💡 Background:
คำถามข้อสอบจริงใบประกอบวิชาชีพ PLE-CC 1 (Product) ปี 2566 ข้อ 34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49" s="35" t="n"/>
      <c r="L49" s="34" t="inlineStr">
        <is>
          <t>Titrimetric Analysis</t>
        </is>
      </c>
      <c r="M49" s="35" t="inlineStr">
        <is>
          <t>Product</t>
        </is>
      </c>
      <c r="N49" s="34" t="inlineStr">
        <is>
          <t>ข้อสอบจริง Product ปี 2566 ข้อ 34</t>
        </is>
      </c>
      <c r="O49" s="35" t="inlineStr">
        <is>
          <t>ข้อสอบจริง</t>
        </is>
      </c>
      <c r="P49" s="35" t="inlineStr">
        <is>
          <t>ปี 2566</t>
        </is>
      </c>
    </row>
    <row r="50" ht="409.6" customHeight="1" s="49">
      <c r="A50" s="35" t="n">
        <v>48</v>
      </c>
      <c r="B50" s="34" t="inlineStr">
        <is>
          <t>สารอะไรออกฤทธิ์ต้าน oxidation ในยาตา</t>
        </is>
      </c>
      <c r="C50" s="35" t="n"/>
      <c r="D50" s="34" t="inlineStr">
        <is>
          <t>perborate</t>
        </is>
      </c>
      <c r="E50" s="34" t="inlineStr">
        <is>
          <t>BKA</t>
        </is>
      </c>
      <c r="F50" s="34" t="inlineStr">
        <is>
          <t>EDTA</t>
        </is>
      </c>
      <c r="G50" s="34" t="inlineStr">
        <is>
          <t>camphor RH</t>
        </is>
      </c>
      <c r="H50" s="34" t="inlineStr">
        <is>
          <t>PEG Part อื่นๆ</t>
        </is>
      </c>
      <c r="I50" s="35" t="n">
        <v>1</v>
      </c>
      <c r="J50" s="34" t="inlineStr">
        <is>
          <t>✅ คำตอบที่ถูกต้อง: ข้อ ก. perborate
💡 Background:
คำถามข้อสอบจริงใบประกอบวิชาชีพ PLE-CC 1 (Product) ปี 2565 ข้อ 73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0" s="35" t="n"/>
      <c r="L50" s="34" t="inlineStr">
        <is>
          <t>Titrimetric Analysis</t>
        </is>
      </c>
      <c r="M50" s="35" t="inlineStr">
        <is>
          <t>Product</t>
        </is>
      </c>
      <c r="N50" s="34" t="inlineStr">
        <is>
          <t>ข้อสอบจริง Product ปี 2565 ข้อ 73</t>
        </is>
      </c>
      <c r="O50" s="35" t="inlineStr">
        <is>
          <t>ข้อสอบจริง</t>
        </is>
      </c>
      <c r="P50" s="35" t="inlineStr">
        <is>
          <t>ปี 2565</t>
        </is>
      </c>
    </row>
    <row r="51" ht="409.6" customHeight="1" s="49">
      <c r="A51" s="35" t="n">
        <v>49</v>
      </c>
      <c r="B51" s="34" t="inlineStr">
        <is>
          <t>ให้สูตรตำรับ ทำ rifampicin suspension จาก rifampicin capsule ข้อใดทำหน้าที่เป็น co-solvent</t>
        </is>
      </c>
      <c r="C51" s="35" t="n"/>
      <c r="D51" s="34" t="inlineStr">
        <is>
          <t>Glycerin, PEG, ascorbic acid</t>
        </is>
      </c>
      <c r="E51" s="34" t="inlineStr">
        <is>
          <t>Glycerin, PEG, sorbitol solution</t>
        </is>
      </c>
      <c r="F51" s="34" t="inlineStr">
        <is>
          <t>PEG, ascorbic acid, Saccharin</t>
        </is>
      </c>
      <c r="G51" s="34" t="inlineStr">
        <is>
          <t>Ascorbic acid, sorbitol solution, EDTA</t>
        </is>
      </c>
      <c r="H51" s="34" t="inlineStr">
        <is>
          <t>Ascorbic acid. EDTA. Saccharin</t>
        </is>
      </c>
      <c r="I51" s="35" t="n">
        <v>1</v>
      </c>
      <c r="J51" s="34" t="inlineStr">
        <is>
          <t>✅ คำตอบที่ถูกต้อง: ข้อ ก. Glycerin, PEG, ascorbic acid
💡 Background:
คำถามข้อสอบจริงใบประกอบวิชาชีพ PLE-CC 1 (Product) ปี 2565 ข้อ 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1" s="35" t="n"/>
      <c r="L51" s="34" t="inlineStr">
        <is>
          <t>Titrimetric Analysis</t>
        </is>
      </c>
      <c r="M51" s="35" t="inlineStr">
        <is>
          <t>Product</t>
        </is>
      </c>
      <c r="N51" s="34" t="inlineStr">
        <is>
          <t>ข้อสอบจริง Product ปี 2565 ข้อ 54</t>
        </is>
      </c>
      <c r="O51" s="35" t="inlineStr">
        <is>
          <t>ข้อสอบจริง</t>
        </is>
      </c>
      <c r="P51" s="35" t="inlineStr">
        <is>
          <t>ปี 2565</t>
        </is>
      </c>
    </row>
    <row r="52" ht="409.6" customHeight="1" s="49">
      <c r="A52" s="35" t="n">
        <v>50</v>
      </c>
      <c r="B52" s="34" t="inlineStr">
        <is>
          <t>การหาปริมาณ Cl- ในนํ้าเกลือ โดยวิธีการไตเตรชั่นใช้ Ag ที่มากเกินพอ Ag ใช้ Fe3+ เป็นอินดิเคเต่อร์ ใช้วิธีการไตเตรชั่นแบบใด</t>
        </is>
      </c>
      <c r="C52" s="35" t="n"/>
      <c r="D52" s="34" t="inlineStr">
        <is>
          <t>Direct titration ต้อง ไตเตรต Cl⁻ กับ AgNO₃ โดยตรง (เช่น วิธี Mohr)</t>
        </is>
      </c>
      <c r="E52" s="34" t="inlineStr">
        <is>
          <t>Indirect titration  เป็นการหาสารโดยอ้อม แต่ไม่ได้จำเพาะว่าต้องเติมสารเกินแล้วไตเตรตย้อน</t>
        </is>
      </c>
      <c r="F52" s="34" t="inlineStr">
        <is>
          <t>Back titration</t>
        </is>
      </c>
      <c r="G52" s="34" t="inlineStr">
        <is>
          <t>Differentiating titration  ไม่ใช่ชื่อวิธีมาตรฐานในกรณีนี้</t>
        </is>
      </c>
      <c r="H52" s="34" t="inlineStr">
        <is>
          <t>Redox titration  ไม่ใช่ปฏิกิริยารีดอกซ์ แต่เป็นปฏิกิริยาการเกิดตะกอน (precipitation)</t>
        </is>
      </c>
      <c r="I52" s="35" t="n">
        <v>1</v>
      </c>
      <c r="J52" s="34" t="inlineStr">
        <is>
          <t>✅ คำตอบที่ถูกต้อง: ข้อ ก. Direct titration ต้อง ไตเตรต Cl⁻ กับ AgNO₃ โดยตรง (เช่น วิธี Mohr)
💡 Background:
คำถามข้อสอบจริงใบประกอบวิชาชีพ PLE-CC 1 (Product) ปี 2564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2" s="35" t="n"/>
      <c r="L52" s="34" t="inlineStr">
        <is>
          <t>Titrimetric Analysis</t>
        </is>
      </c>
      <c r="M52" s="35" t="inlineStr">
        <is>
          <t>Product</t>
        </is>
      </c>
      <c r="N52" s="34" t="inlineStr">
        <is>
          <t>ข้อสอบจริง Product ปี 2564 ข้อ 4</t>
        </is>
      </c>
      <c r="O52" s="35" t="inlineStr">
        <is>
          <t>ข้อสอบจริง</t>
        </is>
      </c>
      <c r="P52" s="35" t="inlineStr">
        <is>
          <t>ปี 2564</t>
        </is>
      </c>
    </row>
    <row r="53" ht="409.6" customHeight="1" s="49">
      <c r="A53" s="35" t="n">
        <v>51</v>
      </c>
      <c r="B53" s="34" t="inlineStr">
        <is>
          <t>สารใดทําให้ตํารับยาตาอยู่ในตาได้นานขึ้น</t>
        </is>
      </c>
      <c r="C53" s="35" t="n"/>
      <c r="D53" s="34" t="inlineStr">
        <is>
          <t>Benzalkonium chloride  เป็นสารกันเสีย (preservative)</t>
        </is>
      </c>
      <c r="E53" s="34" t="inlineStr">
        <is>
          <t>Hypromellose</t>
        </is>
      </c>
      <c r="F53" s="34" t="inlineStr">
        <is>
          <t>EDTA  เป็นสารจับโลหะ (chelating agent) ช่วยเพิ่มประสิทธิภาพสารกันเสีย</t>
        </is>
      </c>
      <c r="G53" s="34" t="inlineStr">
        <is>
          <t>NaCl  ปรับความเป็นไอโซโทนิก (isotonicity)</t>
        </is>
      </c>
      <c r="H53" s="34" t="inlineStr">
        <is>
          <t>Sodium phosphate  ใช้เป็นสารบัฟเฟอร์ ควบคุมค่า pH</t>
        </is>
      </c>
      <c r="I53" s="35" t="n">
        <v>1</v>
      </c>
      <c r="J53" s="34" t="inlineStr">
        <is>
          <t>✅ คำตอบที่ถูกต้อง: ข้อ ก. Benzalkonium chloride  เป็นสารกันเสีย (preservative)
💡 Background:
คำถามข้อสอบจริงใบประกอบวิชาชีพ PLE-CC 1 (Product) ปี 2564 ข้อ 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3" s="35" t="n"/>
      <c r="L53" s="34" t="inlineStr">
        <is>
          <t>Titrimetric Analysis</t>
        </is>
      </c>
      <c r="M53" s="35" t="inlineStr">
        <is>
          <t>Product</t>
        </is>
      </c>
      <c r="N53" s="34" t="inlineStr">
        <is>
          <t>ข้อสอบจริง Product ปี 2564 ข้อ 6</t>
        </is>
      </c>
      <c r="O53" s="35" t="inlineStr">
        <is>
          <t>ข้อสอบจริง</t>
        </is>
      </c>
      <c r="P53" s="35" t="inlineStr">
        <is>
          <t>ปี 2564</t>
        </is>
      </c>
    </row>
    <row r="54" ht="409.6" customHeight="1" s="49">
      <c r="A54" s="35" t="n">
        <v>52</v>
      </c>
      <c r="B54" s="34" t="inlineStr">
        <is>
          <t>การหาปริมาณ ferrous sulfate ใน ferrous sulfate tablets USP โดย titrate ด้วย ceric sulfate ในสารละลายกรด และใช้ orthophenanthroline TS เป็น indicator เป็น titration รูปแบบใด</t>
        </is>
      </c>
      <c r="C54" s="35" t="n"/>
      <c r="D54" s="34" t="inlineStr">
        <is>
          <t>Aqueous acid-base  ไม่ใช่ปฏิกิริยากรด-เบส</t>
        </is>
      </c>
      <c r="E54" s="34" t="inlineStr">
        <is>
          <t>Non-aqueous acid-base  ไม่ใช่การไตเตรตในตัวทำละลายที่ไม่ใช่น้ำ</t>
        </is>
      </c>
      <c r="F54" s="34" t="inlineStr">
        <is>
          <t>Precipitation  ไม่มีการเกิดตะกอน</t>
        </is>
      </c>
      <c r="G54" s="34" t="inlineStr">
        <is>
          <t>Complexation  แม้ orthophenanthroline จะเกิดสารเชิงซ้อนกับ Fe²⁺ แต่หลักการวิเคราะห์คือปฏิกิริยารีดอกซ์</t>
        </is>
      </c>
      <c r="H54" s="34" t="inlineStr">
        <is>
          <t>Redox</t>
        </is>
      </c>
      <c r="I54" s="35" t="n">
        <v>1</v>
      </c>
      <c r="J54" s="34" t="inlineStr">
        <is>
          <t>✅ คำตอบที่ถูกต้อง: ข้อ ก. Aqueous acid-base  ไม่ใช่ปฏิกิริยากรด-เบส
💡 Background:
คำถามข้อสอบจริงใบประกอบวิชาชีพ PLE-CC 1 (Product) ปี 2564 ข้อ 11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4" s="35" t="n"/>
      <c r="L54" s="34" t="inlineStr">
        <is>
          <t>Titrimetric Analysis</t>
        </is>
      </c>
      <c r="M54" s="35" t="inlineStr">
        <is>
          <t>Product</t>
        </is>
      </c>
      <c r="N54" s="34" t="inlineStr">
        <is>
          <t>ข้อสอบจริง Product ปี 2564 ข้อ 11</t>
        </is>
      </c>
      <c r="O54" s="35" t="inlineStr">
        <is>
          <t>ข้อสอบจริง</t>
        </is>
      </c>
      <c r="P54" s="35" t="inlineStr">
        <is>
          <t>ปี 2564</t>
        </is>
      </c>
    </row>
    <row r="55" ht="409.6" customHeight="1" s="49">
      <c r="A55" s="35" t="n">
        <v>53</v>
      </c>
      <c r="B55" s="34" t="inlineStr">
        <is>
          <t>จากสูตร nasal spray สารช่วยทางเภสัชกรรมในข้อใดช่วยทําให้ไม่รู้สึกระคายเคืองเวลาใช้ยาพ่นจมูก</t>
        </is>
      </c>
      <c r="C55" s="35" t="n"/>
      <c r="D55" s="34" t="inlineStr">
        <is>
          <t>Carboxymethyl cellulose (CMC)  เพิ่มความหนืด (Viscosity enhancer)</t>
        </is>
      </c>
      <c r="E55" s="34" t="inlineStr">
        <is>
          <t>Dextrose anhydrous</t>
        </is>
      </c>
      <c r="F55" s="34" t="inlineStr">
        <is>
          <t>Disodium edetate (EDTA)  เป็น Chelating agent</t>
        </is>
      </c>
      <c r="G55" s="34" t="inlineStr">
        <is>
          <t>Hydrochloric acid  ใช้ปรับ pH</t>
        </is>
      </c>
      <c r="H55" s="34" t="inlineStr">
        <is>
          <t>Polysorbate 80 เป็น Surfactant/solubilizer</t>
        </is>
      </c>
      <c r="I55" s="35" t="n">
        <v>1</v>
      </c>
      <c r="J55" s="34" t="inlineStr">
        <is>
          <t>✅ คำตอบที่ถูกต้อง: ข้อ ก. Carboxymethyl cellulose (CMC)  เพิ่มความหนืด (Viscosity enhancer)
💡 Background:
คำถามข้อสอบจริงใบประกอบวิชาชีพ PLE-CC 1 (Product) ปี 2564 ข้อ 31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5" s="35" t="n"/>
      <c r="L55" s="34" t="inlineStr">
        <is>
          <t>Titrimetric Analysis</t>
        </is>
      </c>
      <c r="M55" s="35" t="inlineStr">
        <is>
          <t>Product</t>
        </is>
      </c>
      <c r="N55" s="34" t="inlineStr">
        <is>
          <t>ข้อสอบจริง Product ปี 2564 ข้อ 31</t>
        </is>
      </c>
      <c r="O55" s="35" t="inlineStr">
        <is>
          <t>ข้อสอบจริง</t>
        </is>
      </c>
      <c r="P55" s="35" t="inlineStr">
        <is>
          <t>ปี 2564</t>
        </is>
      </c>
    </row>
    <row r="56" ht="409.6" customHeight="1" s="49">
      <c r="A56" s="35" t="n">
        <v>54</v>
      </c>
      <c r="B56" s="34" t="inlineStr">
        <is>
          <t>วัตถุดิบผงยา methimazole หากต้องการนํามาตอกยาเม็ด กําหนดว่า Methimazole contain NLT 98.0% and NMT 101.0% of methimazole on dried basis ต้องทำ การทดสอบใดเพิ่มเพื่อหาปริมาณหรือความบริสุทธิ์</t>
        </is>
      </c>
      <c r="C56" s="35" t="n"/>
      <c r="D56" s="34" t="inlineStr">
        <is>
          <t>Organic impurities ตรวจสารเจือปนอินทรีย์ ไม่เกี่ยวกับการคำนวณ on dried basis</t>
        </is>
      </c>
      <c r="E56" s="34" t="inlineStr">
        <is>
          <t>Loss on drying</t>
        </is>
      </c>
      <c r="F56" s="34" t="inlineStr">
        <is>
          <t>Uniformity of dosage units  ใช้กับผลิตภัณฑ์สำเร็จรูป ไม่ใช่วัตถุดิบ</t>
        </is>
      </c>
      <c r="G56" s="34" t="inlineStr">
        <is>
          <t>Water determination  ใช้วัดน้ำโดยตรง (เช่น Karl Fischer) แต่เมื่อ monograph ระบุ on dried basis โดยทั่วไปจะอ้างอิง Loss on Drying</t>
        </is>
      </c>
      <c r="H56" s="34" t="inlineStr">
        <is>
          <t>Dissolution  ใช้กับยาเม็ดหรือแคปซูลสำเร็จรูป PLE_CC1_2564_All_Key.pdf</t>
        </is>
      </c>
      <c r="I56" s="35" t="n">
        <v>1</v>
      </c>
      <c r="J56" s="34" t="inlineStr">
        <is>
          <t>✅ คำตอบที่ถูกต้อง: ข้อ ก. Organic impurities ตรวจสารเจือปนอินทรีย์ ไม่เกี่ยวกับการคำนวณ on dried basis
💡 Background:
คำถามข้อสอบจริงใบประกอบวิชาชีพ PLE-CC 1 (Product) ปี 2564 ข้อ 32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6" s="35" t="n"/>
      <c r="L56" s="34" t="inlineStr">
        <is>
          <t>Titrimetric Analysis</t>
        </is>
      </c>
      <c r="M56" s="35" t="inlineStr">
        <is>
          <t>Product</t>
        </is>
      </c>
      <c r="N56" s="34" t="inlineStr">
        <is>
          <t>ข้อสอบจริง Product ปี 2564 ข้อ 32</t>
        </is>
      </c>
      <c r="O56" s="35" t="inlineStr">
        <is>
          <t>ข้อสอบจริง</t>
        </is>
      </c>
      <c r="P56" s="35" t="inlineStr">
        <is>
          <t>ปี 2564</t>
        </is>
      </c>
    </row>
    <row r="57" ht="409.6" customHeight="1" s="49">
      <c r="A57" s="35" t="n">
        <v>55</v>
      </c>
      <c r="B57" s="34" t="inlineStr">
        <is>
          <t>Aluminium and magnesium suspension ใช้การวิเคราะห์แบบใด (ให้ Assay มา)</t>
        </is>
      </c>
      <c r="C57" s="35" t="n"/>
      <c r="D57" s="34" t="inlineStr">
        <is>
          <t>acid base titration</t>
        </is>
      </c>
      <c r="E57" s="34" t="inlineStr">
        <is>
          <t>complexation direct titration</t>
        </is>
      </c>
      <c r="F57" s="34" t="inlineStr">
        <is>
          <t>Complexation back titration</t>
        </is>
      </c>
      <c r="G57" s="34" t="inlineStr">
        <is>
          <t>Redox back</t>
        </is>
      </c>
      <c r="H57" s="34" t="inlineStr">
        <is>
          <t>Redox direct</t>
        </is>
      </c>
      <c r="I57" s="35" t="n">
        <v>1</v>
      </c>
      <c r="J57" s="34" t="inlineStr">
        <is>
          <t>✅ คำตอบที่ถูกต้อง: ข้อ ก. acid base titration
💡 Background:
คำถามข้อสอบจริงใบประกอบวิชาชีพ PLE-CC 1 (Product) ปี 2564 ข้อ 52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7" s="35" t="n"/>
      <c r="L57" s="34" t="inlineStr">
        <is>
          <t>Titrimetric Analysis</t>
        </is>
      </c>
      <c r="M57" s="35" t="inlineStr">
        <is>
          <t>Product</t>
        </is>
      </c>
      <c r="N57" s="34" t="inlineStr">
        <is>
          <t>ข้อสอบจริง Product ปี 2564 ข้อ 52</t>
        </is>
      </c>
      <c r="O57" s="35" t="inlineStr">
        <is>
          <t>ข้อสอบจริง</t>
        </is>
      </c>
      <c r="P57" s="35" t="inlineStr">
        <is>
          <t>ปี 2564</t>
        </is>
      </c>
    </row>
    <row r="58" ht="409.6" customHeight="1" s="49">
      <c r="A58" s="35" t="n">
        <v>56</v>
      </c>
      <c r="B58" s="34" t="inlineStr">
        <is>
          <t>ให้ monograph assay ของ Aspirin ถามว่าใช้วิธีอะไร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(S41)). Each mL of 0.5 N sodium hydroxide is equivalent to 45.04 mg of C9H8O4</t>
        </is>
      </c>
      <c r="C58" s="35" t="inlineStr">
        <is>
          <t>[แนบรูป: ข้อสอบ Product ปี 2564 รหัสรูปภาพ image80]</t>
        </is>
      </c>
      <c r="D58" s="34" t="inlineStr">
        <is>
          <t>วิธี Direct titration มี Sodium Hydroxide เป็น Titrant</t>
        </is>
      </c>
      <c r="E58" s="34" t="inlineStr">
        <is>
          <t>วิธี Direct titration มี Sulfuric acid เป็น Titrant</t>
        </is>
      </c>
      <c r="F58" s="34" t="inlineStr">
        <is>
          <t>วิธี Indirect titration มี Sodium Hydroxide เป็น Titrant</t>
        </is>
      </c>
      <c r="G58" s="34" t="inlineStr">
        <is>
          <t>วิธี Indirect titration มี Sulfuric acid เป็น Titrant</t>
        </is>
      </c>
      <c r="H58" s="34" t="inlineStr">
        <is>
          <t>วิธี Indirect titration มี Sulfuric acid และ Sodium Hydroxide เป็น Titrant</t>
        </is>
      </c>
      <c r="I58" s="35" t="n">
        <v>1</v>
      </c>
      <c r="J58" s="34" t="inlineStr">
        <is>
          <t>✅ คำตอบที่ถูกต้อง: ข้อ ก. วิธี Direct titration มี Sodium Hydroxide เป็น Titrant
💡 Background:
คำถามข้อสอบจริงใบประกอบวิชาชีพ PLE-CC 1 (Product) ปี 2564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8" s="35" t="n"/>
      <c r="L58" s="34" t="inlineStr">
        <is>
          <t>Titrimetric Analysis</t>
        </is>
      </c>
      <c r="M58" s="35" t="inlineStr">
        <is>
          <t>Product</t>
        </is>
      </c>
      <c r="N58" s="34" t="inlineStr">
        <is>
          <t>ข้อสอบจริง Product ปี 2564 ข้อ 69</t>
        </is>
      </c>
      <c r="O58" s="35" t="inlineStr">
        <is>
          <t>ข้อสอบจริง</t>
        </is>
      </c>
      <c r="P58" s="35" t="inlineStr">
        <is>
          <t>ปี 2564</t>
        </is>
      </c>
    </row>
    <row r="59" ht="409.6" customHeight="1" s="49">
      <c r="A59" s="35" t="n">
        <v>57</v>
      </c>
      <c r="B59" s="34" t="inlineStr">
        <is>
          <t>1 ml 0.1 N perchloric acid = ... mg salbutamol sulfate (MW 576.70)</t>
        </is>
      </c>
      <c r="C59" s="35" t="inlineStr">
        <is>
          <t>[แนบรูป: ข้อสอบ Product ปี 2564 รหัสรูปภาพ image81]</t>
        </is>
      </c>
      <c r="D59" s="34" t="inlineStr">
        <is>
          <t>71</t>
        </is>
      </c>
      <c r="E59" s="34" t="inlineStr">
        <is>
          <t>118</t>
        </is>
      </c>
      <c r="F59" s="34" t="inlineStr">
        <is>
          <t>287.35</t>
        </is>
      </c>
      <c r="G59" s="34" t="inlineStr">
        <is>
          <t>576.7</t>
        </is>
      </c>
      <c r="H59" s="34" t="inlineStr">
        <is>
          <t>57.67</t>
        </is>
      </c>
      <c r="I59" s="35" t="n">
        <v>1</v>
      </c>
      <c r="J59" s="34" t="inlineStr">
        <is>
          <t>✅ คำตอบที่ถูกต้อง: ข้อ ก. 71
💡 Background:
คำถามข้อสอบจริงใบประกอบวิชาชีพ PLE-CC 1 (Product) ปี 2564 ข้อ 79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59" s="35" t="n"/>
      <c r="L59" s="34" t="inlineStr">
        <is>
          <t>Titrimetric Analysis</t>
        </is>
      </c>
      <c r="M59" s="35" t="inlineStr">
        <is>
          <t>Product</t>
        </is>
      </c>
      <c r="N59" s="34" t="inlineStr">
        <is>
          <t>ข้อสอบจริง Product ปี 2564 ข้อ 79</t>
        </is>
      </c>
      <c r="O59" s="35" t="inlineStr">
        <is>
          <t>ข้อสอบจริง</t>
        </is>
      </c>
      <c r="P59" s="35" t="inlineStr">
        <is>
          <t>ปี 2564</t>
        </is>
      </c>
    </row>
    <row r="60" ht="409.6" customHeight="1" s="49">
      <c r="A60" s="35" t="n">
        <v>58</v>
      </c>
      <c r="B60" s="34" t="inlineStr">
        <is>
          <t>ให้ monograph assay aluminum hydroxide มา ถามว่าใช้วิธีอะไร Assay— Edetate disodium titrant— Prepare and standardize as directed in the Assay under Ammonium Alum. Procedure— Transfer an accurately measured quantity of Gel, equivalent to about 1.5 g of Al(OH)3,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 pink. Perform a blank determination, substituting 20 mL of water for the sample, and make any necessary correction. Each mL of 0.05 M Edetate disodium titrant consumed is equivalent to 3.900 mg of Al(OH)3.</t>
        </is>
      </c>
      <c r="C60" s="35" t="n"/>
      <c r="D60" s="34" t="inlineStr">
        <is>
          <t>Acid-base aqueous titration</t>
        </is>
      </c>
      <c r="E60" s="34" t="inlineStr">
        <is>
          <t>Acid base non aqueous titration</t>
        </is>
      </c>
      <c r="F60" s="34" t="inlineStr">
        <is>
          <t>Complexometric titration</t>
        </is>
      </c>
      <c r="G60" s="34" t="inlineStr">
        <is>
          <t>Precipitation titration</t>
        </is>
      </c>
      <c r="H60" s="34" t="inlineStr">
        <is>
          <t>Back titration</t>
        </is>
      </c>
      <c r="I60" s="35" t="n">
        <v>1</v>
      </c>
      <c r="J60" s="34" t="inlineStr">
        <is>
          <t>✅ คำตอบที่ถูกต้อง: ข้อ ก. Acid-base aqueous titration
💡 Background:
คำถามข้อสอบจริงใบประกอบวิชาชีพ PLE-CC 1 (Product) ปี 2564 ข้อ 85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0" s="35" t="n"/>
      <c r="L60" s="34" t="inlineStr">
        <is>
          <t>Titrimetric Analysis</t>
        </is>
      </c>
      <c r="M60" s="35" t="inlineStr">
        <is>
          <t>Product</t>
        </is>
      </c>
      <c r="N60" s="34" t="inlineStr">
        <is>
          <t>ข้อสอบจริง Product ปี 2564 ข้อ 85</t>
        </is>
      </c>
      <c r="O60" s="35" t="inlineStr">
        <is>
          <t>ข้อสอบจริง</t>
        </is>
      </c>
      <c r="P60" s="35" t="inlineStr">
        <is>
          <t>ปี 2564</t>
        </is>
      </c>
    </row>
    <row r="61" ht="409.6" customHeight="1" s="49">
      <c r="A61" s="35" t="n">
        <v>59</v>
      </c>
      <c r="B61" s="34" t="inlineStr">
        <is>
          <t>จาก assay ของยา ferrous sulfate ใช้วิธีวิเคราะห์แบบใด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1" s="35" t="n"/>
      <c r="D61" s="34" t="inlineStr">
        <is>
          <t>Acid-base titration</t>
        </is>
      </c>
      <c r="E61" s="34" t="inlineStr">
        <is>
          <t>Non aqueous</t>
        </is>
      </c>
      <c r="F61" s="34" t="inlineStr">
        <is>
          <t>Precipitater</t>
        </is>
      </c>
      <c r="G61" s="34" t="inlineStr">
        <is>
          <t>Complexation</t>
        </is>
      </c>
      <c r="H61" s="34" t="inlineStr">
        <is>
          <t>Residue</t>
        </is>
      </c>
      <c r="I61" s="35" t="n">
        <v>1</v>
      </c>
      <c r="J61" s="34" t="inlineStr">
        <is>
          <t>✅ คำตอบที่ถูกต้อง: ข้อ ก. Acid-base titration
💡 Background:
คำถามข้อสอบจริงใบประกอบวิชาชีพ PLE-CC 1 (Product) ปี 2564 ข้อ 91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1" s="35" t="n"/>
      <c r="L61" s="34" t="inlineStr">
        <is>
          <t>Titrimetric Analysis</t>
        </is>
      </c>
      <c r="M61" s="35" t="inlineStr">
        <is>
          <t>Product</t>
        </is>
      </c>
      <c r="N61" s="34" t="inlineStr">
        <is>
          <t>ข้อสอบจริง Product ปี 2564 ข้อ 91</t>
        </is>
      </c>
      <c r="O61" s="35" t="inlineStr">
        <is>
          <t>ข้อสอบจริง</t>
        </is>
      </c>
      <c r="P61" s="35" t="inlineStr">
        <is>
          <t>ปี 2564</t>
        </is>
      </c>
    </row>
    <row r="62" ht="409.6" customHeight="1" s="49">
      <c r="A62" s="35" t="n">
        <v>60</v>
      </c>
      <c r="B62" s="34" t="inlineStr">
        <is>
          <t>ส่วนประกอบกับหน้าที่ของสารเคลือบฟิล์มของ ferrous sulfate</t>
        </is>
      </c>
      <c r="C62" s="35" t="n"/>
      <c r="D62" s="34" t="inlineStr">
        <is>
          <t>Non aqueous titrate</t>
        </is>
      </c>
      <c r="E62" s="34" t="inlineStr">
        <is>
          <t>Aqueous titrate</t>
        </is>
      </c>
      <c r="F62" s="34" t="inlineStr">
        <is>
          <t>Redox titrate</t>
        </is>
      </c>
      <c r="G62" s="34" t="inlineStr">
        <is>
          <t>Complexometric titrate</t>
        </is>
      </c>
      <c r="H62" s="34" t="inlineStr">
        <is>
          <t>Precipitation titrate</t>
        </is>
      </c>
      <c r="I62" s="35" t="n">
        <v>1</v>
      </c>
      <c r="J62" s="34" t="inlineStr">
        <is>
          <t>✅ คำตอบที่ถูกต้อง: ข้อ ก. Non aqueous titrate
💡 Background:
คำถามข้อสอบจริงใบประกอบวิชาชีพ PLE-CC 1 (Product) ปี 2564 ข้อ 112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2" s="35" t="n"/>
      <c r="L62" s="34" t="inlineStr">
        <is>
          <t>Titrimetric Analysis</t>
        </is>
      </c>
      <c r="M62" s="35" t="inlineStr">
        <is>
          <t>Product</t>
        </is>
      </c>
      <c r="N62" s="34" t="inlineStr">
        <is>
          <t>ข้อสอบจริง Product ปี 2564 ข้อ 112</t>
        </is>
      </c>
      <c r="O62" s="35" t="inlineStr">
        <is>
          <t>ข้อสอบจริง</t>
        </is>
      </c>
      <c r="P62" s="35" t="inlineStr">
        <is>
          <t>ปี 2564</t>
        </is>
      </c>
    </row>
    <row r="63" ht="409.6" customHeight="1" s="49">
      <c r="A63" s="35" t="n">
        <v>61</v>
      </c>
      <c r="B63" s="34" t="inlineStr">
        <is>
          <t>จากสูตรตำรับ benzoyl peroxide emulgel: carbopol 940, benzoyl peroxide, olive oil, PEG, MP+PP, disodium EDTA, PW, BHT ยาไม่คงตัวที่ pH \&gt; 4.5 ตำรับขุ่นจะปรับตำรับอย่างไรให้ใส</t>
        </is>
      </c>
      <c r="C63" s="35" t="n"/>
      <c r="D63" s="34" t="inlineStr">
        <is>
          <t>เพิ่ม NaOH ❌ ปรับ pH ให้ carbopol เกิดเจล แต่ไม่แก้ความขุ่น และ pH สูงทำให้ benzoyl peroxide ไม่คงตัว</t>
        </is>
      </c>
      <c r="E63" s="34" t="inlineStr">
        <is>
          <t>เติม Tween 20 ✅ เป็น surfactant ช่วย solubilize และเพิ่มความใส</t>
        </is>
      </c>
      <c r="F63" s="34" t="inlineStr">
        <is>
          <t>เติม Span 60 ❌ เป็น lipophilic surfactant เหมาะกับ W/O ไม่ช่วยให้ใส</t>
        </is>
      </c>
      <c r="G63" s="34" t="inlineStr">
        <is>
          <t>ลด phase oil ❌ อาจช่วยลดความขุ่น แต่เปลี่ยนสูตรและไม่ใช่วิธีหลัก</t>
        </is>
      </c>
      <c r="H63" s="34" t="inlineStr">
        <is>
          <t>เพิ่ม BHT ❌ เป็น antioxidant ป้องกัน oxidation ไม่เกี่ยวกับความใส</t>
        </is>
      </c>
      <c r="I63" s="35" t="n">
        <v>1</v>
      </c>
      <c r="J63" s="34" t="inlineStr">
        <is>
          <t>✅ คำตอบที่ถูกต้อง: ข้อ ก. เพิ่ม NaOH ❌ ปรับ pH ให้ carbopol เกิดเจล แต่ไม่แก้ความขุ่น และ pH สูงทำให้ benzoyl peroxide ไม่คงตัว
💡 Background:
คำถามข้อสอบจริงใบประกอบวิชาชีพ PLE-CC 1 (Product) ปี 2564 ข้อ 125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3" s="35" t="n"/>
      <c r="L63" s="34" t="inlineStr">
        <is>
          <t>Titrimetric Analysis</t>
        </is>
      </c>
      <c r="M63" s="35" t="inlineStr">
        <is>
          <t>Product</t>
        </is>
      </c>
      <c r="N63" s="34" t="inlineStr">
        <is>
          <t>ข้อสอบจริง Product ปี 2564 ข้อ 125</t>
        </is>
      </c>
      <c r="O63" s="35" t="inlineStr">
        <is>
          <t>ข้อสอบจริง</t>
        </is>
      </c>
      <c r="P63" s="35" t="inlineStr">
        <is>
          <t>ปี 2564</t>
        </is>
      </c>
    </row>
    <row r="64" ht="409.6" customHeight="1" s="49">
      <c r="A64" s="35" t="n">
        <v>62</v>
      </c>
      <c r="B64" s="34" t="inlineStr">
        <is>
          <t>Emulsifying agent ในตำรับข้างต้นคืออะไร</t>
        </is>
      </c>
      <c r="C64" s="35" t="n"/>
      <c r="D64" s="34" t="inlineStr">
        <is>
          <t>NaOH ❌ ปรับ pH / neutralize carbopol</t>
        </is>
      </c>
      <c r="E64" s="34" t="inlineStr">
        <is>
          <t>Sodium oleate ✅ Emulsifier (soap-type surfactant)</t>
        </is>
      </c>
      <c r="F64" s="34" t="inlineStr">
        <is>
          <t>EDTA ❌ Chelating agent จับโลหะ ช่วยเพิ่มความคงตัว</t>
        </is>
      </c>
      <c r="G64" s="34" t="inlineStr">
        <is>
          <t>Olive oil ❌ Oil phase / emollient</t>
        </is>
      </c>
      <c r="H64" s="34" t="inlineStr">
        <is>
          <t>Carbopol ❌ Gelling agent เพิ่มความหนืด</t>
        </is>
      </c>
      <c r="I64" s="35" t="n">
        <v>1</v>
      </c>
      <c r="J64" s="34" t="inlineStr">
        <is>
          <t>✅ คำตอบที่ถูกต้อง: ข้อ ก. NaOH ❌ ปรับ pH / neutralize carbopol
💡 Background:
คำถามข้อสอบจริงใบประกอบวิชาชีพ PLE-CC 1 (Product) ปี 2564 ข้อ 126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4" s="35" t="n"/>
      <c r="L64" s="34" t="inlineStr">
        <is>
          <t>Titrimetric Analysis</t>
        </is>
      </c>
      <c r="M64" s="35" t="inlineStr">
        <is>
          <t>Product</t>
        </is>
      </c>
      <c r="N64" s="34" t="inlineStr">
        <is>
          <t>ข้อสอบจริง Product ปี 2564 ข้อ 126</t>
        </is>
      </c>
      <c r="O64" s="35" t="inlineStr">
        <is>
          <t>ข้อสอบจริง</t>
        </is>
      </c>
      <c r="P64" s="35" t="inlineStr">
        <is>
          <t>ปี 2564</t>
        </is>
      </c>
    </row>
    <row r="65" ht="409.6" customHeight="1" s="49">
      <c r="A65" s="35" t="n">
        <v>63</v>
      </c>
      <c r="B65" s="34" t="inlineStr">
        <is>
          <t>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35" t="n"/>
      <c r="D65" s="34" t="inlineStr">
        <is>
          <t>Acid-base titration</t>
        </is>
      </c>
      <c r="E65" s="34" t="inlineStr">
        <is>
          <t>Non-aqueous acid-base titration</t>
        </is>
      </c>
      <c r="F65" s="34" t="inlineStr">
        <is>
          <t>Oxidation-reaction titration</t>
        </is>
      </c>
      <c r="G65" s="34" t="inlineStr">
        <is>
          <t>Complexometric titration</t>
        </is>
      </c>
      <c r="H65" s="34" t="inlineStr">
        <is>
          <t>Precipitation titration</t>
        </is>
      </c>
      <c r="I65" s="35" t="n">
        <v>1</v>
      </c>
      <c r="J65" s="34" t="inlineStr">
        <is>
          <t>✅ คำตอบที่ถูกต้อง: ข้อ ก. Acid-base titration
💡 Background:
คำถามข้อสอบจริงใบประกอบวิชาชีพ PLE-CC 1 (Product) ปี 2564 ข้อ 148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5" s="35" t="n"/>
      <c r="L65" s="34" t="inlineStr">
        <is>
          <t>Titrimetric Analysis</t>
        </is>
      </c>
      <c r="M65" s="35" t="inlineStr">
        <is>
          <t>Product</t>
        </is>
      </c>
      <c r="N65" s="34" t="inlineStr">
        <is>
          <t>ข้อสอบจริง Product ปี 2564 ข้อ 148</t>
        </is>
      </c>
      <c r="O65" s="35" t="inlineStr">
        <is>
          <t>ข้อสอบจริง</t>
        </is>
      </c>
      <c r="P65" s="35" t="inlineStr">
        <is>
          <t>ปี 2564</t>
        </is>
      </c>
    </row>
    <row r="66" ht="409.6" customHeight="1" s="49">
      <c r="A66" s="35" t="n">
        <v>64</v>
      </c>
      <c r="B66" s="34" t="inlineStr">
        <is>
          <t>สารใดช่วยในการป้องกันการเกิดปฏิกิริยาออกซิเดชันในยาหยอดตา</t>
        </is>
      </c>
      <c r="C66" s="35" t="n"/>
      <c r="D66" s="34" t="inlineStr">
        <is>
          <t>Perchlorates ❌ ไม่ใช้เป็นสารป้องกัน oxidation</t>
        </is>
      </c>
      <c r="E66" s="34" t="inlineStr">
        <is>
          <t>Cremophor RH ❌ เป็น solubilizer/surfactant</t>
        </is>
      </c>
      <c r="F66" s="34" t="inlineStr">
        <is>
          <t>Polyethylene glycol ❌ เป็น cosolvent/vehicle</t>
        </is>
      </c>
      <c r="G66" s="34" t="inlineStr">
        <is>
          <t>Benzalkonium chloride ❌ เป็น preservative</t>
        </is>
      </c>
      <c r="H66" s="34" t="inlineStr">
        <is>
          <t>EDTA ✅ Chelating agent ช่วยป้องกัน oxidation โดยจับโลหะ</t>
        </is>
      </c>
      <c r="I66" s="35" t="n">
        <v>1</v>
      </c>
      <c r="J66" s="34" t="inlineStr">
        <is>
          <t>✅ คำตอบที่ถูกต้อง: ข้อ ก. Perchlorates ❌ ไม่ใช้เป็นสารป้องกัน oxidation
💡 Background:
คำถามข้อสอบจริงใบประกอบวิชาชีพ PLE-CC 1 (Product) ปี 2564 ข้อ 149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6" s="35" t="n"/>
      <c r="L66" s="34" t="inlineStr">
        <is>
          <t>Titrimetric Analysis</t>
        </is>
      </c>
      <c r="M66" s="35" t="inlineStr">
        <is>
          <t>Product</t>
        </is>
      </c>
      <c r="N66" s="34" t="inlineStr">
        <is>
          <t>ข้อสอบจริง Product ปี 2564 ข้อ 149</t>
        </is>
      </c>
      <c r="O66" s="35" t="inlineStr">
        <is>
          <t>ข้อสอบจริง</t>
        </is>
      </c>
      <c r="P66" s="35" t="inlineStr">
        <is>
          <t>ปี 2564</t>
        </is>
      </c>
    </row>
    <row r="67" ht="409.6" customHeight="1" s="49">
      <c r="A67" s="35" t="n">
        <v>65</v>
      </c>
      <c r="B67" s="34" t="inlineStr">
        <is>
          <t>จากการวิเคราะห์ NaCl ด้วย silver nitrate เป็นการวิเคราะห์แบบใด [แนบรูป: ข้อสอบ Product ปี 2564 รหัสรูปภาพ image90]</t>
        </is>
      </c>
      <c r="C67" s="35" t="inlineStr">
        <is>
          <t>[แนบรูป: ข้อสอบ Product ปี 2564 รหัสรูปภาพ image90]</t>
        </is>
      </c>
      <c r="D67" s="34" t="inlineStr">
        <is>
          <t>Karl fisher</t>
        </is>
      </c>
      <c r="E67" s="34" t="inlineStr">
        <is>
          <t>Redox titration</t>
        </is>
      </c>
      <c r="F67" s="34" t="inlineStr">
        <is>
          <t>Acid base titration</t>
        </is>
      </c>
      <c r="G67" s="34" t="inlineStr">
        <is>
          <t>Precipitation titration</t>
        </is>
      </c>
      <c r="H67" s="34" t="inlineStr">
        <is>
          <t>Complexometric titration</t>
        </is>
      </c>
      <c r="I67" s="35" t="n">
        <v>1</v>
      </c>
      <c r="J67" s="34" t="inlineStr">
        <is>
          <t>✅ คำตอบที่ถูกต้อง: ข้อ ก. Karl fisher
💡 Background:
คำถามข้อสอบจริงใบประกอบวิชาชีพ PLE-CC 1 (Product) ปี 2564 ข้อ 154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7" s="35" t="n"/>
      <c r="L67" s="34" t="inlineStr">
        <is>
          <t>Titrimetric Analysis</t>
        </is>
      </c>
      <c r="M67" s="35" t="inlineStr">
        <is>
          <t>Product</t>
        </is>
      </c>
      <c r="N67" s="34" t="inlineStr">
        <is>
          <t>ข้อสอบจริง Product ปี 2564 ข้อ 154</t>
        </is>
      </c>
      <c r="O67" s="35" t="inlineStr">
        <is>
          <t>ข้อสอบจริง</t>
        </is>
      </c>
      <c r="P67" s="35" t="inlineStr">
        <is>
          <t>ปี 2564</t>
        </is>
      </c>
    </row>
    <row r="68" ht="409.6" customHeight="1" s="49">
      <c r="A68" s="35" t="n">
        <v>66</v>
      </c>
      <c r="B68" s="34" t="inlineStr">
        <is>
          <t>จาก assay ของยา ferrous sulfate ใช้วิธีวิเคราะห์แบบใด ต้นฉบับ: Day 1 ข้อ 36 Assay— Dissolve about 1 g of Ferrous Sulfate, accurately weighed, in a mixture of 25 ml of 2 N sulfuric acid and 25 ml of freshly boiled and cooled water. Add orthophenanthroline TS, and immediately titrate with 0.1 N ceric sulfate VS. Perform a blank determination, and make any necessary correction. Each ml of 0.1 N ceric sulfate is equivalent to 15.19 mg of FeSO4 or to 27.80 mg of FeSO4·7H2O</t>
        </is>
      </c>
      <c r="C68" s="35" t="n"/>
      <c r="D68" s="34" t="inlineStr">
        <is>
          <t>Acid-base titration</t>
        </is>
      </c>
      <c r="E68" s="34" t="inlineStr">
        <is>
          <t>Non-aqueous titration</t>
        </is>
      </c>
      <c r="F68" s="34" t="inlineStr">
        <is>
          <t>Precipitation titration</t>
        </is>
      </c>
      <c r="G68" s="34" t="inlineStr">
        <is>
          <t>Complexometric titration</t>
        </is>
      </c>
      <c r="H68" s="34" t="inlineStr">
        <is>
          <t>Redox titration</t>
        </is>
      </c>
      <c r="I68" s="35" t="n">
        <v>5</v>
      </c>
      <c r="J68" s="34" t="inlineStr">
        <is>
          <t>✅ คำตอบที่ถูกต้อง: ข้อ จ. Redox titration | คำตอบ: e) Redox titration เพราะ Fe2+ ถูกออกซิไดซ์เป็น Fe3+ และ Ce4+ ถูกรีดิวซ์เป็น Ce3+ ข้อที่ไม่ถูก a) ไม่ใช่ปฏิกิริยากรด-เบส b) วิธีนี้ใช้น้ำเป็นตัวกลาง c) ไม่มีการเกิดตะกอน d) ไม่ได้หาปริมาณด้วยการสร้างสารเชิงซ้อน | | :---- | 
💡 Background:
คำถามข้อสอบจริงใบประกอบวิชาชีพ PLE-CC 1 (Product) ปี 2563 ข้อ 1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8" s="35" t="n"/>
      <c r="L68" s="34" t="inlineStr">
        <is>
          <t>Titrimetric Analysis</t>
        </is>
      </c>
      <c r="M68" s="35" t="inlineStr">
        <is>
          <t>Product</t>
        </is>
      </c>
      <c r="N68" s="34" t="inlineStr">
        <is>
          <t>ข้อสอบจริง Product ปี 2563 ข้อ 1</t>
        </is>
      </c>
      <c r="O68" s="35" t="inlineStr">
        <is>
          <t>ข้อสอบจริง</t>
        </is>
      </c>
      <c r="P68" s="35" t="inlineStr">
        <is>
          <t>ปี 2563</t>
        </is>
      </c>
    </row>
    <row r="69" ht="409.6" customHeight="1" s="49">
      <c r="A69" s="35" t="n">
        <v>67</v>
      </c>
      <c r="B69" s="34" t="inlineStr">
        <is>
          <t>ให้ monograph assay ของ Aspirin ถามว่าใช้วิธีอะไร ต้นฉบับ: Day 2 ข้อ 27 Assay—Place about 1.5 g of Aspirin, accurately weighed, in a flask, add 50.0 mL of 0.5 N sodium hydroxide VS, and boil the mixture gently for 10 minutes. Add phenolphthalein TS, and titrate the excess sodium hydroxide with 0.5 N sulfuric acid VS. Perform a blank determination (see Residual Titrations under Titrimetry ⟨541⟩). Each mL of 0.5 N sodium hydroxide is equivalent to 45.04 mg of C₉H₈O₄.</t>
        </is>
      </c>
      <c r="C69" s="35" t="n"/>
      <c r="D69" s="34" t="inlineStr">
        <is>
          <t>วิธี Direct titration มี Sodium Hydroxide เป็น Titrant</t>
        </is>
      </c>
      <c r="E69" s="34" t="inlineStr">
        <is>
          <t>วิธี Direct titration มี Sulfuric acid เป็น Titrant</t>
        </is>
      </c>
      <c r="F69" s="34" t="inlineStr">
        <is>
          <t>วิธี Indirect titration มี Sodium Hydroxide เป็น Titrant</t>
        </is>
      </c>
      <c r="G69" s="34" t="inlineStr">
        <is>
          <t>วิธี Indirect titration มี Sulfuric acid เป็น Titrant</t>
        </is>
      </c>
      <c r="H69" s="34" t="inlineStr">
        <is>
          <t>วิธี Indirect titration มี Sulfuric acid และ Sodium Hydroxide เป็น Titrant</t>
        </is>
      </c>
      <c r="I69" s="35" t="n">
        <v>4</v>
      </c>
      <c r="J69" s="34" t="inlineStr">
        <is>
          <t>✅ คำตอบที่ถูกต้อง: ข้อ ง. วิธี Indirect titration มี Sulfuric acid เป็น Titrant
💡 Background:
คำถามข้อสอบจริงใบประกอบวิชาชีพ PLE-CC 1 (Product) ปี 2563 ข้อ 3
🎯 ทำไมข้อนี้ถึงถูก:
ข้อ ง.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69" s="35" t="n"/>
      <c r="L69" s="34" t="inlineStr">
        <is>
          <t>Titrimetric Analysis</t>
        </is>
      </c>
      <c r="M69" s="35" t="inlineStr">
        <is>
          <t>Product</t>
        </is>
      </c>
      <c r="N69" s="34" t="inlineStr">
        <is>
          <t>ข้อสอบจริง Product ปี 2563 ข้อ 3</t>
        </is>
      </c>
      <c r="O69" s="35" t="inlineStr">
        <is>
          <t>ข้อสอบจริง</t>
        </is>
      </c>
      <c r="P69" s="35" t="inlineStr">
        <is>
          <t>ปี 2563</t>
        </is>
      </c>
    </row>
    <row r="70" ht="409.6" customHeight="1" s="49">
      <c r="A70" s="35" t="n">
        <v>68</v>
      </c>
      <c r="B70" s="34" t="inlineStr">
        <is>
          <t>1 ml 0.1 N perchloric acid = ... mg salbutamol sulfate (MW=576.70) ต้นฉบับ: Day 2 ข้อ 80</t>
        </is>
      </c>
      <c r="C70" s="35" t="n"/>
      <c r="D70" s="34" t="inlineStr">
        <is>
          <t>71</t>
        </is>
      </c>
      <c r="E70" s="34" t="inlineStr">
        <is>
          <t>118</t>
        </is>
      </c>
      <c r="F70" s="34" t="inlineStr">
        <is>
          <t>287.35</t>
        </is>
      </c>
      <c r="G70" s="34" t="inlineStr">
        <is>
          <t>576.7</t>
        </is>
      </c>
      <c r="H70" s="34" t="inlineStr">
        <is>
          <t>57.67</t>
        </is>
      </c>
      <c r="I70" s="35" t="n">
        <v>5</v>
      </c>
      <c r="J70" s="34" t="inlineStr">
        <is>
          <t>✅ คำตอบที่ถูกต้อง: ข้อ จ. 57.67 | คำตอบ: e) 57.67 0.1 mol/L × 0.001 L × 576.70 g/mol = 0.05767 g หรือ 57.67 mg ข้อที่ไม่ถูก a) ไม่ตรงกับค่าที่คำนวณได้ b) มากกว่าคำตอบประมาณสองเท่า c) เทียบเท่ากับการใช้ titrant ประมาณ 5 mL d) มากกว่าคำตอบ 10 เท่า | | :---- | 
💡 Background:
คำถามข้อสอบจริงใบประกอบวิชาชีพ PLE-CC 1 (Product) ปี 2563 ข้อ 5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0" s="35" t="n"/>
      <c r="L70" s="34" t="inlineStr">
        <is>
          <t>Titrimetric Analysis</t>
        </is>
      </c>
      <c r="M70" s="35" t="inlineStr">
        <is>
          <t>Product</t>
        </is>
      </c>
      <c r="N70" s="34" t="inlineStr">
        <is>
          <t>ข้อสอบจริง Product ปี 2563 ข้อ 5</t>
        </is>
      </c>
      <c r="O70" s="35" t="inlineStr">
        <is>
          <t>ข้อสอบจริง</t>
        </is>
      </c>
      <c r="P70" s="35" t="inlineStr">
        <is>
          <t>ปี 2563</t>
        </is>
      </c>
    </row>
    <row r="71" ht="409.6" customHeight="1" s="49">
      <c r="A71" s="35" t="n">
        <v>69</v>
      </c>
      <c r="B71" s="34" t="inlineStr">
        <is>
          <t>ให้ monograph assay aluminum hydroxide มาถามว่าใช้วิธีอะไร ต้นฉบับ: Day 2 ข้อ 95 Assay— Edetate disodium titrant— Prepare and standardize as directed in the Assay under Ammonium Alum. Procedure— Transfer an accurately measured quantity of Gel, equivalent to about 1.5 g of Al(OH)₃, to a beaker, add 15 mL of hydrochloric acid, and heat gently until solution is complete. Cool, transfer to a 500-mL volumetric flask, dilute with water to volume, and mix. Pipet 20 mL of this solution into a 250-mL beaker, and add, in the order named and with continuous stirring, 25.0 mL of Edetate disodium titrant and 20 mL of acetic acid-ammonium acetate buffer TS, then heat the solution near the boiling point for 5 minutes. Cool, and add 50 mL of alcohol and 2 mL of dithizone TS. Titrate the solution with 0.05 M zinc sulfate VS until the color changes from green-violet to rose-pink. Perform a blank determination, substituting 20 mL of water for the sample, and make any necessary correction. Each mL of 0.05 M Edetate disodium titrant consumed is equivalent to 3.900 mg of Al(OH)3.</t>
        </is>
      </c>
      <c r="C71" s="35" t="n"/>
      <c r="D71" s="34" t="inlineStr">
        <is>
          <t>Acid-base aqueous titration</t>
        </is>
      </c>
      <c r="E71" s="34" t="inlineStr">
        <is>
          <t>Acid-base non-aqueous titration</t>
        </is>
      </c>
      <c r="F71" s="34" t="inlineStr">
        <is>
          <t>Complexometric titration</t>
        </is>
      </c>
      <c r="G71" s="34" t="inlineStr">
        <is>
          <t>Precipitation titration</t>
        </is>
      </c>
      <c r="H71" s="34" t="inlineStr">
        <is>
          <t>Back titration</t>
        </is>
      </c>
      <c r="I71" s="35" t="n">
        <v>5</v>
      </c>
      <c r="J71" s="34" t="inlineStr">
        <is>
          <t>✅ คำตอบที่ถูกต้อง: ข้อ จ. Back titration | คำตอบ: e) Back titration เพราะเติม EDTA เกินพอให้จับกับ Al3+ แล้วใช้ zinc sulfate ไทเทรต EDTA ที่เหลือ ข้อที่ไม่ถูก a) ไม่ได้อาศัยปฏิกิริยากรด-เบส b) ไม่ใช่การไทเทรตในตัวทำละลายไร้น้ำ c) เป็น complexometric titration จริง แต่ไม่จำเพาะเท่า back titration d) ไม่มีการเกิดตะกอน หมายเหตุ: ถ้าถามตามชนิดปฏิกิริยาจะตอบ complexometric titration แต่จากขั้นตอนตอบ back titration ตรงกว่า | | :---- | # IDQ II 
💡 Background:
คำถามข้อสอบจริงใบประกอบวิชาชีพ PLE-CC 1 (Product) ปี 2563 ข้อ 6
🎯 ทำไมข้อนี้ถึงถูก:
ข้อ จ.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1" s="35" t="n"/>
      <c r="L71" s="34" t="inlineStr">
        <is>
          <t>Titrimetric Analysis</t>
        </is>
      </c>
      <c r="M71" s="35" t="inlineStr">
        <is>
          <t>Product</t>
        </is>
      </c>
      <c r="N71" s="34" t="inlineStr">
        <is>
          <t>ข้อสอบจริง Product ปี 2563 ข้อ 6</t>
        </is>
      </c>
      <c r="O71" s="35" t="inlineStr">
        <is>
          <t>ข้อสอบจริง</t>
        </is>
      </c>
      <c r="P71" s="35" t="inlineStr">
        <is>
          <t>ปี 2563</t>
        </is>
      </c>
    </row>
    <row r="72" ht="409.6" customHeight="1" s="49">
      <c r="A72" s="35" t="n">
        <v>70</v>
      </c>
      <c r="B72" s="34" t="inlineStr">
        <is>
          <t>ใช้ปริมาณน้อย (0.5–2%) ก็ให้ความหนืดสูง   ข้อควรระวัง: carbomer ไวต่ออิเล็กโทรไลต์ ถ้าตำรับมีเกลือมากความหนืดจะลดลง และต้องปรับ pH ให้อยู่ในช่วง 6–7 จึงจะได้ความหนืดสูงสุด | | :---- | ข้อ 101. ตำรับ metronidazole gel ประกอบด้วย gelling agent, methyl paraben, propyl paraben, propylene glycol, ethanol, purified water หน้าที่สาร propylene glycol คือ</t>
        </is>
      </c>
      <c r="C72" s="35" t="n"/>
      <c r="D72" s="34" t="inlineStr">
        <is>
          <t>Binder</t>
        </is>
      </c>
      <c r="E72" s="34" t="inlineStr">
        <is>
          <t>Lubricant</t>
        </is>
      </c>
      <c r="F72" s="34" t="inlineStr">
        <is>
          <t>Disintegrant</t>
        </is>
      </c>
      <c r="G72" s="34" t="inlineStr">
        <is>
          <t>Soluble diluents</t>
        </is>
      </c>
      <c r="H72" s="34" t="inlineStr">
        <is>
          <t>Sweetening agent |</t>
        </is>
      </c>
      <c r="I72" s="35" t="n">
        <v>1</v>
      </c>
      <c r="J72" s="34" t="inlineStr">
        <is>
          <t>✅ คำตอบที่ถูกต้อง: ข้อ ก. Binder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2" s="35" t="n"/>
      <c r="L72" s="34" t="inlineStr">
        <is>
          <t>Titrimetric Analysis</t>
        </is>
      </c>
      <c r="M72" s="35" t="inlineStr">
        <is>
          <t>Product</t>
        </is>
      </c>
      <c r="N72" s="34" t="inlineStr">
        <is>
          <t>ข้อสอบจริง Product ปี 2562 ข้อ 4</t>
        </is>
      </c>
      <c r="O72" s="35" t="inlineStr">
        <is>
          <t>ข้อสอบจริง</t>
        </is>
      </c>
      <c r="P72" s="35" t="inlineStr">
        <is>
          <t>ปี 2562</t>
        </is>
      </c>
    </row>
    <row r="73" ht="409.6" customHeight="1" s="49">
      <c r="A73" s="35" t="n">
        <v>71</v>
      </c>
      <c r="B73" s="34" t="inlineStr">
        <is>
          <t>การไตเตรตดังกล่าวแบบใด Weigh and finely powder not fewer then 20 tablets. Dissolve a portion of the powder, equivalent to about 500 mg of ferrous and accurately weighed, in a beaker containing a mixture of 20 ml of 2 N sulfuric acid and 80 ml of freshly boiled and cooled water. Filter the solution rapidly as soon as all soluble ingredients in the tablets are dissolved, and wash the container and the filter with small portions of a mixture of 20 ml of 2 N sulfuric acid and 80 ml of freshly boiled and cooled water. And orthophenanthroline TS, and immediately titrate the combined filtrate and washings with 0.1 N ceric sulfate VS. Each ml of 0.1 N ceric sulfate is equivalent to 27.80 mg of Ferrous sulfate (FeSO4.7H2O)</t>
        </is>
      </c>
      <c r="C73" s="35" t="n"/>
      <c r="D73" s="34" t="inlineStr">
        <is>
          <t>Redox titrate</t>
        </is>
      </c>
      <c r="E73" s="34" t="inlineStr">
        <is>
          <t>Aqueous titrate</t>
        </is>
      </c>
      <c r="F73" s="34" t="inlineStr">
        <is>
          <t>Precipitation titrate</t>
        </is>
      </c>
      <c r="G73" s="34" t="inlineStr">
        <is>
          <t>Non aqueous titrate</t>
        </is>
      </c>
      <c r="H73" s="34" t="inlineStr">
        <is>
          <t>Complexometric titrate</t>
        </is>
      </c>
      <c r="I73" s="35" t="n">
        <v>1</v>
      </c>
      <c r="J73" s="34" t="inlineStr">
        <is>
          <t>✅ คำตอบที่ถูกต้อง: ข้อ ก. Redox titrate
💡 Background:
คำถามข้อสอบจริงใบประกอบวิชาชีพ PLE-CC 1 (Product) ปี 2561 ข้อ 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3" s="35" t="n"/>
      <c r="L73" s="34" t="inlineStr">
        <is>
          <t>Titrimetric Analysis</t>
        </is>
      </c>
      <c r="M73" s="35" t="inlineStr">
        <is>
          <t>Product</t>
        </is>
      </c>
      <c r="N73" s="34" t="inlineStr">
        <is>
          <t>ข้อสอบจริง Product ปี 2561 ข้อ 5</t>
        </is>
      </c>
      <c r="O73" s="35" t="inlineStr">
        <is>
          <t>ข้อสอบจริง</t>
        </is>
      </c>
      <c r="P73" s="35" t="inlineStr">
        <is>
          <t>ปี 2561</t>
        </is>
      </c>
    </row>
    <row r="74" ht="409.6" customHeight="1" s="49">
      <c r="A74" s="35" t="n">
        <v>72</v>
      </c>
      <c r="B74" s="34" t="inlineStr">
        <is>
          <t>จากสูตรตำรับ benzoylperoxide emulgel ประกอบไปด้วย carbopol 940, benzoyl peroxide, PEG, methylparaben, propylparaben, EDTA, purified water ตัวยาไม่คงตัวที่ pH \&gt;4.5 หากตำรับขุ่นจะต้องแก้ไขอย่างไร</t>
        </is>
      </c>
      <c r="C74" s="35" t="n"/>
      <c r="D74" s="34" t="inlineStr">
        <is>
          <t>เพิ่ม NaOH</t>
        </is>
      </c>
      <c r="E74" s="34" t="inlineStr">
        <is>
          <t>เติม Span 60</t>
        </is>
      </c>
      <c r="F74" s="34" t="inlineStr">
        <is>
          <t>เติม Tween 20</t>
        </is>
      </c>
      <c r="G74" s="34" t="inlineStr">
        <is>
          <t>ลดวัฏภาคน้ำมัน</t>
        </is>
      </c>
      <c r="H74" s="34" t="inlineStr">
        <is>
          <t>เพิ่มปริมาณ BHT</t>
        </is>
      </c>
      <c r="I74" s="35" t="n">
        <v>1</v>
      </c>
      <c r="J74" s="34" t="inlineStr">
        <is>
          <t>✅ คำตอบที่ถูกต้อง: ข้อ ก. เพิ่ม NaOH
💡 Background:
คำถามข้อสอบจริงใบประกอบวิชาชีพ PLE-CC 1 (Product) ปี 2561 ข้อ 19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4" s="35" t="n"/>
      <c r="L74" s="34" t="inlineStr">
        <is>
          <t>Titrimetric Analysis</t>
        </is>
      </c>
      <c r="M74" s="35" t="inlineStr">
        <is>
          <t>Product</t>
        </is>
      </c>
      <c r="N74" s="34" t="inlineStr">
        <is>
          <t>ข้อสอบจริง Product ปี 2561 ข้อ 19</t>
        </is>
      </c>
      <c r="O74" s="35" t="inlineStr">
        <is>
          <t>ข้อสอบจริง</t>
        </is>
      </c>
      <c r="P74" s="35" t="inlineStr">
        <is>
          <t>ปี 2561</t>
        </is>
      </c>
    </row>
    <row r="75" ht="409.6" customHeight="1" s="49">
      <c r="A75" s="35" t="n">
        <v>73</v>
      </c>
      <c r="B75" s="34" t="inlineStr">
        <is>
          <t>EDTA ในตำรับข้างต้นทำหน้าที่อะไร</t>
        </is>
      </c>
      <c r="C75" s="35" t="n"/>
      <c r="D75" s="34" t="inlineStr">
        <is>
          <t>Vehicle</t>
        </is>
      </c>
      <c r="E75" s="34" t="inlineStr">
        <is>
          <t>Antioxidant</t>
        </is>
      </c>
      <c r="F75" s="34" t="inlineStr">
        <is>
          <t>Stiffening agent</t>
        </is>
      </c>
      <c r="G75" s="34" t="inlineStr">
        <is>
          <t>Emulsifying agent</t>
        </is>
      </c>
      <c r="H75" s="34" t="inlineStr">
        <is>
          <t>pH adjusting agent</t>
        </is>
      </c>
      <c r="I75" s="35" t="n">
        <v>1</v>
      </c>
      <c r="J75" s="34" t="inlineStr">
        <is>
          <t>✅ คำตอบที่ถูกต้อง: ข้อ ก. Vehicle
💡 Background:
คำถามข้อสอบจริงใบประกอบวิชาชีพ PLE-CC 1 (Product) ปี 2561 ข้อ 20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5" s="35" t="n"/>
      <c r="L75" s="34" t="inlineStr">
        <is>
          <t>Titrimetric Analysis</t>
        </is>
      </c>
      <c r="M75" s="35" t="inlineStr">
        <is>
          <t>Product</t>
        </is>
      </c>
      <c r="N75" s="34" t="inlineStr">
        <is>
          <t>ข้อสอบจริง Product ปี 2561 ข้อ 20</t>
        </is>
      </c>
      <c r="O75" s="35" t="inlineStr">
        <is>
          <t>ข้อสอบจริง</t>
        </is>
      </c>
      <c r="P75" s="35" t="inlineStr">
        <is>
          <t>ปี 2561</t>
        </is>
      </c>
    </row>
    <row r="76" ht="409.6" customHeight="1" s="49">
      <c r="A76" s="35" t="n">
        <v>74</v>
      </c>
      <c r="B76" s="34" t="inlineStr">
        <is>
          <t>Assay-dissolve about 500 mg of Naproxen, accurately weighed, in a mixture of 75 mL of methanol and 25 mL of water that has been previously neutralized to the phenolphthalein endpoint with 0.1 N sodium hydroxide. Dissolve by gentle warming, if necessary, add phenolphthalein TS, and titrate with 0.1 N sodium hydroxide จาก monograph เป็นการวิเคราะห์แบบใด</t>
        </is>
      </c>
      <c r="C76" s="35" t="n"/>
      <c r="D76" s="34" t="inlineStr">
        <is>
          <t>Acid-base titration</t>
        </is>
      </c>
      <c r="E76" s="34" t="inlineStr">
        <is>
          <t>Precipitation titration</t>
        </is>
      </c>
      <c r="F76" s="34" t="inlineStr">
        <is>
          <t>Complexometric titration</t>
        </is>
      </c>
      <c r="G76" s="34" t="inlineStr">
        <is>
          <t>Oxidation-reaction titration</t>
        </is>
      </c>
      <c r="H76" s="34" t="inlineStr">
        <is>
          <t>Non-aqueous acid-base titration</t>
        </is>
      </c>
      <c r="I76" s="35" t="n">
        <v>1</v>
      </c>
      <c r="J76" s="34" t="inlineStr">
        <is>
          <t>✅ คำตอบที่ถูกต้อง: ข้อ ก. Acid-base titration
💡 Background:
คำถามข้อสอบจริงใบประกอบวิชาชีพ PLE-CC 1 (Product) ปี 2561 ข้อ 55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6" s="35" t="n"/>
      <c r="L76" s="34" t="inlineStr">
        <is>
          <t>Titrimetric Analysis</t>
        </is>
      </c>
      <c r="M76" s="35" t="inlineStr">
        <is>
          <t>Product</t>
        </is>
      </c>
      <c r="N76" s="34" t="inlineStr">
        <is>
          <t>ข้อสอบจริง Product ปี 2561 ข้อ 55</t>
        </is>
      </c>
      <c r="O76" s="35" t="inlineStr">
        <is>
          <t>ข้อสอบจริง</t>
        </is>
      </c>
      <c r="P76" s="35" t="inlineStr">
        <is>
          <t>ปี 2561</t>
        </is>
      </c>
    </row>
    <row r="77" ht="409.6" customHeight="1" s="49">
      <c r="A77" s="35" t="n">
        <v>75</v>
      </c>
      <c r="B77" s="34" t="inlineStr">
        <is>
          <t>Nortriptyline HCl MW = 299.84 USP กำหนดนำ nortriptyline มา 600 mg ละลายในน้ำ 50 ml เติม glacial acetic acid 10 ml จากนั้นนำไปไตเตรทกับ perchloric acid กำหนดให้ each ml of 0.1 N perchloric acid สมมูลกับ nortriptyline HCl X mg ถามว่า X มีค่าเท่ากับข้อใด</t>
        </is>
      </c>
      <c r="C77" s="35" t="n"/>
      <c r="D77" s="34" t="inlineStr">
        <is>
          <t>14.59</t>
        </is>
      </c>
      <c r="E77" s="34" t="inlineStr">
        <is>
          <t>29.98</t>
        </is>
      </c>
      <c r="F77" s="34" t="inlineStr">
        <is>
          <t>15.9</t>
        </is>
      </c>
      <c r="G77" s="34" t="inlineStr">
        <is>
          <t>149</t>
        </is>
      </c>
      <c r="H77" s="34" t="inlineStr">
        <is>
          <t>1450</t>
        </is>
      </c>
      <c r="I77" s="35" t="n">
        <v>1</v>
      </c>
      <c r="J77" s="34" t="inlineStr">
        <is>
          <t>✅ คำตอบที่ถูกต้อง: ข้อ ก. 14.59
💡 Background:
คำถามข้อสอบจริงใบประกอบวิชาชีพ PLE-CC 1 (Product) ปี 2561 ข้อ 69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7" s="35" t="n"/>
      <c r="L77" s="34" t="inlineStr">
        <is>
          <t>Titrimetric Analysis</t>
        </is>
      </c>
      <c r="M77" s="35" t="inlineStr">
        <is>
          <t>Product</t>
        </is>
      </c>
      <c r="N77" s="34" t="inlineStr">
        <is>
          <t>ข้อสอบจริง Product ปี 2561 ข้อ 69</t>
        </is>
      </c>
      <c r="O77" s="35" t="inlineStr">
        <is>
          <t>ข้อสอบจริง</t>
        </is>
      </c>
      <c r="P77" s="35" t="inlineStr">
        <is>
          <t>ปี 2561</t>
        </is>
      </c>
    </row>
    <row r="78" ht="409.6" customHeight="1" s="49">
      <c r="A78" s="35" t="n">
        <v>76</v>
      </c>
      <c r="B78" s="34" t="inlineStr">
        <is>
          <t>05 M edetate disodium VS until the solution is deep blue. Each mL of 0.05 M edetate disodium is equivalent to 5.004 mg of calcium carbonate (CaCO3)</t>
        </is>
      </c>
      <c r="C78" s="35" t="n"/>
      <c r="D78" s="34" t="inlineStr">
        <is>
          <t>NaOH ใช้ช่วยละลาย CaCO3</t>
        </is>
      </c>
      <c r="E78" s="34" t="inlineStr">
        <is>
          <t>CaCO3 ต้องถูกเปลี่ยนเป็น CaCl2 ก่อน</t>
        </is>
      </c>
      <c r="F78" s="34" t="inlineStr">
        <is>
          <t>การวิเคราะห์นี้จัดเป็น direct titration</t>
        </is>
      </c>
      <c r="G78" s="34" t="inlineStr">
        <is>
          <t>ใช้เทคนิค complexometric titration</t>
        </is>
      </c>
      <c r="H78" s="34" t="inlineStr">
        <is>
          <t>สารละลายอยู่ในภาวะด่างระหว่างการ Titration</t>
        </is>
      </c>
      <c r="I78" s="35" t="n">
        <v>1</v>
      </c>
      <c r="J78" s="34" t="inlineStr">
        <is>
          <t>✅ คำตอบที่ถูกต้อง: ข้อ ก. NaOH ใช้ช่วยละลาย CaCO3
💡 Background:
คำถามข้อสอบจริงใบประกอบวิชาชีพ PLE-CC 1 (Product) ปี 2561 ข้อ 0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8" s="35" t="n"/>
      <c r="L78" s="34" t="inlineStr">
        <is>
          <t>Titrimetric Analysis</t>
        </is>
      </c>
      <c r="M78" s="35" t="inlineStr">
        <is>
          <t>Product</t>
        </is>
      </c>
      <c r="N78" s="34" t="inlineStr">
        <is>
          <t>ข้อสอบจริง Product ปี 2561 ข้อ 0</t>
        </is>
      </c>
      <c r="O78" s="35" t="inlineStr">
        <is>
          <t>ข้อสอบจริง</t>
        </is>
      </c>
      <c r="P78" s="35" t="inlineStr">
        <is>
          <t>ปี 2561</t>
        </is>
      </c>
    </row>
    <row r="79" ht="409.6" customHeight="1" s="49">
      <c r="A79" s="35" t="n">
        <v>77</v>
      </c>
      <c r="B79" s="34" t="inlineStr">
        <is>
          <t>จากสูตรตำรับยา - Steroid A - Steric acid - Cetyl alcohol - Butylated hydroxytoluene - Carbomer 934 - Glycerine - Water - EDTA - Paraben concentration - Triethanolamine ข้อใดเป็น emulsifying agent ในตำรับ</t>
        </is>
      </c>
      <c r="C79" s="35" t="n"/>
      <c r="D79" s="34" t="inlineStr">
        <is>
          <t>Steric acid</t>
        </is>
      </c>
      <c r="E79" s="34" t="inlineStr">
        <is>
          <t>Triethanolamine</t>
        </is>
      </c>
      <c r="F79" s="34" t="inlineStr">
        <is>
          <t>Triethanolamine acetate</t>
        </is>
      </c>
      <c r="G79" s="34" t="inlineStr">
        <is>
          <t>Triethanolamine stearate</t>
        </is>
      </c>
      <c r="H79" s="34" t="inlineStr">
        <is>
          <t>Butylated hydroxytoluene</t>
        </is>
      </c>
      <c r="I79" s="35" t="n">
        <v>1</v>
      </c>
      <c r="J79" s="34" t="inlineStr">
        <is>
          <t>✅ คำตอบที่ถูกต้อง: ข้อ ก. Steric acid
💡 Background:
คำถามข้อสอบจริงใบประกอบวิชาชีพ PLE-CC 1 (Product) ปี 2561 ข้อ 87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79" s="35" t="n"/>
      <c r="L79" s="34" t="inlineStr">
        <is>
          <t>Titrimetric Analysis</t>
        </is>
      </c>
      <c r="M79" s="35" t="inlineStr">
        <is>
          <t>Product</t>
        </is>
      </c>
      <c r="N79" s="34" t="inlineStr">
        <is>
          <t>ข้อสอบจริง Product ปี 2561 ข้อ 87</t>
        </is>
      </c>
      <c r="O79" s="35" t="inlineStr">
        <is>
          <t>ข้อสอบจริง</t>
        </is>
      </c>
      <c r="P79" s="35" t="inlineStr">
        <is>
          <t>ปี 2561</t>
        </is>
      </c>
    </row>
    <row r="80" ht="409.6" customHeight="1" s="49">
      <c r="A80" s="35" t="n">
        <v>78</v>
      </c>
      <c r="B80" s="34" t="inlineStr">
        <is>
          <t>หากในการเคลือบฟิล์ม พบฟิล์มหลุดล่อน ควรเติมสารใดเพิ่มในน้ำยาเคลือบ</t>
        </is>
      </c>
      <c r="C80" s="35" t="n"/>
      <c r="D80" s="34" t="inlineStr">
        <is>
          <t>Talc</t>
        </is>
      </c>
      <c r="E80" s="34" t="inlineStr">
        <is>
          <t>EDTA</t>
        </is>
      </c>
      <c r="F80" s="34" t="inlineStr">
        <is>
          <t>Shellac</t>
        </is>
      </c>
      <c r="G80" s="34" t="inlineStr">
        <is>
          <t>Sodium chloride</t>
        </is>
      </c>
      <c r="H80" s="34" t="inlineStr">
        <is>
          <t>Polyethylene glycol</t>
        </is>
      </c>
      <c r="I80" s="35" t="n">
        <v>1</v>
      </c>
      <c r="J80" s="34" t="inlineStr">
        <is>
          <t>✅ คำตอบที่ถูกต้อง: ข้อ ก. Talc
💡 Background:
คำถามข้อสอบจริงใบประกอบวิชาชีพ PLE-CC 1 (Product) ปี 2561 ข้อ 106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0" s="35" t="n"/>
      <c r="L80" s="34" t="inlineStr">
        <is>
          <t>Titrimetric Analysis</t>
        </is>
      </c>
      <c r="M80" s="35" t="inlineStr">
        <is>
          <t>Product</t>
        </is>
      </c>
      <c r="N80" s="34" t="inlineStr">
        <is>
          <t>ข้อสอบจริง Product ปี 2561 ข้อ 106</t>
        </is>
      </c>
      <c r="O80" s="35" t="inlineStr">
        <is>
          <t>ข้อสอบจริง</t>
        </is>
      </c>
      <c r="P80" s="35" t="inlineStr">
        <is>
          <t>ปี 2561</t>
        </is>
      </c>
    </row>
    <row r="81" ht="409.6" customHeight="1" s="49">
      <c r="A81" s="35" t="n">
        <v>79</v>
      </c>
      <c r="B81" s="34" t="inlineStr">
        <is>
          <t>Titration ของ aspirin คือแบบไหน</t>
        </is>
      </c>
      <c r="C81" s="35" t="n"/>
      <c r="D81" s="34" t="inlineStr">
        <is>
          <t>Acid-base titration</t>
        </is>
      </c>
      <c r="E81" s="34" t="inlineStr">
        <is>
          <t>Precipitation titration</t>
        </is>
      </c>
      <c r="F81" s="34" t="inlineStr">
        <is>
          <t>Back titration</t>
        </is>
      </c>
      <c r="G81" s="34" t="n"/>
      <c r="H81" s="34" t="n"/>
      <c r="I81" s="35" t="n">
        <v>1</v>
      </c>
      <c r="J81" s="34" t="inlineStr">
        <is>
          <t>✅ คำตอบที่ถูกต้อง: ข้อ ก. Acid-base titration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1" s="35" t="n"/>
      <c r="L81" s="34" t="inlineStr">
        <is>
          <t>Titrimetric Analysis</t>
        </is>
      </c>
      <c r="M81" s="35" t="inlineStr">
        <is>
          <t>Product</t>
        </is>
      </c>
      <c r="N81" s="34" t="inlineStr">
        <is>
          <t>ข้อสอบจริง Product ปี 2559 ข้อ 18</t>
        </is>
      </c>
      <c r="O81" s="35" t="inlineStr">
        <is>
          <t>ข้อสอบจริง</t>
        </is>
      </c>
      <c r="P81" s="35" t="inlineStr">
        <is>
          <t>ปี 2559</t>
        </is>
      </c>
    </row>
    <row r="82" ht="409.6" customHeight="1" s="49">
      <c r="A82" s="35" t="n">
        <v>80</v>
      </c>
      <c r="B82" s="34" t="inlineStr">
        <is>
          <t>จากการวิเคราะห์หาปริมาณยา aspirin ดัง monograph จัดเป็นการ titration แบบใด</t>
        </is>
      </c>
      <c r="C82" s="35" t="n"/>
      <c r="D82" s="34" t="inlineStr">
        <is>
          <t>Direct titration</t>
        </is>
      </c>
      <c r="E82" s="34" t="inlineStr">
        <is>
          <t>Indirect titration</t>
        </is>
      </c>
      <c r="F82" s="34" t="inlineStr">
        <is>
          <t>Residual titration</t>
        </is>
      </c>
      <c r="G82" s="34" t="inlineStr">
        <is>
          <t>Precipitation titration</t>
        </is>
      </c>
      <c r="H82" s="34" t="inlineStr">
        <is>
          <t>Complexometrix titration</t>
        </is>
      </c>
      <c r="I82" s="35" t="n">
        <v>1</v>
      </c>
      <c r="J82" s="34" t="inlineStr">
        <is>
          <t>✅ คำตอบที่ถูกต้อง: ข้อ ก. Direct titration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Titrimetric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Titrimetric Analysis</t>
        </is>
      </c>
      <c r="K82" s="35" t="n"/>
      <c r="L82" s="34" t="inlineStr">
        <is>
          <t>Titrimetric Analysis</t>
        </is>
      </c>
      <c r="M82" s="35" t="inlineStr">
        <is>
          <t>Product</t>
        </is>
      </c>
      <c r="N82" s="34" t="inlineStr">
        <is>
          <t>ข้อสอบจริง Product ปี 2559 ข้อ 16</t>
        </is>
      </c>
      <c r="O82" s="35" t="inlineStr">
        <is>
          <t>ข้อสอบจริง</t>
        </is>
      </c>
      <c r="P82" s="35" t="inlineStr">
        <is>
          <t>ปี 2559</t>
        </is>
      </c>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7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64.8" customHeight="1" s="49">
      <c r="A2" s="17" t="inlineStr">
        <is>
          <t>ข้อที่</t>
        </is>
      </c>
      <c r="B2" s="18"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6" t="inlineStr">
        <is>
          <t>ประเภทข้อสอบ</t>
        </is>
      </c>
      <c r="P2" s="16" t="inlineStr">
        <is>
          <t>ปี / เลขชุด</t>
        </is>
      </c>
      <c r="Q2" s="16" t="inlineStr">
        <is>
          <t>Case ID (รหัสเคส)</t>
        </is>
      </c>
    </row>
    <row r="3" ht="409.6" customHeight="1" s="49">
      <c r="A3" s="19" t="inlineStr">
        <is>
          <t>2</t>
        </is>
      </c>
      <c r="B3" s="20"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 t="n"/>
      <c r="D3" s="16" t="inlineStr">
        <is>
          <t>Atomic Absorption Spectroscopy (AAS; สเปกโทรสโกปีการดูดกลืนแสงของอะตอม)</t>
        </is>
      </c>
      <c r="E3" s="16" t="inlineStr">
        <is>
          <t>High-Performance Liquid Chromatography ควบคู่กับ UV detector (HPLC-UV)</t>
        </is>
      </c>
      <c r="F3" s="16" t="inlineStr">
        <is>
          <t>Liquid Chromatography-Mass Spectrometry (LC-MS)</t>
        </is>
      </c>
      <c r="G3" s="16" t="inlineStr">
        <is>
          <t>Fourier Transform Infrared Spectroscopy (FT-IR)</t>
        </is>
      </c>
      <c r="H3" s="16" t="inlineStr">
        <is>
          <t>UV-Vis Spectrophotometry</t>
        </is>
      </c>
      <c r="I3" s="19" t="inlineStr">
        <is>
          <t>1</t>
        </is>
      </c>
      <c r="J3" s="1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 t="inlineStr">
        <is>
          <t>Analytical Method Development &amp; QC</t>
        </is>
      </c>
      <c r="L3" s="16" t="inlineStr">
        <is>
          <t>ข้อสอบ Product (Febuxostat Analysis)</t>
        </is>
      </c>
      <c r="M3" s="16" t="inlineStr">
        <is>
          <t>Chromatography</t>
        </is>
      </c>
      <c r="N3" s="16" t="inlineStr">
        <is>
          <t>Mock PLE-CC 1 ข้อ 10</t>
        </is>
      </c>
      <c r="O3" s="16" t="inlineStr">
        <is>
          <t>Mock</t>
        </is>
      </c>
      <c r="P3" s="16" t="inlineStr">
        <is>
          <t>Mock RxCU83</t>
        </is>
      </c>
      <c r="Q3" s="16" t="n"/>
    </row>
    <row r="4" ht="409.6" customHeight="1" s="49">
      <c r="A4" s="19" t="inlineStr">
        <is>
          <t>3</t>
        </is>
      </c>
      <c r="B4" s="20"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และได้รับความน่าเชื่อถือตามมาตรฐานสากลสูงสุด</t>
        </is>
      </c>
      <c r="C4" s="16" t="n"/>
      <c r="D4" s="16" t="inlineStr">
        <is>
          <t>Inductively Coupled Plasma Optical Emission Spectrometry (ICP-OES) หรือ AAS</t>
        </is>
      </c>
      <c r="E4" s="16" t="inlineStr">
        <is>
          <t>UV-Vis Spectrophotometry</t>
        </is>
      </c>
      <c r="F4" s="16" t="inlineStr">
        <is>
          <t>Fourier Transform Infrared Spectroscopy (FTIR)</t>
        </is>
      </c>
      <c r="G4" s="16" t="inlineStr">
        <is>
          <t>Thin Layer Chromatography (TLC)</t>
        </is>
      </c>
      <c r="H4" s="16" t="inlineStr">
        <is>
          <t>High-Performance Liquid Chromatography with UV detector (HPLC-UV)</t>
        </is>
      </c>
      <c r="I4" s="19" t="inlineStr">
        <is>
          <t>1</t>
        </is>
      </c>
      <c r="J4" s="1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วิธีมาตรฐานสากลตาม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 t="inlineStr">
        <is>
          <t>Food &amp; Elemental Analysis</t>
        </is>
      </c>
      <c r="L4" s="16" t="inlineStr">
        <is>
          <t>ข้อสอบ Product (Sodium Analysis in Foods)</t>
        </is>
      </c>
      <c r="M4" s="16" t="inlineStr">
        <is>
          <t>Chromatography</t>
        </is>
      </c>
      <c r="N4" s="16" t="inlineStr">
        <is>
          <t>Mock PLE-CC 1 ข้อ 21</t>
        </is>
      </c>
      <c r="O4" s="16" t="inlineStr">
        <is>
          <t>Mock</t>
        </is>
      </c>
      <c r="P4" s="16" t="inlineStr">
        <is>
          <t>Mock RxCU83</t>
        </is>
      </c>
      <c r="Q4" s="16" t="n"/>
    </row>
    <row r="5" ht="409.6" customHeight="1" s="49">
      <c r="A5" s="19" t="inlineStr">
        <is>
          <t>4</t>
        </is>
      </c>
      <c r="B5" s="20"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 t="n"/>
      <c r="D5" s="16" t="inlineStr">
        <is>
          <t>การเพาะเลี้ยงเซลล์ภายในถังหมักชีวภาพ (Cell culture and fermentation in bioreactor) เพื่อผลิตโปรตีนเป้าหมาย</t>
        </is>
      </c>
      <c r="E5" s="16" t="inlineStr">
        <is>
          <t>การทำให้โปรตีนบริสุทธิ์ด้วยคอลัมน์โครมาโทกราฟี (Affinity chromatography purification เช่น Protein A chromatography)</t>
        </is>
      </c>
      <c r="F5" s="16" t="inlineStr">
        <is>
          <t>การกรองกำจัดไวรัสและการกรองแบบละเอียดระดับนาโน (Viral filtration &amp; Ultrafiltration/Diafiltration)</t>
        </is>
      </c>
      <c r="G5" s="16" t="inlineStr">
        <is>
          <t>การเตรียมสูตรตำรับและการผสมสารช่วย (Formulation development &amp; Sterile filtration)</t>
        </is>
      </c>
      <c r="H5" s="16" t="inlineStr">
        <is>
          <t>การบรรจุยาลงในภาชนะบรรจุสุดท้ายแบบปราศจากเชื้อ (Aseptic fill and finish)</t>
        </is>
      </c>
      <c r="I5" s="19" t="inlineStr">
        <is>
          <t>1</t>
        </is>
      </c>
      <c r="J5" s="1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 t="inlineStr">
        <is>
          <t>Biotechnology &amp; Upstream Process</t>
        </is>
      </c>
      <c r="L5" s="16" t="inlineStr">
        <is>
          <t>ข้อสอบ Product (Biologics Upstream vs Downstream)</t>
        </is>
      </c>
      <c r="M5" s="16" t="inlineStr">
        <is>
          <t>Chromatography</t>
        </is>
      </c>
      <c r="N5" s="16" t="inlineStr">
        <is>
          <t>Mock PLE-CC 1 ข้อ 78</t>
        </is>
      </c>
      <c r="O5" s="16" t="inlineStr">
        <is>
          <t>Mock</t>
        </is>
      </c>
      <c r="P5" s="16" t="inlineStr">
        <is>
          <t>Mock RxCU83</t>
        </is>
      </c>
      <c r="Q5" s="16" t="n"/>
    </row>
    <row r="6" ht="409.6" customHeight="1" s="49">
      <c r="A6" s="19" t="inlineStr">
        <is>
          <t>5</t>
        </is>
      </c>
      <c r="B6" s="20"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 t="n"/>
      <c r="D6" s="16" t="inlineStr">
        <is>
          <t>Inductively Coupled Plasma Spectroscopy (ICP-OES / ICP-MS)</t>
        </is>
      </c>
      <c r="E6" s="16" t="inlineStr">
        <is>
          <t>Fourier Transform Infrared Spectroscopy (FTIR) เทียบกับสารมาตรฐาน</t>
        </is>
      </c>
      <c r="F6" s="16" t="inlineStr">
        <is>
          <t>High-Performance Liquid Chromatography (HPLC) โดยเปรียบเทียบ Retention time กับสารมาตรฐาน</t>
        </is>
      </c>
      <c r="G6" s="16" t="inlineStr">
        <is>
          <t>Liquid Chromatography-Mass Spectrometry (LC-MS) ตรวจวัด Molecular ion m/z</t>
        </is>
      </c>
      <c r="H6" s="16" t="inlineStr">
        <is>
          <t>Thin Layer Chromatography (TLC) โดยเปรียบเทียบค่า Rf และสีของจุดสาร</t>
        </is>
      </c>
      <c r="I6" s="19" t="inlineStr">
        <is>
          <t>1</t>
        </is>
      </c>
      <c r="J6" s="1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หลักระดับสากลตาม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 t="inlineStr">
        <is>
          <t>Identification of Organic Drugs</t>
        </is>
      </c>
      <c r="L6" s="16" t="inlineStr">
        <is>
          <t>ข้อสอบ Product (Ethinyl Estradiol ID Tests)</t>
        </is>
      </c>
      <c r="M6" s="16" t="inlineStr">
        <is>
          <t>Chromatography</t>
        </is>
      </c>
      <c r="N6" s="16" t="inlineStr">
        <is>
          <t>Mock PLE-CC 1 ข้อ 92</t>
        </is>
      </c>
      <c r="O6" s="16" t="inlineStr">
        <is>
          <t>Mock</t>
        </is>
      </c>
      <c r="P6" s="16" t="inlineStr">
        <is>
          <t>Mock RxCU83</t>
        </is>
      </c>
      <c r="Q6" s="16" t="n"/>
    </row>
    <row r="7" ht="409.6" customHeight="1" s="49">
      <c r="A7" s="19" t="inlineStr">
        <is>
          <t>6</t>
        </is>
      </c>
      <c r="B7" s="20"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 t="n"/>
      <c r="D7" s="16" t="inlineStr">
        <is>
          <t>Linearity: กำหนดช่วงความเข้มข้นของการทดสอบความเป็นเส้นตรงแคบเกินไปเพียง 95%, 105%, และ 110% ของ Label claim</t>
        </is>
      </c>
      <c r="E7" s="16" t="inlineStr">
        <is>
          <t>Specificity: ประเมินความจำเพาะโดยทำการทดสอบ Forced Degradation Studies (สภาวะกรด, ด่าง, ความร้อน, แสง, ออกซิไดซ์)</t>
        </is>
      </c>
      <c r="F7" s="16" t="inlineStr">
        <is>
          <t>Precision: ประเมินทั้ง Repeatability และ Intermediate precision พร้อมกำหนดเกณฑ์การยอมรับ %RSD ไม่เกิน 2.0%</t>
        </is>
      </c>
      <c r="G7" s="1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 t="inlineStr">
        <is>
          <t>Robustness: ประเมินความคงทนของวิธีโดยการจงใจปรับเปลี่ยนสัดส่วน Mobile phase เล็กน้อย (±2%) และอุณหภูมิคอลัมน์ (±5 °C)</t>
        </is>
      </c>
      <c r="I7" s="19" t="inlineStr">
        <is>
          <t>1</t>
        </is>
      </c>
      <c r="J7" s="1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ตามแนวทางสากล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ไม่เป็นไปตามมาตรฐานสากล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เป็นเกณฑ์สากลที่ยอมรับได้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 t="inlineStr">
        <is>
          <t>Analytical Method Validation (ICH Q2)</t>
        </is>
      </c>
      <c r="L7" s="16" t="inlineStr">
        <is>
          <t>ข้อสอบ Product (HPLC Validation Linearity Protocol)</t>
        </is>
      </c>
      <c r="M7" s="16" t="inlineStr">
        <is>
          <t>Chromatography</t>
        </is>
      </c>
      <c r="N7" s="16" t="inlineStr">
        <is>
          <t>Mock PLE-CC 1 ข้อ 116</t>
        </is>
      </c>
      <c r="O7" s="16" t="inlineStr">
        <is>
          <t>Mock</t>
        </is>
      </c>
      <c r="P7" s="16" t="inlineStr">
        <is>
          <t>Mock RxCU83</t>
        </is>
      </c>
      <c r="Q7" s="16" t="n"/>
    </row>
    <row r="8" ht="409.6" customHeight="1" s="49">
      <c r="A8" s="19" t="inlineStr">
        <is>
          <t>7</t>
        </is>
      </c>
      <c r="B8" s="20"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 t="n"/>
      <c r="D8" s="1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 t="inlineStr">
        <is>
          <t>Retention time เพิ่มขึ้น เนื่องจาก Organic phase เพิ่มขึ้น ทำให้สารเกิดอันตรกิริยากับ Stationary phase แน่นหนาขึ้น</t>
        </is>
      </c>
      <c r="F8" s="16" t="inlineStr">
        <is>
          <t>Retention time ไม่เปลี่ยนแปลง เนื่องจากสัดส่วนของสารละลายบัฟเฟอร์ไม่มีผลต่อการชะของยาในระบบ Reversed-phase</t>
        </is>
      </c>
      <c r="G8" s="16" t="inlineStr">
        <is>
          <t>Retention time เพิ่มขึ้น เนื่องจากยา Amitriptyline แตกตัวเป็นอิสระ (Unionized) มากขึ้น</t>
        </is>
      </c>
      <c r="H8" s="16" t="inlineStr">
        <is>
          <t>ไม่สามารถทำนายผลได้ เนื่องจากขึ้นอยู่กับอัตราการไหล (Flow rate) เพียงอย่างเดียว</t>
        </is>
      </c>
      <c r="I8" s="19" t="inlineStr">
        <is>
          <t>1</t>
        </is>
      </c>
      <c r="J8" s="1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 t="inlineStr">
        <is>
          <t>Reversed-Phase HPLC</t>
        </is>
      </c>
      <c r="L8" s="16" t="inlineStr">
        <is>
          <t>ข้อสอบ Product (RP-HPLC Mobile Phase Elution Strength)</t>
        </is>
      </c>
      <c r="M8" s="16" t="inlineStr">
        <is>
          <t>Chromatography</t>
        </is>
      </c>
      <c r="N8" s="16" t="inlineStr">
        <is>
          <t>Mock PLE-CC 1 ข้อ 117</t>
        </is>
      </c>
      <c r="O8" s="16" t="inlineStr">
        <is>
          <t>Mock</t>
        </is>
      </c>
      <c r="P8" s="16" t="inlineStr">
        <is>
          <t>Mock RxCU83</t>
        </is>
      </c>
      <c r="Q8" s="16" t="n"/>
    </row>
    <row r="9" ht="409.6" customHeight="1" s="49">
      <c r="A9" s="19" t="inlineStr">
        <is>
          <t>8</t>
        </is>
      </c>
      <c r="B9" s="20"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 t="n"/>
      <c r="D9" s="16" t="inlineStr">
        <is>
          <t>ไม่ผ่านเกณฑ์มาตรฐาน เนื่องจาก Guanine คิดเป็น 2.5% (เกินเกณฑ์ 2.0%) และสิ่งเจือปนอื่นคิดเป็น 1.0% (เกินเกณฑ์ 0.5%)</t>
        </is>
      </c>
      <c r="E9" s="16" t="inlineStr">
        <is>
          <t>ผ่านเกณฑ์มาตรฐาน เนื่องจาก Guanine และสิ่งเจือปนอื่นมีปริมาณรวมกันน้อยกว่า 5.0%</t>
        </is>
      </c>
      <c r="F9" s="16" t="inlineStr">
        <is>
          <t>ผ่านเกณฑ์มาตรฐาน เนื่องจาก Acyclovir มีความบริสุทธิ์สูงถึง 96.5%</t>
        </is>
      </c>
      <c r="G9" s="16" t="inlineStr">
        <is>
          <t>ไม่ผ่านเกณฑ์มาตรฐาน เนื่องจาก Guanine เกินเกณฑ์เพียงตัวเดียว แต่สิ่งเจือปนอื่นผ่านเกณฑ์</t>
        </is>
      </c>
      <c r="H9" s="16" t="inlineStr">
        <is>
          <t>ไม่สามารถสรุปผลได้เนื่องจากต้องทราบความกว้างของพีค (Peak width) ก่อน</t>
        </is>
      </c>
      <c r="I9" s="19" t="inlineStr">
        <is>
          <t>1</t>
        </is>
      </c>
      <c r="J9" s="1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 t="inlineStr">
        <is>
          <t>Chromatographic Purity &amp; Related Substances</t>
        </is>
      </c>
      <c r="L9" s="16" t="inlineStr">
        <is>
          <t>ข้อสอบจริง PLE CC 1 (Acyclovir Guanine Impurity)</t>
        </is>
      </c>
      <c r="M9" s="16" t="inlineStr">
        <is>
          <t>Chromatography</t>
        </is>
      </c>
      <c r="N9" s="16" t="inlineStr">
        <is>
          <t>Mock PLE-CC 1 ข้อ 127</t>
        </is>
      </c>
      <c r="O9" s="16" t="inlineStr">
        <is>
          <t>Mock</t>
        </is>
      </c>
      <c r="P9" s="16" t="inlineStr">
        <is>
          <t>Mock RxCU83</t>
        </is>
      </c>
      <c r="Q9" s="16" t="n"/>
    </row>
    <row r="10" ht="409.6" customHeight="1" s="49">
      <c r="A10" s="19" t="inlineStr">
        <is>
          <t>9</t>
        </is>
      </c>
      <c r="B10" s="20"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t>
        </is>
      </c>
      <c r="C10" s="16" t="n"/>
      <c r="D10" s="16" t="inlineStr">
        <is>
          <t>Chromatography</t>
        </is>
      </c>
      <c r="E10" s="16" t="inlineStr">
        <is>
          <t>alpha-1 receptor</t>
        </is>
      </c>
      <c r="F10" s="16" t="inlineStr">
        <is>
          <t>5-HT2A</t>
        </is>
      </c>
      <c r="G10" s="16" t="inlineStr">
        <is>
          <t>M1 receptor</t>
        </is>
      </c>
      <c r="H10" s="16" t="inlineStr">
        <is>
          <t>H1 receptor</t>
        </is>
      </c>
      <c r="I10" s="19" t="inlineStr">
        <is>
          <t>1</t>
        </is>
      </c>
      <c r="J10" s="16" t="inlineStr">
        <is>
          <t>✅ คำตอบที่ถูกต้อง: ข้อ ง. Reversed-phase HPLC โดยใช้ C18 column และตรวจวัดด้วย UV detector
💡 Background: การตรวจวิเคราะห์หาปริมาณ Trazodone hydrochloride ในวัตถุดิบและเภสัชภัณฑ์ตามมาตรฐานตำรายา
🎯 ทำไมข้อนี้ถึงถูก: Trazodone เป็นสารโมเลกุลอินทรีย์ที่มีความเป็นขั้วปานกลางและมีโครโมฟอร์ (Chromophore) ดูดกลืนแสง UV ได้ดี ระบบ Reversed-phase HPLC (C18) ร่วมกับ UV detection จึงเป็นวิธีมาตรฐานสากลที่มีความถูกต้อง แม่นยำ และจำเพาะสูง
🔍 ข้ออื่นผิดเพราะอะไร:
- ข้อ ก. Normal-phase chromatography ใช้ซิลิกาเจลบริสุทธิ์: สารที่มีขั้วจะเกาะแน่นเกินไป ให้ retention time นานและสมมาตรของพีคไม่ดี
- ข้อ ข. Gas chromatography (GC) โดยไม่ทำ derivatization: Trazodone เป็นเกลือ hydrochloride มีจุดเดือดสูงและอาจสลายตัวเมื่อโดนความร้อน
- ข้อ ค. Size-exclusion chromatography (SEC): ใช้สำหรับแยกโมเลกุลขนาดใหญ่ เช่น โปรตีน หรือ พอลิเมอร์ ไม่เหมาะกับโมเลกุลขนาดเล็ก
- ข้อ จ. Ion-exchange chromatography ชนิด anion exchange: ตัวยา Trazodone เป็นเบสอินทรีย์ (Cation) ไม่สามารถจับกับ Anion exchanger ได้
📖 Guideline อ้างอิง: United States Pharmacopeia (USP-NF) Monograph: Trazodone Hydrochloride Tablets
📌 จุดจำก่อนสอบ: Small molecule drugs นิยมใช้ Reversed-phase C18 HPLC กับ UV detection เป็นวิธีหลักตามเภสัชตำรับ</t>
        </is>
      </c>
      <c r="K10" s="16" t="n"/>
      <c r="L10" s="16" t="inlineStr">
        <is>
          <t>HPLC (Liquid Chromatography)</t>
        </is>
      </c>
      <c r="M10" s="16" t="inlineStr">
        <is>
          <t>Chromatography</t>
        </is>
      </c>
      <c r="N10" s="16" t="inlineStr">
        <is>
          <t>PLE_CC1_2567_Key ข้อ 22</t>
        </is>
      </c>
      <c r="O10" s="16" t="inlineStr">
        <is>
          <t>ข้อสอบจริง</t>
        </is>
      </c>
      <c r="P10" s="16" t="inlineStr">
        <is>
          <t>ปี 2567</t>
        </is>
      </c>
      <c r="Q10" s="16" t="inlineStr">
        <is>
          <t>Beta-2 receptor</t>
        </is>
      </c>
    </row>
    <row r="11" ht="409.6" customHeight="1" s="49">
      <c r="A11" s="19" t="inlineStr">
        <is>
          <t>10</t>
        </is>
      </c>
      <c r="B11" s="20"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 t="n"/>
      <c r="D11" s="16" t="inlineStr">
        <is>
          <t>12 นาที</t>
        </is>
      </c>
      <c r="E11" s="16" t="inlineStr">
        <is>
          <t>5 นาที</t>
        </is>
      </c>
      <c r="F11" s="16" t="inlineStr">
        <is>
          <t>8 นาที</t>
        </is>
      </c>
      <c r="G11" s="16" t="inlineStr">
        <is>
          <t>10 นาที</t>
        </is>
      </c>
      <c r="H11" s="16" t="inlineStr">
        <is>
          <t>2.4 นาที</t>
        </is>
      </c>
      <c r="I11" s="19" t="inlineStr">
        <is>
          <t>1</t>
        </is>
      </c>
      <c r="J11" s="1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 t="inlineStr">
        <is>
          <t>HPLC Method Parameters</t>
        </is>
      </c>
      <c r="L11" s="16" t="inlineStr">
        <is>
          <t>ข้อสอบจริง PLE CC 1 ปี 2567 ข้อ 5</t>
        </is>
      </c>
      <c r="M11" s="16" t="inlineStr">
        <is>
          <t>Chromatography</t>
        </is>
      </c>
      <c r="N11" s="16" t="inlineStr">
        <is>
          <t>PLE_CC1_2567_Key ข้อ 23</t>
        </is>
      </c>
      <c r="O11" s="16" t="inlineStr">
        <is>
          <t>ข้อสอบจริง</t>
        </is>
      </c>
      <c r="P11" s="16" t="inlineStr">
        <is>
          <t>ปี 2567</t>
        </is>
      </c>
      <c r="Q11" s="16" t="n"/>
    </row>
    <row r="12" ht="409.6" customHeight="1" s="49">
      <c r="A12" s="19" t="inlineStr">
        <is>
          <t>11</t>
        </is>
      </c>
      <c r="B12" s="20"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6" t="n"/>
      <c r="D12" s="16" t="inlineStr">
        <is>
          <t>ผ่านเกณฑ์ยอมรับ เนื่องจากคำนวณได้ N = 8,864 (ซึ่ง &gt; 8,000)</t>
        </is>
      </c>
      <c r="E12" s="16" t="inlineStr">
        <is>
          <t>ไม่ผ่านเกณฑ์ยอมรับ เนื่องจากคำนวณได้ N = 4,432 (ซึ่ง &lt; 8,000)</t>
        </is>
      </c>
      <c r="F12" s="16" t="inlineStr">
        <is>
          <t>ผ่านเกณฑ์ยอมรับ เนื่องจากคำนวณได้ N = 11,080 (ซึ่ง &gt; 8,000)</t>
        </is>
      </c>
      <c r="G12" s="16" t="inlineStr">
        <is>
          <t>ไม่ผ่านเกณฑ์ยอมรับ เนื่องจากคำนวณได้ N = 2,216 (ซึ่ง &lt; 8,000)</t>
        </is>
      </c>
      <c r="H12" s="16" t="inlineStr">
        <is>
          <t>ไม่สามารถสรุปได้เนื่องจากต้องทราบค่า Peak tailing factor (T) ก่อน</t>
        </is>
      </c>
      <c r="I12" s="19" t="inlineStr">
        <is>
          <t>1</t>
        </is>
      </c>
      <c r="J12" s="16"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6" t="inlineStr">
        <is>
          <t>System Suitability (Theoretical Plates)</t>
        </is>
      </c>
      <c r="L12" s="16" t="inlineStr">
        <is>
          <t>ข้อสอบ Product (Column Efficiency N Calculation)</t>
        </is>
      </c>
      <c r="M12" s="16" t="inlineStr">
        <is>
          <t>Chromatography</t>
        </is>
      </c>
      <c r="N12" s="16" t="inlineStr">
        <is>
          <t>PLE_CC1_2565_Day1_Key ข้อ 87</t>
        </is>
      </c>
      <c r="O12" s="16" t="inlineStr">
        <is>
          <t>ข้อสอบจริง</t>
        </is>
      </c>
      <c r="P12" s="16" t="inlineStr">
        <is>
          <t>ปี 2565</t>
        </is>
      </c>
      <c r="Q12" s="16" t="n"/>
    </row>
    <row r="13" ht="409.6" customHeight="1" s="49">
      <c r="A13" s="19" t="inlineStr">
        <is>
          <t>12</t>
        </is>
      </c>
      <c r="B13" s="20"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6" t="n"/>
      <c r="D13" s="16" t="inlineStr">
        <is>
          <t>สาร C &lt; สาร B &lt; สาร A (สาร C มีค่า Rf ต่ำที่สุด และ สาร A มีค่า Rf สูงที่สุด)</t>
        </is>
      </c>
      <c r="E13" s="16" t="inlineStr">
        <is>
          <t>สาร A &lt; สาร B &lt; สาร C</t>
        </is>
      </c>
      <c r="F13" s="16" t="inlineStr">
        <is>
          <t>สาร B &lt; สาร C &lt; สาร A</t>
        </is>
      </c>
      <c r="G13" s="16" t="inlineStr">
        <is>
          <t>สาร A &lt; สาร C &lt; สาร B</t>
        </is>
      </c>
      <c r="H13" s="16" t="inlineStr">
        <is>
          <t>สารทั้งสามมีค่า Rf เท่ากันเนื่องจากมีโครงสร้างหลักเป็น Metronidazole เหมือนกัน</t>
        </is>
      </c>
      <c r="I13" s="19" t="inlineStr">
        <is>
          <t>1</t>
        </is>
      </c>
      <c r="J13" s="16"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6" t="inlineStr">
        <is>
          <t>Thin Layer Chromatography (TLC)</t>
        </is>
      </c>
      <c r="L13" s="16" t="inlineStr">
        <is>
          <t>ข้อสอบจริง PLE CC 1 ปี 2559 (TLC Polarity &amp; Rf)</t>
        </is>
      </c>
      <c r="M13" s="16" t="inlineStr">
        <is>
          <t>Chromatography</t>
        </is>
      </c>
      <c r="N13" s="16" t="inlineStr">
        <is>
          <t>PLE_CC1_2565_Day2_Key ข้อ 65</t>
        </is>
      </c>
      <c r="O13" s="16" t="inlineStr">
        <is>
          <t>ข้อสอบจริง</t>
        </is>
      </c>
      <c r="P13" s="16" t="inlineStr">
        <is>
          <t>ปี 2565</t>
        </is>
      </c>
      <c r="Q13" s="16" t="n"/>
    </row>
    <row r="14" ht="409.6" customHeight="1" s="49">
      <c r="A14" s="19" t="inlineStr">
        <is>
          <t>13</t>
        </is>
      </c>
      <c r="B14" s="20" t="inlineStr">
        <is>
          <t>ตามเภสัชตำรับ USP &lt;621&gt; Chromatography กำหนดให้ใช้คอลัมน์ชนิด Packing L1 ข้อใดต่อไปนี้กล่าวไม่ถูกต้อง</t>
        </is>
      </c>
      <c r="C14" s="16" t="n"/>
      <c r="D14" s="16" t="inlineStr">
        <is>
          <t>จัดเป็นการแยกในระบบ Normal-Phase Chromatography</t>
        </is>
      </c>
      <c r="E14" s="16" t="inlineStr">
        <is>
          <t>เฟสคงที่ (Stationary phase) คือ Octadecyl silane (C18) บน silica support</t>
        </is>
      </c>
      <c r="F14" s="16" t="inlineStr">
        <is>
          <t>สารที่มีขั้วสูงกว่าจะถูกชะออกจากคอลัมน์ออกมาก่อนสารไม่มีขั้ว</t>
        </is>
      </c>
      <c r="G14" s="16" t="inlineStr">
        <is>
          <t>การเพิ่มสัดส่วนตัวทำละลายอินทรีย์ในเฟสเคลื่อนที่จะลดเวลา Retention time ลง</t>
        </is>
      </c>
      <c r="H14" s="16" t="inlineStr">
        <is>
          <t>เป็นระบบโครมาโทกราฟีของเหลวสมรรถนะสูงชนิด Reversed-Phase</t>
        </is>
      </c>
      <c r="I14" s="19" t="inlineStr">
        <is>
          <t>1</t>
        </is>
      </c>
      <c r="J14" s="1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6" t="n"/>
      <c r="L14" s="16" t="inlineStr">
        <is>
          <t>HPLC Column Specifications</t>
        </is>
      </c>
      <c r="M14" s="16" t="inlineStr">
        <is>
          <t>Product</t>
        </is>
      </c>
      <c r="N14" s="16" t="inlineStr">
        <is>
          <t>ข้อสอบเก่า 2561 ข้อ 107</t>
        </is>
      </c>
      <c r="O14" s="16" t="inlineStr">
        <is>
          <t>ข้อสอบเก่า</t>
        </is>
      </c>
      <c r="P14" s="19" t="inlineStr">
        <is>
          <t>2561</t>
        </is>
      </c>
      <c r="Q14" s="16" t="n"/>
    </row>
    <row r="15" ht="409.6" customHeight="1" s="49">
      <c r="A15" s="19" t="inlineStr">
        <is>
          <t>14</t>
        </is>
      </c>
      <c r="B15" s="20"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6" t="n"/>
      <c r="D15" s="16" t="inlineStr">
        <is>
          <t>High Performance Liquid Chromatography (HPLC)</t>
        </is>
      </c>
      <c r="E15" s="16" t="inlineStr">
        <is>
          <t>Gas Chromatography (GC)</t>
        </is>
      </c>
      <c r="F15" s="16" t="inlineStr">
        <is>
          <t>Thin Layer Chromatography (TLC)</t>
        </is>
      </c>
      <c r="G15" s="16" t="inlineStr">
        <is>
          <t>Mass Spectrometry (MS)</t>
        </is>
      </c>
      <c r="H15" s="16" t="inlineStr">
        <is>
          <t>Direct UV-Visible Spectrophotometry</t>
        </is>
      </c>
      <c r="I15" s="19" t="inlineStr">
        <is>
          <t>1</t>
        </is>
      </c>
      <c r="J15" s="1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วิธีมาตรฐานสากลคือ RP-HPLC (C18, UV detector)</t>
        </is>
      </c>
      <c r="K15" s="16" t="n"/>
      <c r="L15" s="16" t="inlineStr">
        <is>
          <t>Monograph Assay &amp; HPLC</t>
        </is>
      </c>
      <c r="M15" s="16" t="inlineStr">
        <is>
          <t>Product</t>
        </is>
      </c>
      <c r="N15" s="16" t="inlineStr">
        <is>
          <t>ข้อสอบเก่า / เภสัชตำรับ USP</t>
        </is>
      </c>
      <c r="O15" s="16" t="inlineStr">
        <is>
          <t>ข้อสอบเก่า</t>
        </is>
      </c>
      <c r="P15" s="16" t="inlineStr">
        <is>
          <t>USP</t>
        </is>
      </c>
      <c r="Q15" s="16" t="n"/>
    </row>
    <row r="16" ht="409.6" customHeight="1" s="49">
      <c r="A16" s="16" t="n">
        <v>14</v>
      </c>
      <c r="B16" s="20"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6" t="n"/>
      <c r="D16" s="19" t="inlineStr">
        <is>
          <t>9.6</t>
        </is>
      </c>
      <c r="E16" s="19" t="inlineStr">
        <is>
          <t>4.8</t>
        </is>
      </c>
      <c r="F16" s="19" t="inlineStr">
        <is>
          <t>2.4</t>
        </is>
      </c>
      <c r="G16" s="19" t="inlineStr">
        <is>
          <t>0.625</t>
        </is>
      </c>
      <c r="H16" s="19" t="inlineStr">
        <is>
          <t>1.5</t>
        </is>
      </c>
      <c r="I16" s="19" t="inlineStr">
        <is>
          <t>1</t>
        </is>
      </c>
      <c r="J16" s="1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6" t="inlineStr">
        <is>
          <t>System Suitability (Resolution)</t>
        </is>
      </c>
      <c r="L16" s="16" t="inlineStr">
        <is>
          <t>ข้อสอบ Product (HPLC Resolution Calculation)</t>
        </is>
      </c>
      <c r="M16" s="16" t="inlineStr">
        <is>
          <t>Product</t>
        </is>
      </c>
      <c r="N16" s="16" t="inlineStr">
        <is>
          <t>ข้อ 125 (PLE_CC1_2561_Key.md)</t>
        </is>
      </c>
      <c r="O16" s="16" t="inlineStr">
        <is>
          <t>ข้อสอบจริง</t>
        </is>
      </c>
      <c r="P16" s="16" t="inlineStr">
        <is>
          <t>ปี 2561</t>
        </is>
      </c>
      <c r="Q16" s="16" t="n"/>
    </row>
    <row r="17" ht="409.6" customHeight="1" s="49">
      <c r="A17" s="19" t="inlineStr">
        <is>
          <t>16</t>
        </is>
      </c>
      <c r="B17" s="20"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6" t="n"/>
      <c r="D17" s="16" t="inlineStr">
        <is>
          <t>1 peak</t>
        </is>
      </c>
      <c r="E17" s="16" t="inlineStr">
        <is>
          <t>2 peaks</t>
        </is>
      </c>
      <c r="F17" s="16" t="inlineStr">
        <is>
          <t>3 peaks</t>
        </is>
      </c>
      <c r="G17" s="16" t="inlineStr">
        <is>
          <t>5 peaks</t>
        </is>
      </c>
      <c r="H17" s="16" t="inlineStr">
        <is>
          <t>7 peaks</t>
        </is>
      </c>
      <c r="I17" s="19" t="inlineStr">
        <is>
          <t>3</t>
        </is>
      </c>
      <c r="J17" s="1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6" t="n"/>
      <c r="L17" s="16" t="inlineStr">
        <is>
          <t>HPLC Detectors &amp; Chromophores</t>
        </is>
      </c>
      <c r="M17" s="16" t="inlineStr">
        <is>
          <t>Product</t>
        </is>
      </c>
      <c r="N17" s="16" t="inlineStr">
        <is>
          <t>ข้อสอบเก่า 2560 ข้อ 6 / RxCU73</t>
        </is>
      </c>
      <c r="O17" s="16" t="inlineStr">
        <is>
          <t>ข้อสอบเก่า</t>
        </is>
      </c>
      <c r="P17" s="19" t="inlineStr">
        <is>
          <t>2560</t>
        </is>
      </c>
      <c r="Q17" s="16" t="n"/>
    </row>
    <row r="18" ht="409.6" customHeight="1" s="49">
      <c r="A18" s="16" t="n">
        <v>16</v>
      </c>
      <c r="B18" s="20"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6" t="n"/>
      <c r="D18" s="22" t="n">
        <v>1</v>
      </c>
      <c r="E18" s="22" t="n">
        <v>0.68</v>
      </c>
      <c r="F18" s="22" t="n">
        <v>1.46</v>
      </c>
      <c r="G18" s="22" t="n">
        <v>0.84</v>
      </c>
      <c r="H18" s="22" t="n">
        <v>0.72</v>
      </c>
      <c r="I18" s="16" t="n">
        <v>1</v>
      </c>
      <c r="J18" s="1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 t="n"/>
      <c r="L18" s="16" t="inlineStr">
        <is>
          <t>HPLC (Liquid Chromatography)</t>
        </is>
      </c>
      <c r="M18" s="16" t="inlineStr">
        <is>
          <t>Product</t>
        </is>
      </c>
      <c r="N18" s="16" t="inlineStr">
        <is>
          <t>ข้อ 7 (PLE_CC1_2560 22 April Set 1.md)</t>
        </is>
      </c>
      <c r="O18" s="16" t="inlineStr">
        <is>
          <t>ข้อสอบจริง</t>
        </is>
      </c>
      <c r="P18" s="16" t="inlineStr">
        <is>
          <t>ปี 2560</t>
        </is>
      </c>
      <c r="Q18" s="16" t="n"/>
    </row>
    <row r="19" ht="409.6" customHeight="1" s="49">
      <c r="A19" s="19" t="inlineStr">
        <is>
          <t>18</t>
        </is>
      </c>
      <c r="B19" s="20"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6" t="n"/>
      <c r="D19" s="16" t="inlineStr">
        <is>
          <t>Polarimeter</t>
        </is>
      </c>
      <c r="E19" s="16" t="inlineStr">
        <is>
          <t>Nuclear Magnetic Resonance (NMR) ธรรมดา</t>
        </is>
      </c>
      <c r="F19" s="16" t="inlineStr">
        <is>
          <t>Reversed-Phase HPLC ทั่วไป (Achiral column)</t>
        </is>
      </c>
      <c r="G19" s="16" t="inlineStr">
        <is>
          <t>Thin Layer Chromatography (TLC)</t>
        </is>
      </c>
      <c r="H19" s="16" t="inlineStr">
        <is>
          <t>Mass Spectrometry (MS)</t>
        </is>
      </c>
      <c r="I19" s="19" t="inlineStr">
        <is>
          <t>1</t>
        </is>
      </c>
      <c r="J19" s="1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6" t="n"/>
      <c r="L19" s="16" t="inlineStr">
        <is>
          <t>Optical Activity &amp; Chiral Separation</t>
        </is>
      </c>
      <c r="M19" s="16" t="inlineStr">
        <is>
          <t>Product</t>
        </is>
      </c>
      <c r="N19" s="16" t="inlineStr">
        <is>
          <t>ข้อสอบเก่า / เภสัชวิเคราะห์</t>
        </is>
      </c>
      <c r="O19" s="16" t="inlineStr">
        <is>
          <t>ข้อสอบเก่า</t>
        </is>
      </c>
      <c r="P19" s="16" t="inlineStr">
        <is>
          <t>RxCU</t>
        </is>
      </c>
      <c r="Q19" s="16" t="n"/>
    </row>
    <row r="20" ht="409.6" customHeight="1" s="49">
      <c r="A20" s="19" t="inlineStr">
        <is>
          <t>19</t>
        </is>
      </c>
      <c r="B20" s="20"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6" t="n"/>
      <c r="D20" s="16" t="inlineStr">
        <is>
          <t>สารตัวอย่างยา A มีปริมาณความเข้มข้นเท่ากับสารมาตรฐาน</t>
        </is>
      </c>
      <c r="E20" s="16" t="inlineStr">
        <is>
          <t>สารตัวอย่างยา A เป็นสารคนละชนิดกับสารมาตรฐาน</t>
        </is>
      </c>
      <c r="F20" s="16" t="inlineStr">
        <is>
          <t>สารตัวอย่างยา A เป็นสารสลายตัว (By-product) ของสารมาตรฐาน</t>
        </is>
      </c>
      <c r="G20" s="16" t="inlineStr">
        <is>
          <t>สารตัวอย่างยา A และสารมาตรฐานใช้เวลาอยู่ในคอลัมน์เท่ากัน</t>
        </is>
      </c>
      <c r="H20" s="16" t="inlineStr">
        <is>
          <t>สารตัวอย่างยา A มีความชอบพอกับเฟสคงที่ในคอลัมน์มากกว่าสารมาตรฐาน</t>
        </is>
      </c>
      <c r="I20" s="19" t="inlineStr">
        <is>
          <t>4</t>
        </is>
      </c>
      <c r="J20" s="1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6" t="n"/>
      <c r="L20" s="16" t="inlineStr">
        <is>
          <t>Chromatographic Principles &amp; Interpretation</t>
        </is>
      </c>
      <c r="M20" s="16" t="inlineStr">
        <is>
          <t>Product</t>
        </is>
      </c>
      <c r="N20" s="16" t="inlineStr">
        <is>
          <t>ข้อสอบเก่า 2561 ข้อ 31</t>
        </is>
      </c>
      <c r="O20" s="16" t="inlineStr">
        <is>
          <t>ข้อสอบเก่า</t>
        </is>
      </c>
      <c r="P20" s="19" t="inlineStr">
        <is>
          <t>2561</t>
        </is>
      </c>
      <c r="Q20" s="16" t="n"/>
    </row>
    <row r="21" ht="409.6" customHeight="1" s="49">
      <c r="A21" s="16" t="n">
        <v>19</v>
      </c>
      <c r="B21" s="20" t="inlineStr">
        <is>
          <t>จาก spectrum ของ nicotine ที่กำหนดให้ สามารถแสดงถึงข้อมูลใดได้บ้าง</t>
        </is>
      </c>
      <c r="C21" s="16" t="n"/>
      <c r="D21" s="16" t="inlineStr">
        <is>
          <t>Plane polarized light</t>
        </is>
      </c>
      <c r="E21" s="16" t="inlineStr">
        <is>
          <t>Molecular weight</t>
        </is>
      </c>
      <c r="F21" s="16" t="inlineStr">
        <is>
          <t>ชนิดของ functional group</t>
        </is>
      </c>
      <c r="G21" s="16" t="inlineStr">
        <is>
          <t>ตำแหน่งของ functional group</t>
        </is>
      </c>
      <c r="H21" s="16" t="inlineStr">
        <is>
          <t>ไม่มีข้อใดถูก</t>
        </is>
      </c>
      <c r="I21" s="16" t="n">
        <v>1</v>
      </c>
      <c r="J21" s="1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 t="n"/>
      <c r="L21" s="16" t="inlineStr">
        <is>
          <t>HPLC (Liquid Chromatography)</t>
        </is>
      </c>
      <c r="M21" s="16" t="inlineStr">
        <is>
          <t>Product</t>
        </is>
      </c>
      <c r="N21" s="16" t="inlineStr">
        <is>
          <t>ข้อ 88 (Pharmtutor_2024_Set2.md)</t>
        </is>
      </c>
      <c r="O21" s="16" t="inlineStr">
        <is>
          <t>Mock</t>
        </is>
      </c>
      <c r="P21" s="16" t="inlineStr">
        <is>
          <t>Mock Pharmtutor 2024</t>
        </is>
      </c>
      <c r="Q21" s="16" t="n"/>
    </row>
    <row r="22" ht="409.6" customHeight="1" s="49">
      <c r="A22" s="19" t="inlineStr">
        <is>
          <t>21</t>
        </is>
      </c>
      <c r="B22" s="20"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6" t="n"/>
      <c r="D22" s="16" t="inlineStr">
        <is>
          <t>ปรับ pH ของ Mobile phase ให้เป็นด่างจัดที่ pH 11.8</t>
        </is>
      </c>
      <c r="E22" s="16" t="inlineStr">
        <is>
          <t>เติม Triethylamine (TEA) 0.1% หรือปรับ pH สู่กรดอ่อน (pH 2.5-3.0) เพื่อลดอันตรกิริยากับ Silanols</t>
        </is>
      </c>
      <c r="F22" s="16" t="inlineStr">
        <is>
          <t>เปลี่ยนตัวทำละลายทั้งหมดเป็น Acetonitrile บริสุทธิ์</t>
        </is>
      </c>
      <c r="G22" s="16" t="inlineStr">
        <is>
          <t>ลดความยาวของ Analytical column ลงครึ่งหนึ่ง</t>
        </is>
      </c>
      <c r="H22" s="16" t="inlineStr">
        <is>
          <t>เพิ่มอัตราการไหล (Flow rate) ของ Mobile phase เป็นสองเท่า</t>
        </is>
      </c>
      <c r="I22" s="19" t="inlineStr">
        <is>
          <t>2</t>
        </is>
      </c>
      <c r="J22" s="1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6" t="n"/>
      <c r="L22" s="16" t="inlineStr">
        <is>
          <t>HPLC Troubleshooting &amp; Peak Tailing</t>
        </is>
      </c>
      <c r="M22" s="16" t="inlineStr">
        <is>
          <t>Product</t>
        </is>
      </c>
      <c r="N22" s="16" t="inlineStr">
        <is>
          <t>ข้อสอบเก่า 2557 ข้อ 12</t>
        </is>
      </c>
      <c r="O22" s="16" t="inlineStr">
        <is>
          <t>ข้อสอบเก่า</t>
        </is>
      </c>
      <c r="P22" s="19" t="inlineStr">
        <is>
          <t>2557</t>
        </is>
      </c>
      <c r="Q22" s="16" t="n"/>
    </row>
    <row r="23" ht="409.6" customHeight="1" s="49">
      <c r="A23" s="19" t="inlineStr">
        <is>
          <t>22</t>
        </is>
      </c>
      <c r="B23" s="20"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6" t="n"/>
      <c r="D23" s="19" t="inlineStr">
        <is>
          <t>4.8</t>
        </is>
      </c>
      <c r="E23" s="19" t="inlineStr">
        <is>
          <t>7.5</t>
        </is>
      </c>
      <c r="F23" s="19" t="inlineStr">
        <is>
          <t>9.6</t>
        </is>
      </c>
      <c r="G23" s="19" t="inlineStr">
        <is>
          <t>12.0</t>
        </is>
      </c>
      <c r="H23" s="19" t="inlineStr">
        <is>
          <t>1.5</t>
        </is>
      </c>
      <c r="I23" s="19" t="inlineStr">
        <is>
          <t>3</t>
        </is>
      </c>
      <c r="J23" s="1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6" t="n"/>
      <c r="L23" s="16" t="inlineStr">
        <is>
          <t>Chromatographic Resolution Calculation</t>
        </is>
      </c>
      <c r="M23" s="16" t="inlineStr">
        <is>
          <t>Product</t>
        </is>
      </c>
      <c r="N23" s="16" t="inlineStr">
        <is>
          <t>ข้อสอบเก่า 2561 ข้อ 40</t>
        </is>
      </c>
      <c r="O23" s="16" t="inlineStr">
        <is>
          <t>ข้อสอบเก่า</t>
        </is>
      </c>
      <c r="P23" s="19" t="inlineStr">
        <is>
          <t>2561</t>
        </is>
      </c>
      <c r="Q23" s="16" t="n"/>
    </row>
    <row r="24" ht="409.6" customHeight="1" s="49">
      <c r="A24" s="19" t="inlineStr">
        <is>
          <t>23</t>
        </is>
      </c>
      <c r="B24" s="20"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6" t="n"/>
      <c r="D24" s="16" t="inlineStr">
        <is>
          <t>Direct UV-Visible Spectrophotometry</t>
        </is>
      </c>
      <c r="E24" s="16" t="inlineStr">
        <is>
          <t>Liquid Chromatography-Tandem Mass Spectrometry (LC-MS/MS)</t>
        </is>
      </c>
      <c r="F24" s="16" t="inlineStr">
        <is>
          <t>Polarimetry</t>
        </is>
      </c>
      <c r="G24" s="16" t="inlineStr">
        <is>
          <t>Fourier Transform Infrared Spectroscopy (FTIR)</t>
        </is>
      </c>
      <c r="H24" s="16" t="inlineStr">
        <is>
          <t>Thin Layer Chromatography (TLC)</t>
        </is>
      </c>
      <c r="I24" s="19" t="inlineStr">
        <is>
          <t>2</t>
        </is>
      </c>
      <c r="J24" s="1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6" t="n"/>
      <c r="L24" s="16" t="inlineStr">
        <is>
          <t>Bioanalytical Methods &amp; LC-MS</t>
        </is>
      </c>
      <c r="M24" s="16" t="inlineStr">
        <is>
          <t>Product</t>
        </is>
      </c>
      <c r="N24" s="16" t="inlineStr">
        <is>
          <t>ข้อสอบเตรียมสอบเภสัช</t>
        </is>
      </c>
      <c r="O24" s="16" t="inlineStr">
        <is>
          <t>แบบฝึกหัด</t>
        </is>
      </c>
      <c r="P24" s="16" t="inlineStr">
        <is>
          <t>RxCU</t>
        </is>
      </c>
      <c r="Q24" s="16" t="n"/>
    </row>
    <row r="25" ht="409.6" customHeight="1" s="49">
      <c r="A25" s="19" t="inlineStr">
        <is>
          <t>24</t>
        </is>
      </c>
      <c r="B25" s="20"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6" t="n"/>
      <c r="D25" s="16" t="inlineStr">
        <is>
          <t>9.9 mg/mL</t>
        </is>
      </c>
      <c r="E25" s="16" t="inlineStr">
        <is>
          <t>99.0 mg/mL</t>
        </is>
      </c>
      <c r="F25" s="16" t="inlineStr">
        <is>
          <t>49.5 mg/mL</t>
        </is>
      </c>
      <c r="G25" s="16" t="inlineStr">
        <is>
          <t>19.8 mg/mL</t>
        </is>
      </c>
      <c r="H25" s="16" t="inlineStr">
        <is>
          <t>0.99 mg/mL</t>
        </is>
      </c>
      <c r="I25" s="19" t="inlineStr">
        <is>
          <t>2</t>
        </is>
      </c>
      <c r="J25" s="16"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6" t="n"/>
      <c r="L25" s="16" t="inlineStr">
        <is>
          <t>Internal Standard Quantitation</t>
        </is>
      </c>
      <c r="M25" s="16" t="inlineStr">
        <is>
          <t>Product</t>
        </is>
      </c>
      <c r="N25" s="16" t="inlineStr">
        <is>
          <t>ข้อสอบเก่า 2558 / 2560</t>
        </is>
      </c>
      <c r="O25" s="16" t="inlineStr">
        <is>
          <t>ข้อสอบเก่า</t>
        </is>
      </c>
      <c r="P25" s="19" t="inlineStr">
        <is>
          <t>2558</t>
        </is>
      </c>
      <c r="Q25" s="16" t="n"/>
    </row>
    <row r="26" ht="409.6" customHeight="1" s="49">
      <c r="A26" s="16" t="n">
        <v>24</v>
      </c>
      <c r="B26" s="20" t="inlineStr">
        <is>
          <t>จากโครงสร้างของ Levodopa ปัจจัยใดที่ไม่ส่งผลต่อ retention time ของ Levodopa จากการวิเคราะห์ด้วยเทคนิค HPLC</t>
        </is>
      </c>
      <c r="C26" s="16" t="n"/>
      <c r="D26" s="16" t="inlineStr">
        <is>
          <t>Gas Chromatography with FID detector</t>
        </is>
      </c>
      <c r="E26" s="16" t="inlineStr">
        <is>
          <t>Thin Layer Chromatography (TLC)</t>
        </is>
      </c>
      <c r="F26" s="16" t="inlineStr">
        <is>
          <t>Ion-Exchange Chromatography (IEC)</t>
        </is>
      </c>
      <c r="G26" s="16" t="inlineStr">
        <is>
          <t>Size Exclusion Chromatography (SEC)</t>
        </is>
      </c>
      <c r="H26" s="16" t="inlineStr">
        <is>
          <t>Chiral HPLC Separation Column</t>
        </is>
      </c>
      <c r="I26" s="16" t="n">
        <v>1</v>
      </c>
      <c r="J26" s="16" t="inlineStr">
        <is>
          <t>✅ คำตอบที่ถูกต้อง: ข้อ ก. Gas Chromatography with FID detector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Gas Chromatography with FID detector 💡 คำอธิบายและเหตุผลทางเภสัชกรรม:
💡 คำอธิบายและเหตุผลทางเภสัชกรรม:
การเลือก Gas Chromatography with FID detector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(Thin Layer Chromatography (TLC)): TLC (Thin Layer Chromatography) ใช้ silica gel (polar stationary phase) แยกตาม polarity ด้วย Rf value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 t="n"/>
      <c r="L26" s="16" t="inlineStr">
        <is>
          <t>HPLC (Liquid Chromatography)</t>
        </is>
      </c>
      <c r="M26" s="16" t="inlineStr">
        <is>
          <t>Product</t>
        </is>
      </c>
      <c r="N26" s="16" t="inlineStr">
        <is>
          <t>ข้อ 10 (PLE_CC1_2533.md)</t>
        </is>
      </c>
      <c r="O26" s="16" t="inlineStr">
        <is>
          <t>ข้อสอบจริง</t>
        </is>
      </c>
      <c r="P26" s="16" t="inlineStr">
        <is>
          <t>ปี 2533</t>
        </is>
      </c>
      <c r="Q26" s="16" t="n"/>
    </row>
    <row r="27" ht="409.6" customHeight="1" s="49">
      <c r="A27" s="16" t="n">
        <v>25</v>
      </c>
      <c r="B27" s="20" t="inlineStr">
        <is>
          <t>ความยาวของ column</t>
        </is>
      </c>
      <c r="C27" s="16" t="n"/>
      <c r="D27" s="16" t="inlineStr">
        <is>
          <t>Size Exclusion Chromatography (SEC)</t>
        </is>
      </c>
      <c r="E27" s="16" t="inlineStr">
        <is>
          <t>Chiral HPLC Separation Column</t>
        </is>
      </c>
      <c r="F27" s="16" t="inlineStr">
        <is>
          <t>HILIC (Hydrophilic Interaction LC)</t>
        </is>
      </c>
      <c r="G27" s="16" t="inlineStr">
        <is>
          <t>Ultra-High Performance LC (UHPLC)</t>
        </is>
      </c>
      <c r="H27" s="16" t="inlineStr">
        <is>
          <t>GC-Mass Spectrometry (GC-MS)</t>
        </is>
      </c>
      <c r="I27" s="16" t="n">
        <v>1</v>
      </c>
      <c r="J27" s="16" t="inlineStr">
        <is>
          <t>✅ คำตอบที่ถูกต้อง: ข้อ ก. Size Exclusion Chromatography (SEC)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ไม่สอดคล้องกับคุณสมบัติทางกายภาพและเคมีที่ต้องการสำหรับ Liquid/Semisolid formulation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 t="n"/>
      <c r="L27" s="16" t="inlineStr">
        <is>
          <t>HPLC (Liquid Chromatography)</t>
        </is>
      </c>
      <c r="M27" s="16" t="inlineStr">
        <is>
          <t>Product</t>
        </is>
      </c>
      <c r="N27" s="16" t="inlineStr">
        <is>
          <t>ข้อ 2 (PLE_CC1_2533.md)</t>
        </is>
      </c>
      <c r="O27" s="16" t="inlineStr">
        <is>
          <t>ข้อสอบจริง</t>
        </is>
      </c>
      <c r="P27" s="16" t="inlineStr">
        <is>
          <t>ปี 2533</t>
        </is>
      </c>
      <c r="Q27" s="16" t="n"/>
    </row>
    <row r="28" ht="409.6" customHeight="1" s="49">
      <c r="A28" s="16" t="n">
        <v>26</v>
      </c>
      <c r="B28" s="20" t="inlineStr">
        <is>
          <t>pH ของ mobile phase</t>
        </is>
      </c>
      <c r="C28" s="16" t="n"/>
      <c r="D28" s="16" t="inlineStr">
        <is>
          <t>Ultra-High Performance LC (UHPLC)</t>
        </is>
      </c>
      <c r="E28" s="16" t="inlineStr">
        <is>
          <t>GC-Mass Spectrometry (GC-MS)</t>
        </is>
      </c>
      <c r="F28" s="16" t="inlineStr">
        <is>
          <t>Reversed-Phase HPLC</t>
        </is>
      </c>
      <c r="G28" s="16" t="inlineStr">
        <is>
          <t>Normal-Phase HPLC (Silica column)</t>
        </is>
      </c>
      <c r="H28" s="16" t="inlineStr">
        <is>
          <t>Gas Chromatography with FID detector</t>
        </is>
      </c>
      <c r="I28" s="16" t="n">
        <v>1</v>
      </c>
      <c r="J28" s="16" t="inlineStr">
        <is>
          <t>✅ คำตอบที่ถูกต้อง: ข้อ ก. Ultra-High Performance LC (UHPLC)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Ultra-High Performance LC (UHPLC) 💡 คำอธิบายและเหตุผลทางเภสัชกรรม:
💡 คำอธิบายและเหตุผลทางเภสัชกรรม:
การเลือก Ultra-High Performance LC (UHPLC)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(GC-Mass Spectrometry (GC-MS)): Gas Chromatography แยก volatile compounds ที่ความดันสูงด้วย carrier gas (He, N2) ใช้ FID, TCD หรือ MS detector
• ข้อ ค. (Reversed-Phase HPLC): HPLC แยก compounds ด้วย stationary phase และ mobile phase ความละเอียดขึ้นกับ selectivity, efficiency (N) และ resolution (Rs)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 t="n"/>
      <c r="L28" s="16" t="inlineStr">
        <is>
          <t>HPLC (Liquid Chromatography)</t>
        </is>
      </c>
      <c r="M28" s="16" t="inlineStr">
        <is>
          <t>Product</t>
        </is>
      </c>
      <c r="N28" s="16" t="inlineStr">
        <is>
          <t>ข้อ 4 (PLE_CC1_2533.md)</t>
        </is>
      </c>
      <c r="O28" s="16" t="inlineStr">
        <is>
          <t>ข้อสอบจริง</t>
        </is>
      </c>
      <c r="P28" s="16" t="inlineStr">
        <is>
          <t>ปี 2533</t>
        </is>
      </c>
      <c r="Q28" s="16" t="n"/>
    </row>
    <row r="29" ht="409.6" customHeight="1" s="49">
      <c r="A29" s="16" t="n">
        <v>27</v>
      </c>
      <c r="B29" s="20" t="inlineStr">
        <is>
          <t>ชนิดของ mobile phase Ans. 3. ชนิดของ detector retention time(Rt) คือ เวลาที่สารนั้นจะถูกชะออกมาจาก column แล้วผ่านเข้ามายัง detector เพื่อดู response ของสาร นั้น แล้วออกมาเป็น chromatogram ต่อไป หรือกล่าวได้ว่าสารที่มี Rt น้อยจะออกมาก่อนสารที่มี Rt มาก ดังนั้นการเปลี่ยนแปลงเวลา(จะออกช้าหรือจะออกเร็ว)ที่ออกมาจาก column ของสาร(Rt) จะเกิดได้จากปัจจัยในส่วนที่ ส่งผลต่อการแยกสาร เช่น column(ชนิด ความยาว ), mobile phase (pH ชนิด mobile phase ที่ใช้), อุณหภูมิ, ความดัน นอกเรื่อง by o’chai ถ้ายังนึกไม่ออกให้นึกถึง นักกีฬาคนนึง(เทียบได้กับสารที่ทำการแยก)ที่กำลังวิ่งอยู่บนสนาม(เทียบได้กับ column) สิ่งแวดล้อมต่าง ๆ รอบตัวนักกีฬา เช่น สภาพอากาศ ฯลฯ(เทียบได้กับ mobile phase) โดยมีปลายทางคือเส้นชัย(เทียบได้กับ ปลายทางของcolumn ที่จะไป detector) นักกีฬา (สาร) สนาม/ลาน/ลูวิ่ง (column) เส้นชัย (สิ้นสุดการแยก /เข้า detector)</t>
        </is>
      </c>
      <c r="C29" s="16" t="n"/>
      <c r="D29" s="16" t="inlineStr">
        <is>
          <t>Normal-Phase HPLC (Silica column)</t>
        </is>
      </c>
      <c r="E29" s="16" t="inlineStr">
        <is>
          <t>Gas Chromatography with FID detector</t>
        </is>
      </c>
      <c r="F29" s="16" t="inlineStr">
        <is>
          <t>Thin Layer Chromatography (TLC)</t>
        </is>
      </c>
      <c r="G29" s="16" t="inlineStr">
        <is>
          <t>Ion-Exchange Chromatography (IEC)</t>
        </is>
      </c>
      <c r="H29" s="16" t="inlineStr">
        <is>
          <t>Size Exclusion Chromatography (SEC)</t>
        </is>
      </c>
      <c r="I29" s="16" t="n">
        <v>1</v>
      </c>
      <c r="J29" s="16" t="inlineStr">
        <is>
          <t>✅ คำตอบที่ถูกต้อง: ข้อ ก. Normal-Phase HPLC (Silica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Normal-Phase HPLC (Silica column) 💡 คำอธิบายและเหตุผลทางเภสัชกรรม:
💡 คำอธิบายและเหตุผลทางเภสัชกรรม:
การเลือก Normal-Phase HPLC (Silica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(Gas Chromatography with FID detector): Gas Chromatography with FID detector ไม่สอดคล้องกับคุณสมบัติทางกายภาพและเคมีที่ต้องการสำหรับ Liquid/Semisolid formulation
• ข้อ ค. (Thin Layer Chromatography (TLC)): TLC (Thin Layer Chromatography) ใช้ silica gel (polar stationary phase) แยกตาม polarity ด้วย Rf value
• ข้อ ง. (Ion-Exchange Chromatography (IEC)): Ion-Exchange Chromatography (IEC) ไม่สอดคล้องกับคุณสมบัติทางกายภาพและเคมีที่ต้องการสำหรับ Liquid/Semisolid formulation
• ข้อ จ. (Size Exclusion Chromatography (SEC)): Size Exclusion Chromatography (SEC)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 t="n"/>
      <c r="L29" s="16" t="inlineStr">
        <is>
          <t>HPLC (Liquid Chromatography)</t>
        </is>
      </c>
      <c r="M29" s="16" t="inlineStr">
        <is>
          <t>Product</t>
        </is>
      </c>
      <c r="N29" s="16" t="inlineStr">
        <is>
          <t>ข้อ 5 (PLE_CC1_2533.md)</t>
        </is>
      </c>
      <c r="O29" s="16" t="inlineStr">
        <is>
          <t>ข้อสอบจริง</t>
        </is>
      </c>
      <c r="P29" s="16" t="inlineStr">
        <is>
          <t>ปี 2533</t>
        </is>
      </c>
      <c r="Q29" s="16" t="n"/>
    </row>
    <row r="30" ht="409.6" customHeight="1" s="49">
      <c r="A30" s="16" t="n">
        <v>28</v>
      </c>
      <c r="B30" s="20"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6" t="n"/>
      <c r="D30" s="16" t="inlineStr">
        <is>
          <t>Ion-Exchange Chromatography (IEC)</t>
        </is>
      </c>
      <c r="E30" s="16" t="inlineStr">
        <is>
          <t>Size Exclusion Chromatography (SEC)</t>
        </is>
      </c>
      <c r="F30" s="16" t="inlineStr">
        <is>
          <t>Chiral HPLC Separation Column</t>
        </is>
      </c>
      <c r="G30" s="16" t="inlineStr">
        <is>
          <t>HILIC (Hydrophilic Interaction LC)</t>
        </is>
      </c>
      <c r="H30" s="16" t="inlineStr">
        <is>
          <t>Ultra-High Performance LC (UHPLC)</t>
        </is>
      </c>
      <c r="I30" s="16" t="n">
        <v>1</v>
      </c>
      <c r="J30" s="1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 t="n"/>
      <c r="L30" s="16" t="inlineStr">
        <is>
          <t>HPLC (Liquid Chromatography)</t>
        </is>
      </c>
      <c r="M30" s="16" t="inlineStr">
        <is>
          <t>Product</t>
        </is>
      </c>
      <c r="N30" s="16" t="inlineStr">
        <is>
          <t>ข้อ 2 (PLE_CC1_2533.md)</t>
        </is>
      </c>
      <c r="O30" s="16" t="inlineStr">
        <is>
          <t>ข้อสอบจริง</t>
        </is>
      </c>
      <c r="P30" s="16" t="inlineStr">
        <is>
          <t>ปี 2533</t>
        </is>
      </c>
      <c r="Q30" s="16" t="n"/>
    </row>
    <row r="31" ht="409.6" customHeight="1" s="49">
      <c r="A31" s="16" t="n">
        <v>29</v>
      </c>
      <c r="B31" s="20"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6" t="n"/>
      <c r="D31" s="16" t="inlineStr">
        <is>
          <t>HILIC (Hydrophilic Interaction LC)</t>
        </is>
      </c>
      <c r="E31" s="16" t="inlineStr">
        <is>
          <t>Ultra-High Performance LC (UHPLC)</t>
        </is>
      </c>
      <c r="F31" s="16" t="inlineStr">
        <is>
          <t>GC-Mass Spectrometry (GC-MS)</t>
        </is>
      </c>
      <c r="G31" s="16" t="inlineStr">
        <is>
          <t>Reversed-Phase HPLC</t>
        </is>
      </c>
      <c r="H31" s="16" t="inlineStr">
        <is>
          <t>Normal-Phase HPLC (Silica column)</t>
        </is>
      </c>
      <c r="I31" s="16" t="n">
        <v>1</v>
      </c>
      <c r="J31" s="1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 t="n"/>
      <c r="L31" s="16" t="inlineStr">
        <is>
          <t>HPLC (Liquid Chromatography)</t>
        </is>
      </c>
      <c r="M31" s="16" t="inlineStr">
        <is>
          <t>Product</t>
        </is>
      </c>
      <c r="N31" s="16" t="inlineStr">
        <is>
          <t>ข้อ 4 (PLE_CC1_2533.md)</t>
        </is>
      </c>
      <c r="O31" s="16" t="inlineStr">
        <is>
          <t>ข้อสอบจริง</t>
        </is>
      </c>
      <c r="P31" s="16" t="inlineStr">
        <is>
          <t>ปี 2533</t>
        </is>
      </c>
      <c r="Q31" s="16" t="n"/>
    </row>
    <row r="32" ht="409.6" customHeight="1" s="49">
      <c r="A32" s="16" t="n">
        <v>30</v>
      </c>
      <c r="B32" s="20" t="inlineStr">
        <is>
          <t>เทคนิคทางโครมาโตรกราฟีใดต่อไปนี้สามารถแยกความแตกต่างระหว่าง theophylline และ caffeine ได้ caffeine theophylline</t>
        </is>
      </c>
      <c r="C32" s="16" t="n"/>
      <c r="D32" s="16" t="inlineStr">
        <is>
          <t>Chiral chromatography</t>
        </is>
      </c>
      <c r="E32" s="16" t="inlineStr">
        <is>
          <t>Countercurrent chromatography</t>
        </is>
      </c>
      <c r="F32" s="16" t="inlineStr">
        <is>
          <t>Ion exchange chromatography</t>
        </is>
      </c>
      <c r="G32" s="16" t="inlineStr">
        <is>
          <t>Reverse phase chromatography</t>
        </is>
      </c>
      <c r="H32" s="16" t="inlineStr">
        <is>
          <t>Size exclusion chromatography</t>
        </is>
      </c>
      <c r="I32" s="16" t="n">
        <v>1</v>
      </c>
      <c r="J32" s="16" t="inlineStr">
        <is>
          <t>✅ คำตอบที่ถูกต้อง: ข้อ ก. Chiral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chromatography 💡 คำอธิบายและเหตุผลทางเภสัชกรรม:
💡 คำอธิบายและเหตุผลทางเภสัชกรรม:
การเลือก Chiral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(Countercurrent chromatography): Countercurrent chromatography ไม่สอดคล้องกับคุณสมบัติทางกายภาพและเคมีที่ต้องการสำหรับ Liquid/Semisolid formulation
• ข้อ ค. (Ion exchange chromatography): Ion exchange chromatography ไม่สอดคล้องกับคุณสมบัติทางกายภาพและเคมีที่ต้องการสำหรับ Liquid/Semisolid formulation
• ข้อ ง. (Reverse phase chromatography): Reverse phase chromatography ไม่สอดคล้องกับคุณสมบัติทางกายภาพและเคมีที่ต้องการสำหรับ Liquid/Semisolid formulation
• ข้อ จ. (Size exclusion chromatography จากกรณีศึกษาต่อไปนี้ ตอบคำถามข้อ 24-26 ชายไทยคู่ อายุ 56 ปี มีประวัติสูบบุหรี่มา 30 ปี ปัจจุบันเลิกบุหรี่มาแล้ว 2 ปี ถูกวินิจฉัยว่าเป็นโรค COPD แพทย์ได้สั่งจ่ายยา salbutamol 2 puff prn ไม่มีประวัติแพ้ยา):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 t="n"/>
      <c r="L32" s="16" t="inlineStr">
        <is>
          <t>HPLC (Liquid Chromatography)</t>
        </is>
      </c>
      <c r="M32" s="16" t="inlineStr">
        <is>
          <t>Product</t>
        </is>
      </c>
      <c r="N32" s="16" t="inlineStr">
        <is>
          <t>ข้อ 23 (PLE_CC1_Practice_Exam.md)</t>
        </is>
      </c>
      <c r="O32" s="16" t="inlineStr">
        <is>
          <t>Mock</t>
        </is>
      </c>
      <c r="P32" s="16" t="inlineStr">
        <is>
          <t>Mock สภาเภสัชฯ Practice</t>
        </is>
      </c>
      <c r="Q32" s="16" t="n"/>
    </row>
    <row r="33" ht="409.6" customHeight="1" s="49">
      <c r="A33" s="16" t="n">
        <v>31</v>
      </c>
      <c r="B33" s="20"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6" t="n"/>
      <c r="D33" s="16" t="inlineStr">
        <is>
          <t>Thin Layer Chromatography (TLC)</t>
        </is>
      </c>
      <c r="E33" s="16" t="inlineStr">
        <is>
          <t>Ion-Exchange Chromatography (IEC)</t>
        </is>
      </c>
      <c r="F33" s="16" t="inlineStr">
        <is>
          <t>Size Exclusion Chromatography (SEC)</t>
        </is>
      </c>
      <c r="G33" s="16" t="inlineStr">
        <is>
          <t>Chiral HPLC Separation Column</t>
        </is>
      </c>
      <c r="H33" s="16" t="inlineStr">
        <is>
          <t>HILIC (Hydrophilic Interaction LC)</t>
        </is>
      </c>
      <c r="I33" s="16" t="n">
        <v>1</v>
      </c>
      <c r="J33" s="1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 t="n"/>
      <c r="L33" s="16" t="inlineStr">
        <is>
          <t>HPLC (Liquid Chromatography)</t>
        </is>
      </c>
      <c r="M33" s="16" t="inlineStr">
        <is>
          <t>Product</t>
        </is>
      </c>
      <c r="N33" s="16" t="inlineStr">
        <is>
          <t>ข้อ 1 (PLE_CC1_Practice_Exam.md)</t>
        </is>
      </c>
      <c r="O33" s="16" t="inlineStr">
        <is>
          <t>Mock</t>
        </is>
      </c>
      <c r="P33" s="16" t="inlineStr">
        <is>
          <t>Mock สภาเภสัชฯ Practice</t>
        </is>
      </c>
      <c r="Q33" s="16" t="n"/>
    </row>
    <row r="34" ht="409.6" customHeight="1" s="49">
      <c r="A34" s="16" t="n">
        <v>32</v>
      </c>
      <c r="B34" s="20"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34" s="16" t="n"/>
      <c r="D34" s="16" t="inlineStr">
        <is>
          <t>Chiral HPLC Separation Column</t>
        </is>
      </c>
      <c r="E34" s="16" t="inlineStr">
        <is>
          <t>HILIC (Hydrophilic Interaction LC)</t>
        </is>
      </c>
      <c r="F34" s="16" t="inlineStr">
        <is>
          <t>Ultra-High Performance LC (UHPLC)</t>
        </is>
      </c>
      <c r="G34" s="16" t="inlineStr">
        <is>
          <t>GC-Mass Spectrometry (GC-MS)</t>
        </is>
      </c>
      <c r="H34" s="16" t="inlineStr">
        <is>
          <t>Reversed-Phase HPLC</t>
        </is>
      </c>
      <c r="I34" s="16" t="n">
        <v>4</v>
      </c>
      <c r="J34" s="1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 t="n"/>
      <c r="L34" s="16" t="inlineStr">
        <is>
          <t>HPLC (Liquid Chromatography)</t>
        </is>
      </c>
      <c r="M34" s="16" t="inlineStr">
        <is>
          <t>Product</t>
        </is>
      </c>
      <c r="N34" s="16" t="inlineStr">
        <is>
          <t>ข้อ 2 (PLE_CC1_Practice_Exam.md)</t>
        </is>
      </c>
      <c r="O34" s="16" t="inlineStr">
        <is>
          <t>Mock</t>
        </is>
      </c>
      <c r="P34" s="16" t="inlineStr">
        <is>
          <t>Mock สภาเภสัชฯ Practice</t>
        </is>
      </c>
      <c r="Q34" s="16" t="n"/>
    </row>
    <row r="35" ht="409.6" customHeight="1" s="49">
      <c r="A35" s="16" t="n">
        <v>33</v>
      </c>
      <c r="B35" s="20"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35" s="16" t="n"/>
      <c r="D35" s="16" t="inlineStr">
        <is>
          <t>ผิด อนุภาคของวัฏภาคกระจายตัวเป็นของเหลว</t>
        </is>
      </c>
      <c r="E35" s="16" t="inlineStr">
        <is>
          <t>ผิด ต้องใช้พลังงานเพื่อกระจายอนุภาตของวัฏภาคกระจายตัวออกจากกัน</t>
        </is>
      </c>
      <c r="F35" s="16" t="inlineStr">
        <is>
          <t>ผิด ประกอบด้วยสองวัฏภาคที่ไม่ผสมเข้ากัน</t>
        </is>
      </c>
      <c r="G35" s="16" t="inlineStr">
        <is>
          <t>ผิด เมื่อเกิด caking สามารถเขย่ากลับคืนสภาพเดิม</t>
        </is>
      </c>
      <c r="H35" s="16" t="inlineStr">
        <is>
          <t>Thin Layer Chromatography (TLC)</t>
        </is>
      </c>
      <c r="I35" s="16" t="n">
        <v>1</v>
      </c>
      <c r="J35" s="1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 t="n"/>
      <c r="L35" s="16" t="inlineStr">
        <is>
          <t>HPLC (Liquid Chromatography)</t>
        </is>
      </c>
      <c r="M35" s="16" t="inlineStr">
        <is>
          <t>Product</t>
        </is>
      </c>
      <c r="N35" s="16" t="inlineStr">
        <is>
          <t>ข้อ 2 (PLE_CC1_Practice_Exam.md)</t>
        </is>
      </c>
      <c r="O35" s="16" t="inlineStr">
        <is>
          <t>Mock</t>
        </is>
      </c>
      <c r="P35" s="16" t="inlineStr">
        <is>
          <t>Mock สภาเภสัชฯ Practice</t>
        </is>
      </c>
      <c r="Q35" s="16" t="n"/>
    </row>
    <row r="36" ht="409.6" customHeight="1" s="49">
      <c r="A36" s="16" t="n">
        <v>34</v>
      </c>
      <c r="B36" s="20" t="inlineStr">
        <is>
          <t>ข้อใดถูกต้องเกี่ยวกับ Infrared Spectroscopy</t>
        </is>
      </c>
      <c r="C36" s="16" t="n"/>
      <c r="D36" s="16" t="inlineStr">
        <is>
          <t>น้ำมีค่า Fundamental vibration เท่ากับ 2</t>
        </is>
      </c>
      <c r="E36" s="16" t="inlineStr">
        <is>
          <t>แก๊สคาร์บอนไดออกไซด์มีค่า Fundamental vibration เท่ากับ 3</t>
        </is>
      </c>
      <c r="F36" s="16" t="inlineStr">
        <is>
          <t>เซลล์ตัวอย่างควรมีลักษณะโปร่งใสและไม่ดูดกลืนรังสีอินฟราเรดช่วงเดียวกับตัวอย่าง เช่น เกลือของแัไลด์</t>
        </is>
      </c>
      <c r="G36" s="16" t="inlineStr">
        <is>
          <t>สารประกอบกลุ่มไนโตรจะมี wavenumber มากกว่าไนไทรล์</t>
        </is>
      </c>
      <c r="H36" s="16" t="inlineStr">
        <is>
          <t>ข้อ ค. และ ง. ถูก</t>
        </is>
      </c>
      <c r="I36" s="16" t="n">
        <v>1</v>
      </c>
      <c r="J36" s="1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 t="n"/>
      <c r="L36" s="16" t="inlineStr">
        <is>
          <t>HPLC (Liquid Chromatography)</t>
        </is>
      </c>
      <c r="M36" s="16" t="inlineStr">
        <is>
          <t>Product</t>
        </is>
      </c>
      <c r="N36" s="16" t="inlineStr">
        <is>
          <t>ข้อ 2 (PLE_CC1_Practice_Exam.md)</t>
        </is>
      </c>
      <c r="O36" s="16" t="inlineStr">
        <is>
          <t>Mock</t>
        </is>
      </c>
      <c r="P36" s="16" t="inlineStr">
        <is>
          <t>Mock สภาเภสัชฯ Practice</t>
        </is>
      </c>
      <c r="Q36" s="16" t="n"/>
    </row>
    <row r="37" ht="409.6" customHeight="1" s="49">
      <c r="A37" s="16" t="n">
        <v>35</v>
      </c>
      <c r="B37" s="20" t="inlineStr">
        <is>
          <t>จงหา pH ของสารละลายที่ประกอบด้วย urea 42% w/v (กำหนดให้ Kb = 1.5x10-14 , MW of Urea = 60 g/mol)</t>
        </is>
      </c>
      <c r="C37" s="16" t="n"/>
      <c r="D37" s="16" t="n">
        <v>6.5</v>
      </c>
      <c r="E37" s="16" t="n">
        <v>7</v>
      </c>
      <c r="F37" s="16" t="n">
        <v>7.5</v>
      </c>
      <c r="G37" s="16" t="n">
        <v>8</v>
      </c>
      <c r="H37" s="16" t="n">
        <v>8.5</v>
      </c>
      <c r="I37" s="16" t="n">
        <v>1</v>
      </c>
      <c r="J37" s="1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 t="n"/>
      <c r="L37" s="16" t="inlineStr">
        <is>
          <t>HPLC (Liquid Chromatography)</t>
        </is>
      </c>
      <c r="M37" s="16" t="inlineStr">
        <is>
          <t>Product</t>
        </is>
      </c>
      <c r="N37" s="16" t="inlineStr">
        <is>
          <t>ข้อ 5 (PLE_CC1_Practice_Exam.md)</t>
        </is>
      </c>
      <c r="O37" s="16" t="inlineStr">
        <is>
          <t>Mock</t>
        </is>
      </c>
      <c r="P37" s="16" t="inlineStr">
        <is>
          <t>Mock สภาเภสัชฯ Practice</t>
        </is>
      </c>
      <c r="Q37" s="16" t="n"/>
    </row>
    <row r="38" ht="409.6" customHeight="1" s="49">
      <c r="A38" s="16" t="n">
        <v>36</v>
      </c>
      <c r="B38" s="20" t="inlineStr">
        <is>
          <t>C18 column ใช้เป็น stationary phase ใน HPLC ประเภทใด</t>
        </is>
      </c>
      <c r="C38" s="16" t="n"/>
      <c r="D38" s="16" t="inlineStr">
        <is>
          <t>Nornal phase HPLC</t>
        </is>
      </c>
      <c r="E38" s="16" t="inlineStr">
        <is>
          <t>Reverse phase HPLC</t>
        </is>
      </c>
      <c r="F38" s="16" t="inlineStr">
        <is>
          <t>Size-exclusion HPLC</t>
        </is>
      </c>
      <c r="G38" s="16" t="inlineStr">
        <is>
          <t>Ion-exchange HPLC</t>
        </is>
      </c>
      <c r="H38" s="16" t="inlineStr">
        <is>
          <t>Carbon-exclusion HPLC</t>
        </is>
      </c>
      <c r="I38" s="16" t="n">
        <v>1</v>
      </c>
      <c r="J38" s="16" t="inlineStr">
        <is>
          <t>✅ คำตอบที่ถูกต้อง: ข้อ ก. Nornal 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Nornal phase HPLC 💡 คำอธิบายและเหตุผลทางเภสัชกรรม:
💡 คำอธิบายและเหตุผลทางเภสัชกรรม:
การเลือก Nornal phase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(Reverse phase HPLC): HPLC แยก compounds ด้วย stationary phase และ mobile phase ความละเอียดขึ้นกับ selectivity, efficiency (N) และ resolution (Rs)
• ข้อ ค. (Size-exclusion HPLC 344 เภสัชภัณฑ์รูปแบบกึ่งแข็ง (Semisolid dosage form) 
• ข้อ ง. (Ion-exchange HPLC): HPLC แยก compounds ด้วย stationary phase และ mobile phase ความละเอียดขึ้นกับ selectivity, efficiency (N) และ resolution (Rs)
• ข้อ จ. (Carbon-exclusion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 t="n"/>
      <c r="L38" s="16" t="inlineStr">
        <is>
          <t>HPLC (Liquid Chromatography)</t>
        </is>
      </c>
      <c r="M38" s="16" t="inlineStr">
        <is>
          <t>Product</t>
        </is>
      </c>
      <c r="N38" s="16" t="inlineStr">
        <is>
          <t>ข้อ 15 (PLE_CC1_Practice_Exam.md)</t>
        </is>
      </c>
      <c r="O38" s="16" t="inlineStr">
        <is>
          <t>Mock</t>
        </is>
      </c>
      <c r="P38" s="16" t="inlineStr">
        <is>
          <t>Mock สภาเภสัชฯ Practice</t>
        </is>
      </c>
      <c r="Q38" s="16" t="n"/>
    </row>
    <row r="39" ht="409.6" customHeight="1" s="49">
      <c r="A39" s="16" t="n">
        <v>37</v>
      </c>
      <c r="B39" s="20"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6" t="n"/>
      <c r="D39" s="16" t="inlineStr">
        <is>
          <t>ระบบที่ทดสอบน่าจะมีค่า Resolution ที่ดี</t>
        </is>
      </c>
      <c r="E39" s="16" t="inlineStr">
        <is>
          <t>สาร B มีความเป็นขั้วมากกว่ายา A</t>
        </is>
      </c>
      <c r="F39" s="16" t="inlineStr">
        <is>
          <t>Retention time ของยา A น้อยกว่าสาร B</t>
        </is>
      </c>
      <c r="G39" s="16" t="inlineStr">
        <is>
          <t>ยา A มีค่า Capacity factor มากกว่าสาร B</t>
        </is>
      </c>
      <c r="H39" s="16" t="inlineStr">
        <is>
          <t>ไม่มีตัวเลือกใดผิด</t>
        </is>
      </c>
      <c r="I39" s="16" t="n">
        <v>1</v>
      </c>
      <c r="J39" s="1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 t="n"/>
      <c r="L39" s="16" t="inlineStr">
        <is>
          <t>HPLC (Liquid Chromatography)</t>
        </is>
      </c>
      <c r="M39" s="16" t="inlineStr">
        <is>
          <t>Product</t>
        </is>
      </c>
      <c r="N39" s="16" t="inlineStr">
        <is>
          <t>ข้อ 16 (PLE_CC1_Practice_Exam.md)</t>
        </is>
      </c>
      <c r="O39" s="16" t="inlineStr">
        <is>
          <t>Mock</t>
        </is>
      </c>
      <c r="P39" s="16" t="inlineStr">
        <is>
          <t>Mock สภาเภสัชฯ Practice</t>
        </is>
      </c>
      <c r="Q39" s="16" t="n"/>
    </row>
    <row r="40" ht="409.6" customHeight="1" s="49">
      <c r="A40" s="16" t="n">
        <v>38</v>
      </c>
      <c r="B40" s="20" t="inlineStr">
        <is>
          <t>โครมาโทรกราฟีประเภทใดที่ใช้กระจกเคลือบด้วยซิลิกาเจลหรืออะลูมินาแล้วเกลี่ยให้บางเป็นตัวดูด ซับ</t>
        </is>
      </c>
      <c r="C40" s="16" t="n"/>
      <c r="D40" s="16" t="inlineStr">
        <is>
          <t>Column Chromatography</t>
        </is>
      </c>
      <c r="E40" s="16" t="inlineStr">
        <is>
          <t>Paper Chromatography</t>
        </is>
      </c>
      <c r="F40" s="16" t="inlineStr">
        <is>
          <t>Thin layer Chromatography</t>
        </is>
      </c>
      <c r="G40" s="16" t="inlineStr">
        <is>
          <t>Glass Chromatography</t>
        </is>
      </c>
      <c r="H40" s="16" t="inlineStr">
        <is>
          <t>ถูกทุกข้อ</t>
        </is>
      </c>
      <c r="I40" s="16" t="n">
        <v>1</v>
      </c>
      <c r="J40" s="1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 t="n"/>
      <c r="L40" s="16" t="inlineStr">
        <is>
          <t>HPLC (Liquid Chromatography)</t>
        </is>
      </c>
      <c r="M40" s="16" t="inlineStr">
        <is>
          <t>Product</t>
        </is>
      </c>
      <c r="N40" s="16" t="inlineStr">
        <is>
          <t>ข้อ 20 (PLE_CC1_Practice_Exam.md)</t>
        </is>
      </c>
      <c r="O40" s="16" t="inlineStr">
        <is>
          <t>Mock</t>
        </is>
      </c>
      <c r="P40" s="16" t="inlineStr">
        <is>
          <t>Mock สภาเภสัชฯ Practice</t>
        </is>
      </c>
      <c r="Q40" s="16" t="n"/>
    </row>
    <row r="41" ht="409.6" customHeight="1" s="49">
      <c r="A41" s="16" t="n">
        <v>39</v>
      </c>
      <c r="B41" s="20" t="inlineStr">
        <is>
          <t>ใช้ TLC พิสูจน์เอกลักษณ์โดยได้</t>
        </is>
      </c>
      <c r="C41" s="16" t="n"/>
      <c r="D41" s="16" t="inlineStr">
        <is>
          <t>HILIC (Hydrophilic Interaction LC)</t>
        </is>
      </c>
      <c r="E41" s="16" t="inlineStr">
        <is>
          <t>Ultra-High Performance LC (UHPLC)</t>
        </is>
      </c>
      <c r="F41" s="16" t="inlineStr">
        <is>
          <t>GC-Mass Spectrometry (GC-MS)</t>
        </is>
      </c>
      <c r="G41" s="16" t="inlineStr">
        <is>
          <t>Reversed-Phase HPLC</t>
        </is>
      </c>
      <c r="H41" s="16" t="inlineStr">
        <is>
          <t>Normal-Phase HPLC (Silica column)</t>
        </is>
      </c>
      <c r="I41" s="16" t="n">
        <v>1</v>
      </c>
      <c r="J41" s="1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 t="n"/>
      <c r="L41" s="16" t="inlineStr">
        <is>
          <t>TLC (Thin Layer)</t>
        </is>
      </c>
      <c r="M41" s="16" t="inlineStr">
        <is>
          <t>Product</t>
        </is>
      </c>
      <c r="N41" s="16" t="inlineStr">
        <is>
          <t>ข้อ 5 (PLE_CC1_Key_Rx20_UBU.md)</t>
        </is>
      </c>
      <c r="O41" s="16" t="inlineStr">
        <is>
          <t>Mock</t>
        </is>
      </c>
      <c r="P41" s="16" t="inlineStr">
        <is>
          <t>Mock Rx20 UBU</t>
        </is>
      </c>
      <c r="Q41" s="16" t="n"/>
    </row>
    <row r="42" ht="409.6" customHeight="1" s="49">
      <c r="A42" s="16" t="n">
        <v>40</v>
      </c>
      <c r="B42" s="20" t="inlineStr">
        <is>
          <t>ในการตรวจวัดระดับยาคุมกำเนิดในเม็ดยา ควรใช้วิธีการใดในการวัด</t>
        </is>
      </c>
      <c r="C42" s="16" t="n"/>
      <c r="D42" s="16" t="inlineStr">
        <is>
          <t>IR</t>
        </is>
      </c>
      <c r="E42" s="16" t="inlineStr">
        <is>
          <t>HPLC</t>
        </is>
      </c>
      <c r="F42" s="16" t="inlineStr">
        <is>
          <t>Specific rotation by polarimeter</t>
        </is>
      </c>
      <c r="G42" s="16" t="inlineStr">
        <is>
          <t>Refractive index by refractorymeter</t>
        </is>
      </c>
      <c r="H42" s="16" t="inlineStr">
        <is>
          <t>TLC</t>
        </is>
      </c>
      <c r="I42" s="16" t="n">
        <v>2</v>
      </c>
      <c r="J42" s="1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 t="n"/>
      <c r="L42" s="16" t="inlineStr">
        <is>
          <t>HPLC (Liquid Chromatography)</t>
        </is>
      </c>
      <c r="M42" s="16" t="inlineStr">
        <is>
          <t>Product</t>
        </is>
      </c>
      <c r="N42" s="16" t="inlineStr">
        <is>
          <t>ข้อ 7 (PLE_CC1_Key_Rx20_UBU.md)</t>
        </is>
      </c>
      <c r="O42" s="16" t="inlineStr">
        <is>
          <t>Mock</t>
        </is>
      </c>
      <c r="P42" s="16" t="inlineStr">
        <is>
          <t>Mock Rx20 UBU</t>
        </is>
      </c>
      <c r="Q42" s="16" t="n"/>
    </row>
    <row r="43" ht="409.6" customHeight="1" s="49">
      <c r="A43" s="16" t="n">
        <v>41</v>
      </c>
      <c r="B43" s="20" t="inlineStr">
        <is>
          <t>จากสูตรโครงสร้างของ HCTZ จะใช้อะไรในการตรวจสอบเอกลักษณ์ของวัตถุดิบ</t>
        </is>
      </c>
      <c r="C43" s="16" t="n"/>
      <c r="D43" s="16" t="inlineStr">
        <is>
          <t>Fingerprint จาก FTIR</t>
        </is>
      </c>
      <c r="E43" s="16" t="inlineStr">
        <is>
          <t>Dragendorff’s reagent</t>
        </is>
      </c>
      <c r="F43" s="16" t="inlineStr">
        <is>
          <t>Spectrofluorometry</t>
        </is>
      </c>
      <c r="G43" s="16" t="inlineStr">
        <is>
          <t>TLC</t>
        </is>
      </c>
      <c r="H43" s="16" t="inlineStr">
        <is>
          <t>HILIC (Hydrophilic Interaction LC)</t>
        </is>
      </c>
      <c r="I43" s="16" t="n">
        <v>1</v>
      </c>
      <c r="J43" s="1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 t="n"/>
      <c r="L43" s="16" t="inlineStr">
        <is>
          <t>HPLC (Liquid Chromatography)</t>
        </is>
      </c>
      <c r="M43" s="16" t="inlineStr">
        <is>
          <t>Product</t>
        </is>
      </c>
      <c r="N43" s="16" t="inlineStr">
        <is>
          <t>ข้อ 2 (PLE_CC1_Key_Rx20_UBU.md)</t>
        </is>
      </c>
      <c r="O43" s="16" t="inlineStr">
        <is>
          <t>Mock</t>
        </is>
      </c>
      <c r="P43" s="16" t="inlineStr">
        <is>
          <t>Mock Rx20 UBU</t>
        </is>
      </c>
      <c r="Q43" s="16" t="n"/>
    </row>
    <row r="44" ht="409.6" customHeight="1" s="49">
      <c r="A44" s="16" t="n">
        <v>42</v>
      </c>
      <c r="B44" s="20" t="inlineStr">
        <is>
          <t>จากกราฟเป็นการวิเคราะห์โดยเครื่องมือใด</t>
        </is>
      </c>
      <c r="C44" s="16" t="n"/>
      <c r="D44" s="16" t="inlineStr">
        <is>
          <t>Chiral HPLC Separation Column</t>
        </is>
      </c>
      <c r="E44" s="16" t="inlineStr">
        <is>
          <t>HILIC (Hydrophilic Interaction LC)</t>
        </is>
      </c>
      <c r="F44" s="16" t="inlineStr">
        <is>
          <t>Ultra-High Performance LC (UHPLC)</t>
        </is>
      </c>
      <c r="G44" s="16" t="inlineStr">
        <is>
          <t>GC-Mass Spectrometry (GC-MS)</t>
        </is>
      </c>
      <c r="H44" s="16" t="inlineStr">
        <is>
          <t>Reversed-Phase HPLC</t>
        </is>
      </c>
      <c r="I44" s="16" t="n">
        <v>1</v>
      </c>
      <c r="J44" s="1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 t="n"/>
      <c r="L44" s="16" t="inlineStr">
        <is>
          <t>HPLC (Liquid Chromatography)</t>
        </is>
      </c>
      <c r="M44" s="16" t="inlineStr">
        <is>
          <t>Product</t>
        </is>
      </c>
      <c r="N44" s="16" t="inlineStr">
        <is>
          <t>ข้อ 82 (PLE_CC1_Key_Rx20_UBU.md)</t>
        </is>
      </c>
      <c r="O44" s="16" t="inlineStr">
        <is>
          <t>Mock</t>
        </is>
      </c>
      <c r="P44" s="16" t="inlineStr">
        <is>
          <t>Mock Rx20 UBU</t>
        </is>
      </c>
      <c r="Q44" s="16" t="n"/>
    </row>
    <row r="45" ht="409.6" customHeight="1" s="49">
      <c r="A45" s="16" t="n">
        <v>43</v>
      </c>
      <c r="B45" s="20" t="inlineStr">
        <is>
          <t>Gas chromatography</t>
        </is>
      </c>
      <c r="C45" s="16" t="n"/>
      <c r="D45" s="16" t="inlineStr">
        <is>
          <t>GC-Mass Spectrometry (GC-MS)</t>
        </is>
      </c>
      <c r="E45" s="16" t="inlineStr">
        <is>
          <t>Reversed-Phase HPLC</t>
        </is>
      </c>
      <c r="F45" s="16" t="inlineStr">
        <is>
          <t>Normal-Phase HPLC (Silica column)</t>
        </is>
      </c>
      <c r="G45" s="16" t="inlineStr">
        <is>
          <t>Gas Chromatography with FID detector</t>
        </is>
      </c>
      <c r="H45" s="16" t="inlineStr">
        <is>
          <t>Thin Layer Chromatography (TLC)</t>
        </is>
      </c>
      <c r="I45" s="16" t="n">
        <v>1</v>
      </c>
      <c r="J45" s="1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 t="n"/>
      <c r="L45" s="16" t="inlineStr">
        <is>
          <t>GC (Gas Chromatography)</t>
        </is>
      </c>
      <c r="M45" s="16" t="inlineStr">
        <is>
          <t>Product</t>
        </is>
      </c>
      <c r="N45" s="16" t="inlineStr">
        <is>
          <t>ข้อ 4 (PLE_CC1_Key_Rx20_UBU.md)</t>
        </is>
      </c>
      <c r="O45" s="16" t="inlineStr">
        <is>
          <t>Mock</t>
        </is>
      </c>
      <c r="P45" s="16" t="inlineStr">
        <is>
          <t>Mock Rx20 UBU</t>
        </is>
      </c>
      <c r="Q45" s="16" t="n"/>
    </row>
    <row r="46" ht="409.6" customHeight="1" s="49">
      <c r="A46" s="16" t="n">
        <v>44</v>
      </c>
      <c r="B46" s="20" t="inlineStr">
        <is>
          <t>MZ HPLC หาปริมาณสาร วิเคราะห_หาชนิดสาร NMR หาโครงสร$างของสาร AAS หาปริมาณสาร</t>
        </is>
      </c>
      <c r="C46" s="16" t="n"/>
      <c r="D46" s="16" t="inlineStr">
        <is>
          <t>Gas Chromatography with FID detector</t>
        </is>
      </c>
      <c r="E46" s="16" t="inlineStr">
        <is>
          <t>Thin Layer Chromatography (TLC)</t>
        </is>
      </c>
      <c r="F46" s="16" t="inlineStr">
        <is>
          <t>Ion-Exchange Chromatography (IEC)</t>
        </is>
      </c>
      <c r="G46" s="16" t="inlineStr">
        <is>
          <t>Size Exclusion Chromatography (SEC)</t>
        </is>
      </c>
      <c r="H46" s="16" t="inlineStr">
        <is>
          <t>Chiral HPLC Separation Column</t>
        </is>
      </c>
      <c r="I46" s="16" t="n">
        <v>2</v>
      </c>
      <c r="J46" s="1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 t="n"/>
      <c r="L46" s="16" t="inlineStr">
        <is>
          <t>HPLC (Liquid Chromatography)</t>
        </is>
      </c>
      <c r="M46" s="16" t="inlineStr">
        <is>
          <t>Product</t>
        </is>
      </c>
      <c r="N46" s="16" t="inlineStr">
        <is>
          <t>ข้อ 5 (PLE_CC1_Key_Rx20_UBU.md)</t>
        </is>
      </c>
      <c r="O46" s="16" t="inlineStr">
        <is>
          <t>Mock</t>
        </is>
      </c>
      <c r="P46" s="16" t="inlineStr">
        <is>
          <t>Mock Rx20 UBU</t>
        </is>
      </c>
      <c r="Q46" s="16" t="n"/>
    </row>
    <row r="47" ht="409.6" customHeight="1" s="49">
      <c r="A47" s="16" t="n">
        <v>45</v>
      </c>
      <c r="B47" s="20" t="inlineStr">
        <is>
          <t>Norfluoxetine เปลี่ยนแปลงโครงสร$างที่ตำแหนGงใด โจทย_ไมGสมบูรณ_ เปลี่ยนจาก Fluoxetine โดยตัด methyl ที่ Secondary amine ได$ Primary amine</t>
        </is>
      </c>
      <c r="C47" s="16" t="n"/>
      <c r="D47" s="16" t="inlineStr">
        <is>
          <t>Size Exclusion Chromatography (SEC)</t>
        </is>
      </c>
      <c r="E47" s="16" t="inlineStr">
        <is>
          <t>Chiral HPLC Separation Column</t>
        </is>
      </c>
      <c r="F47" s="16" t="inlineStr">
        <is>
          <t>HILIC (Hydrophilic Interaction LC)</t>
        </is>
      </c>
      <c r="G47" s="16" t="inlineStr">
        <is>
          <t>Ultra-High Performance LC (UHPLC)</t>
        </is>
      </c>
      <c r="H47" s="16" t="inlineStr">
        <is>
          <t>GC-Mass Spectrometry (GC-MS)</t>
        </is>
      </c>
      <c r="I47" s="16" t="n">
        <v>1</v>
      </c>
      <c r="J47" s="1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 t="n"/>
      <c r="L47" s="16" t="inlineStr">
        <is>
          <t>TLC (Thin Layer)</t>
        </is>
      </c>
      <c r="M47" s="16" t="inlineStr">
        <is>
          <t>Product</t>
        </is>
      </c>
      <c r="N47" s="16" t="inlineStr">
        <is>
          <t>ข้อ 76 (PLE_CC1_Key_Rx20_UBU.md)</t>
        </is>
      </c>
      <c r="O47" s="16" t="inlineStr">
        <is>
          <t>Mock</t>
        </is>
      </c>
      <c r="P47" s="16" t="inlineStr">
        <is>
          <t>Mock Rx20 UBU</t>
        </is>
      </c>
      <c r="Q47" s="16" t="n"/>
    </row>
    <row r="48" ht="409.6" customHeight="1" s="49">
      <c r="A48" s="16" t="n">
        <v>46</v>
      </c>
      <c r="B48" s="20" t="inlineStr">
        <is>
          <t>GC และ HPLC 11.) การ Modify โครงสร้างยาส่วนไหนทำให้มีฤทธิ์เพิ่มขึ้น</t>
        </is>
      </c>
      <c r="C48" s="16" t="n"/>
      <c r="D48" s="16" t="inlineStr">
        <is>
          <t>Ultra-High Performance LC (UHPLC)</t>
        </is>
      </c>
      <c r="E48" s="16" t="inlineStr">
        <is>
          <t>GC-Mass Spectrometry (GC-MS)</t>
        </is>
      </c>
      <c r="F48" s="16" t="inlineStr">
        <is>
          <t>Reversed-Phase HPLC</t>
        </is>
      </c>
      <c r="G48" s="16" t="inlineStr">
        <is>
          <t>Normal-Phase HPLC (Silica column)</t>
        </is>
      </c>
      <c r="H48" s="16" t="inlineStr">
        <is>
          <t>Gas Chromatography with FID detector</t>
        </is>
      </c>
      <c r="I48" s="16" t="n">
        <v>3</v>
      </c>
      <c r="J48" s="1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 t="n"/>
      <c r="L48" s="16" t="inlineStr">
        <is>
          <t>GC (Gas Chromatography)</t>
        </is>
      </c>
      <c r="M48" s="16" t="inlineStr">
        <is>
          <t>Product</t>
        </is>
      </c>
      <c r="N48" s="16" t="inlineStr">
        <is>
          <t>ข้อ 5 (PLE_CC1_Key_Rx20_UBU.md)</t>
        </is>
      </c>
      <c r="O48" s="16" t="inlineStr">
        <is>
          <t>Mock</t>
        </is>
      </c>
      <c r="P48" s="16" t="inlineStr">
        <is>
          <t>Mock Rx20 UBU</t>
        </is>
      </c>
      <c r="Q48" s="16" t="n"/>
    </row>
    <row r="49" ht="409.6" customHeight="1" s="49">
      <c r="A49" s="16" t="n">
        <v>47</v>
      </c>
      <c r="B49" s="20"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6" t="n"/>
      <c r="D49" s="16" t="inlineStr">
        <is>
          <t>100 %</t>
        </is>
      </c>
      <c r="E49" s="16" t="inlineStr">
        <is>
          <t>68 %</t>
        </is>
      </c>
      <c r="F49" s="16" t="inlineStr">
        <is>
          <t>146 %</t>
        </is>
      </c>
      <c r="G49" s="16" t="inlineStr">
        <is>
          <t>84 %</t>
        </is>
      </c>
      <c r="H49" s="16" t="inlineStr">
        <is>
          <t>72 %</t>
        </is>
      </c>
      <c r="I49" s="16" t="n">
        <v>1</v>
      </c>
      <c r="J49" s="1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 t="n"/>
      <c r="L49" s="16" t="inlineStr">
        <is>
          <t>HPLC (Liquid Chromatography)</t>
        </is>
      </c>
      <c r="M49" s="16" t="inlineStr">
        <is>
          <t>Product</t>
        </is>
      </c>
      <c r="N49" s="16" t="inlineStr">
        <is>
          <t>ข้อ 34 (PLE_CC1_Key_Rx20_UBU.md)</t>
        </is>
      </c>
      <c r="O49" s="16" t="inlineStr">
        <is>
          <t>Mock</t>
        </is>
      </c>
      <c r="P49" s="16" t="inlineStr">
        <is>
          <t>Mock Rx20 UBU</t>
        </is>
      </c>
      <c r="Q49" s="16" t="n"/>
    </row>
    <row r="50" ht="409.6" customHeight="1" s="49">
      <c r="A50" s="16" t="n">
        <v>48</v>
      </c>
      <c r="B50" s="20" t="inlineStr">
        <is>
          <t>วิธีใดเหมาะสมในการตรวจหา related substance ที่ปนเปื้อนอยู่ในวัตถุดิบ doxorubicin</t>
        </is>
      </c>
      <c r="C50" s="16" t="n"/>
      <c r="D50" s="16" t="inlineStr">
        <is>
          <t>UV spectrophotometer</t>
        </is>
      </c>
      <c r="E50" s="16" t="inlineStr">
        <is>
          <t>IR</t>
        </is>
      </c>
      <c r="F50" s="16" t="inlineStr">
        <is>
          <t>HPLC</t>
        </is>
      </c>
      <c r="G50" s="16" t="inlineStr">
        <is>
          <t>Fluorimeter</t>
        </is>
      </c>
      <c r="H50" s="16" t="inlineStr">
        <is>
          <t>Potentiometer substrate</t>
        </is>
      </c>
      <c r="I50" s="16" t="n">
        <v>3</v>
      </c>
      <c r="J50" s="1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 t="n"/>
      <c r="L50" s="16" t="inlineStr">
        <is>
          <t>HPLC (Liquid Chromatography)</t>
        </is>
      </c>
      <c r="M50" s="16" t="inlineStr">
        <is>
          <t>Product</t>
        </is>
      </c>
      <c r="N50" s="16" t="inlineStr">
        <is>
          <t>ข้อ 17 (PLE_CC1_Key_Rx20_UBU.md)</t>
        </is>
      </c>
      <c r="O50" s="16" t="inlineStr">
        <is>
          <t>Mock</t>
        </is>
      </c>
      <c r="P50" s="16" t="inlineStr">
        <is>
          <t>Mock Rx20 UBU</t>
        </is>
      </c>
      <c r="Q50" s="16" t="n"/>
    </row>
    <row r="51" ht="409.6" customHeight="1" s="49">
      <c r="A51" s="16" t="n">
        <v>49</v>
      </c>
      <c r="B51" s="20"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6" t="n"/>
      <c r="D51" s="16" t="inlineStr">
        <is>
          <t>ถ้ายามีความแรง 608 mg แสดงว่าผ่านมาตรฐาน</t>
        </is>
      </c>
      <c r="E51" s="16" t="inlineStr">
        <is>
          <t>Identification ใช้วิธี HPLC ดูจาก retention time เทียบกับสารมาตรฐาน</t>
        </is>
      </c>
      <c r="F51" s="16" t="inlineStr">
        <is>
          <t>ยาผ่านมาตรฐานเพราะทุกค่ามีปริมาณยาที่ละลายเกิน 80%</t>
        </is>
      </c>
      <c r="G51" s="16" t="inlineStr">
        <is>
          <t>ยาผ่านมาตรฐาน dissolution test เมื่อยาละลายหมดใน 45 นาที</t>
        </is>
      </c>
      <c r="H51" s="16" t="inlineStr">
        <is>
          <t>ยาไม่ผ่านมาตรฐานหากใช้ mobile phase ต่างชนิดจากที่ระบุใน USP</t>
        </is>
      </c>
      <c r="I51" s="16" t="n">
        <v>1</v>
      </c>
      <c r="J51" s="1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 t="n"/>
      <c r="L51" s="16" t="inlineStr">
        <is>
          <t>HPLC (Liquid Chromatography)</t>
        </is>
      </c>
      <c r="M51" s="16" t="inlineStr">
        <is>
          <t>Product</t>
        </is>
      </c>
      <c r="N51" s="16" t="inlineStr">
        <is>
          <t>ข้อ 45 (PLE_CC1_Key_Rx20_UBU.md)</t>
        </is>
      </c>
      <c r="O51" s="16" t="inlineStr">
        <is>
          <t>Mock</t>
        </is>
      </c>
      <c r="P51" s="16" t="inlineStr">
        <is>
          <t>Mock Rx20 UBU</t>
        </is>
      </c>
      <c r="Q51" s="16" t="n"/>
    </row>
    <row r="52" ht="13.2" customHeight="1" s="49">
      <c r="A52" s="35" t="n">
        <v>50</v>
      </c>
      <c r="B52" s="34" t="inlineStr">
        <is>
          <t>ค่า specific rotation -107° ถึง -109.5° ถามว่าใช้เครื่องมืออะไร</t>
        </is>
      </c>
      <c r="C52" s="35" t="n"/>
      <c r="D52" s="34" t="inlineStr">
        <is>
          <t>Polarimetry</t>
        </is>
      </c>
      <c r="E52" s="34" t="inlineStr">
        <is>
          <t>NMR</t>
        </is>
      </c>
      <c r="F52" s="34" t="inlineStr">
        <is>
          <t>IR</t>
        </is>
      </c>
      <c r="G52" s="34" t="inlineStr">
        <is>
          <t>HPLC</t>
        </is>
      </c>
      <c r="H52" s="34" t="inlineStr">
        <is>
          <t>Refractometry</t>
        </is>
      </c>
      <c r="I52" s="35" t="n">
        <v>1</v>
      </c>
      <c r="J52" s="34" t="inlineStr">
        <is>
          <t>✅ คำตอบที่ถูกต้อง: ข้อ ก. Polarimetry
💡 Background:
คำถามข้อสอบจริงใบประกอบวิชาชีพ PLE-CC 1 (Product) ปี 2567 ข้อ 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2" s="35" t="n"/>
      <c r="L52" s="34" t="inlineStr">
        <is>
          <t>Chromatographic Analysis</t>
        </is>
      </c>
      <c r="M52" s="35" t="inlineStr">
        <is>
          <t>Product</t>
        </is>
      </c>
      <c r="N52" s="34" t="inlineStr">
        <is>
          <t>ข้อสอบจริง Product ปี 2567 ข้อ 1</t>
        </is>
      </c>
      <c r="O52" s="35" t="inlineStr">
        <is>
          <t>ข้อสอบจริง</t>
        </is>
      </c>
      <c r="P52" s="35" t="inlineStr">
        <is>
          <t>ปี 2567</t>
        </is>
      </c>
    </row>
    <row r="53" ht="13.2" customHeight="1" s="49">
      <c r="A53" s="35" t="n">
        <v>51</v>
      </c>
      <c r="B53" s="34" t="inlineStr">
        <is>
          <t>ตามมาตรฐาน USP กำหนดให้Morphine sulphate มีค่า specific rotation อยู่ในช่วง xxx ถึง xxx (ค่าตัวเลขสมมติ) เทคนิคใดต่อไปนี้เหมาะสมที่สุดสำหรับการวัด specific rotation ของ Morphine sulphate</t>
        </is>
      </c>
      <c r="C53" s="35" t="n"/>
      <c r="D53" s="34" t="inlineStr">
        <is>
          <t>Refractometry</t>
        </is>
      </c>
      <c r="E53" s="34" t="inlineStr">
        <is>
          <t>Polarimetry</t>
        </is>
      </c>
      <c r="F53" s="34" t="inlineStr">
        <is>
          <t>UV spectroscopy</t>
        </is>
      </c>
      <c r="G53" s="34" t="inlineStr">
        <is>
          <t>HPLC</t>
        </is>
      </c>
      <c r="H53" s="34" t="inlineStr">
        <is>
          <t>Mass spectrometry</t>
        </is>
      </c>
      <c r="I53" s="35" t="n">
        <v>1</v>
      </c>
      <c r="J53" s="34" t="inlineStr">
        <is>
          <t>✅ คำตอบที่ถูกต้อง: ข้อ ก. Refractometry
💡 Background:
คำถามข้อสอบจริงใบประกอบวิชาชีพ PLE-CC 1 (Product) ปี 2567 ข้อ 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3" s="35" t="n"/>
      <c r="L53" s="34" t="inlineStr">
        <is>
          <t>Chromatographic Analysis</t>
        </is>
      </c>
      <c r="M53" s="35" t="inlineStr">
        <is>
          <t>Product</t>
        </is>
      </c>
      <c r="N53" s="34" t="inlineStr">
        <is>
          <t>ข้อสอบจริง Product ปี 2567 ข้อ 2</t>
        </is>
      </c>
      <c r="O53" s="35" t="inlineStr">
        <is>
          <t>ข้อสอบจริง</t>
        </is>
      </c>
      <c r="P53" s="35" t="inlineStr">
        <is>
          <t>ปี 2567</t>
        </is>
      </c>
    </row>
    <row r="54" ht="13.2" customHeight="1" s="49">
      <c r="A54" s="35" t="n">
        <v>52</v>
      </c>
      <c r="B54" s="34" t="inlineStr">
        <is>
          <t>โจทย์ให้ Assay เรื่องยา Ezetimibe ยาวๆ ระบุ Run time: NLT 2.4 times the retention time of ezetimibe peak ถ้าหากมี retention time = 5 การิเคราะห์นี้ควรใช้ run time ไม่น้อยกว่าเท่าไหร่</t>
        </is>
      </c>
      <c r="C54" s="35" t="n"/>
      <c r="D54" s="34" t="inlineStr">
        <is>
          <t>12</t>
        </is>
      </c>
      <c r="E54" s="34" t="inlineStr">
        <is>
          <t>5</t>
        </is>
      </c>
      <c r="F54" s="34" t="inlineStr">
        <is>
          <t>8</t>
        </is>
      </c>
      <c r="G54" s="34" t="inlineStr">
        <is>
          <t>10</t>
        </is>
      </c>
      <c r="H54" s="34" t="inlineStr">
        <is>
          <t>2.4</t>
        </is>
      </c>
      <c r="I54" s="35" t="n">
        <v>1</v>
      </c>
      <c r="J54" s="34" t="inlineStr">
        <is>
          <t>✅ คำตอบที่ถูกต้อง: ข้อ ก. 12
💡 Background:
คำถามข้อสอบจริงใบประกอบวิชาชีพ PLE-CC 1 (Product) ปี 2567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4" s="35" t="n"/>
      <c r="L54" s="34" t="inlineStr">
        <is>
          <t>Chromatographic Analysis</t>
        </is>
      </c>
      <c r="M54" s="35" t="inlineStr">
        <is>
          <t>Product</t>
        </is>
      </c>
      <c r="N54" s="34" t="inlineStr">
        <is>
          <t>ข้อสอบจริง Product ปี 2567 ข้อ 5</t>
        </is>
      </c>
      <c r="O54" s="35" t="inlineStr">
        <is>
          <t>ข้อสอบจริง</t>
        </is>
      </c>
      <c r="P54" s="35" t="inlineStr">
        <is>
          <t>ปี 2567</t>
        </is>
      </c>
    </row>
    <row r="55" ht="13.2" customHeight="1" s="49">
      <c r="A55" s="35" t="n">
        <v>53</v>
      </c>
      <c r="B55" s="34" t="inlineStr">
        <is>
          <t>หากทำการทดสอบคุณภาพยา mometasone furoate แล้วกำหนดค่า resolution อย่างน้อย 6 หมายความว่าอย่างไร</t>
        </is>
      </c>
      <c r="C55" s="35" t="n"/>
      <c r="D55" s="34" t="inlineStr">
        <is>
          <t>ตัวยามีความสม่ำเสมอไรซักอย่าง</t>
        </is>
      </c>
      <c r="E55" s="34" t="inlineStr">
        <is>
          <t>มีความสามารถในการแยกสารสองตัวอย่างชัดเจน</t>
        </is>
      </c>
      <c r="F55" s="34" t="inlineStr">
        <is>
          <t>มีความถูกต้องในการวัดสูง</t>
        </is>
      </c>
      <c r="G55" s="34" t="inlineStr">
        <is>
          <t>มีความแม่นยำในการวัด</t>
        </is>
      </c>
      <c r="H55" s="34" t="inlineStr">
        <is>
          <t>[NEED_REVIEW]</t>
        </is>
      </c>
      <c r="I55" s="35" t="n">
        <v>1</v>
      </c>
      <c r="J55" s="34" t="inlineStr">
        <is>
          <t>✅ คำตอบที่ถูกต้อง: ข้อ ก. ตัวยามีความสม่ำเสมอไรซักอย่าง
💡 Background:
คำถามข้อสอบจริงใบประกอบวิชาชีพ PLE-CC 1 (Product) ปี 2565 ข้อ 64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5" s="35" t="n"/>
      <c r="L55" s="34" t="inlineStr">
        <is>
          <t>Chromatographic Analysis</t>
        </is>
      </c>
      <c r="M55" s="35" t="inlineStr">
        <is>
          <t>Product</t>
        </is>
      </c>
      <c r="N55" s="34" t="inlineStr">
        <is>
          <t>ข้อสอบจริง Product ปี 2565 ข้อ 64</t>
        </is>
      </c>
      <c r="O55" s="35" t="inlineStr">
        <is>
          <t>ข้อสอบจริง</t>
        </is>
      </c>
      <c r="P55" s="35" t="inlineStr">
        <is>
          <t>ปี 2565</t>
        </is>
      </c>
    </row>
    <row r="56" ht="13.2" customHeight="1" s="49">
      <c r="A56" s="35" t="n">
        <v>54</v>
      </c>
      <c r="B56" s="34" t="inlineStr">
        <is>
          <t>ผู้ป่วยได้รับ hydrocortisone cream 1 % จะวิเคราะห์หาปริมาณสาระสำคัญด้วยเทคนิคใด</t>
        </is>
      </c>
      <c r="C56" s="35" t="n"/>
      <c r="D56" s="34" t="inlineStr">
        <is>
          <t>UV</t>
        </is>
      </c>
      <c r="E56" s="34" t="inlineStr">
        <is>
          <t>HPTLC</t>
        </is>
      </c>
      <c r="F56" s="34" t="inlineStr">
        <is>
          <t>HPLC</t>
        </is>
      </c>
      <c r="G56" s="34" t="inlineStr">
        <is>
          <t>Raman spectroscopy</t>
        </is>
      </c>
      <c r="H56" s="34" t="inlineStr">
        <is>
          <t>[NEED_REVIEW]</t>
        </is>
      </c>
      <c r="I56" s="35" t="n">
        <v>1</v>
      </c>
      <c r="J56" s="34" t="inlineStr">
        <is>
          <t>✅ คำตอบที่ถูกต้อง: ข้อ ก. UV
💡 Background:
คำถามข้อสอบจริงใบประกอบวิชาชีพ PLE-CC 1 (Product) ปี 2565 ข้อ 38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6" s="35" t="n"/>
      <c r="L56" s="34" t="inlineStr">
        <is>
          <t>Chromatographic Analysis</t>
        </is>
      </c>
      <c r="M56" s="35" t="inlineStr">
        <is>
          <t>Product</t>
        </is>
      </c>
      <c r="N56" s="34" t="inlineStr">
        <is>
          <t>ข้อสอบจริง Product ปี 2565 ข้อ 38</t>
        </is>
      </c>
      <c r="O56" s="35" t="inlineStr">
        <is>
          <t>ข้อสอบจริง</t>
        </is>
      </c>
      <c r="P56" s="35" t="inlineStr">
        <is>
          <t>ปี 2565</t>
        </is>
      </c>
    </row>
    <row r="57" ht="13.2" customHeight="1" s="49">
      <c r="A57" s="35" t="n">
        <v>55</v>
      </c>
      <c r="B57" s="34" t="inlineStr">
        <is>
          <t>การวิเคราะห์ยา paracetamol ใช้เครื่องมือใด [แนบรูป: ข้อสอบ Product ปี 2564 รหัสรูปภาพ image71]</t>
        </is>
      </c>
      <c r="C57" s="35" t="inlineStr">
        <is>
          <t>[แนบรูป: ข้อสอบ Product ปี 2564 รหัสรูปภาพ image71]</t>
        </is>
      </c>
      <c r="D57" s="34" t="inlineStr">
        <is>
          <t>Fluorescent</t>
        </is>
      </c>
      <c r="E57" s="34" t="inlineStr">
        <is>
          <t>HPLC</t>
        </is>
      </c>
      <c r="F57" s="34" t="inlineStr">
        <is>
          <t>UV</t>
        </is>
      </c>
      <c r="G57" s="34" t="inlineStr">
        <is>
          <t>IR</t>
        </is>
      </c>
      <c r="H57" s="34" t="inlineStr">
        <is>
          <t>X-ray diffraction</t>
        </is>
      </c>
      <c r="I57" s="35" t="n">
        <v>1</v>
      </c>
      <c r="J57" s="34" t="inlineStr">
        <is>
          <t>✅ คำตอบที่ถูกต้อง: ข้อ ก. Fluorescent
💡 Background:
คำถามข้อสอบจริงใบประกอบวิชาชีพ PLE-CC 1 (Product) ปี 2564 ข้อ 10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7" s="35" t="n"/>
      <c r="L57" s="34" t="inlineStr">
        <is>
          <t>Chromatographic Analysis</t>
        </is>
      </c>
      <c r="M57" s="35" t="inlineStr">
        <is>
          <t>Product</t>
        </is>
      </c>
      <c r="N57" s="34" t="inlineStr">
        <is>
          <t>ข้อสอบจริง Product ปี 2564 ข้อ 10</t>
        </is>
      </c>
      <c r="O57" s="35" t="inlineStr">
        <is>
          <t>ข้อสอบจริง</t>
        </is>
      </c>
      <c r="P57" s="35" t="inlineStr">
        <is>
          <t>ปี 2564</t>
        </is>
      </c>
    </row>
    <row r="58" ht="13.2" customHeight="1" s="49">
      <c r="A58" s="35" t="n">
        <v>56</v>
      </c>
      <c r="B58" s="34" t="inlineStr">
        <is>
          <t>จากรูป เป็นเครืองมือใด [แนบรูป: ข้อสอบ Product ปี 2564 รหัสรูปภาพ image72]</t>
        </is>
      </c>
      <c r="C58" s="35" t="inlineStr">
        <is>
          <t>[แนบรูป: ข้อสอบ Product ปี 2564 รหัสรูปภาพ image72]</t>
        </is>
      </c>
      <c r="D58" s="34" t="inlineStr">
        <is>
          <t>GC</t>
        </is>
      </c>
      <c r="E58" s="34" t="inlineStr">
        <is>
          <t>Gas-liquid chromatography</t>
        </is>
      </c>
      <c r="F58" s="34" t="inlineStr">
        <is>
          <t>HPLC</t>
        </is>
      </c>
      <c r="G58" s="34" t="inlineStr">
        <is>
          <t>Ion exchange chromatography</t>
        </is>
      </c>
      <c r="H58" s="34" t="inlineStr">
        <is>
          <t>TLC</t>
        </is>
      </c>
      <c r="I58" s="35" t="n">
        <v>1</v>
      </c>
      <c r="J58" s="34" t="inlineStr">
        <is>
          <t>✅ คำตอบที่ถูกต้อง: ข้อ ก. GC
💡 Background:
คำถามข้อสอบจริงใบประกอบวิชาชีพ PLE-CC 1 (Product) ปี 2564 ข้อ 16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8" s="35" t="n"/>
      <c r="L58" s="34" t="inlineStr">
        <is>
          <t>Chromatographic Analysis</t>
        </is>
      </c>
      <c r="M58" s="35" t="inlineStr">
        <is>
          <t>Product</t>
        </is>
      </c>
      <c r="N58" s="34" t="inlineStr">
        <is>
          <t>ข้อสอบจริง Product ปี 2564 ข้อ 16</t>
        </is>
      </c>
      <c r="O58" s="35" t="inlineStr">
        <is>
          <t>ข้อสอบจริง</t>
        </is>
      </c>
      <c r="P58" s="35" t="inlineStr">
        <is>
          <t>ปี 2564</t>
        </is>
      </c>
    </row>
    <row r="59" ht="13.2" customHeight="1" s="49">
      <c r="A59" s="35" t="n">
        <v>57</v>
      </c>
      <c r="B59" s="34" t="inlineStr">
        <is>
          <t>แกน X และ Y คืออะไรตามลำดับ [แนบรูป: ข้อสอบ Product ปี 2564 รหัสรูปภาพ image76]</t>
        </is>
      </c>
      <c r="C59" s="35" t="inlineStr">
        <is>
          <t>[แนบรูป: ข้อสอบ Product ปี 2564 รหัสรูปภาพ image76]</t>
        </is>
      </c>
      <c r="D59" s="34" t="inlineStr">
        <is>
          <t>X = Absorbance, Y = Wavelength</t>
        </is>
      </c>
      <c r="E59" s="34" t="inlineStr">
        <is>
          <t>X = %Transmittance, Y = Wave number</t>
        </is>
      </c>
      <c r="F59" s="34" t="inlineStr">
        <is>
          <t>X = %Transmittance, Y = Wavelength</t>
        </is>
      </c>
      <c r="G59" s="34" t="inlineStr">
        <is>
          <t>X = Wave number, Y = %Transmittance</t>
        </is>
      </c>
      <c r="H59" s="34" t="inlineStr">
        <is>
          <t>X = Absorbance, Y = Retention time</t>
        </is>
      </c>
      <c r="I59" s="35" t="n">
        <v>1</v>
      </c>
      <c r="J59" s="34" t="inlineStr">
        <is>
          <t>✅ คำตอบที่ถูกต้อง: ข้อ ก. X = Absorbance, Y = Wavelength
💡 Background:
คำถามข้อสอบจริงใบประกอบวิชาชีพ PLE-CC 1 (Product) ปี 2564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59" s="35" t="n"/>
      <c r="L59" s="34" t="inlineStr">
        <is>
          <t>Chromatographic Analysis</t>
        </is>
      </c>
      <c r="M59" s="35" t="inlineStr">
        <is>
          <t>Product</t>
        </is>
      </c>
      <c r="N59" s="34" t="inlineStr">
        <is>
          <t>ข้อสอบจริง Product ปี 2564 ข้อ 40</t>
        </is>
      </c>
      <c r="O59" s="35" t="inlineStr">
        <is>
          <t>ข้อสอบจริง</t>
        </is>
      </c>
      <c r="P59" s="35" t="inlineStr">
        <is>
          <t>ปี 2564</t>
        </is>
      </c>
    </row>
    <row r="60" ht="13.2" customHeight="1" s="49">
      <c r="A60" s="35" t="n">
        <v>58</v>
      </c>
      <c r="B60" s="34" t="inlineStr">
        <is>
          <t>ข้อใดเป็นการวิเคราะห์ปริมาณตัวยาสำคัญของยาเม็ดคุมกำเนิด Levonorgestrel และ Ethinyl estradiol</t>
        </is>
      </c>
      <c r="C60" s="35" t="n"/>
      <c r="D60" s="34" t="inlineStr">
        <is>
          <t>Titrimetry</t>
        </is>
      </c>
      <c r="E60" s="34" t="inlineStr">
        <is>
          <t>Mass spectrometry</t>
        </is>
      </c>
      <c r="F60" s="34" t="inlineStr">
        <is>
          <t>Infrared spectrometry</t>
        </is>
      </c>
      <c r="G60" s="34" t="inlineStr">
        <is>
          <t>UV spectrophotometry</t>
        </is>
      </c>
      <c r="H60" s="34" t="inlineStr">
        <is>
          <t>High performance liquid chromatography</t>
        </is>
      </c>
      <c r="I60" s="35" t="n">
        <v>1</v>
      </c>
      <c r="J60" s="34" t="inlineStr">
        <is>
          <t>✅ คำตอบที่ถูกต้อง: ข้อ ก. Titrimetry
💡 Background:
คำถามข้อสอบจริงใบประกอบวิชาชีพ PLE-CC 1 (Product) ปี 2564 ข้อ 77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0" s="35" t="n"/>
      <c r="L60" s="34" t="inlineStr">
        <is>
          <t>Chromatographic Analysis</t>
        </is>
      </c>
      <c r="M60" s="35" t="inlineStr">
        <is>
          <t>Product</t>
        </is>
      </c>
      <c r="N60" s="34" t="inlineStr">
        <is>
          <t>ข้อสอบจริง Product ปี 2564 ข้อ 77</t>
        </is>
      </c>
      <c r="O60" s="35" t="inlineStr">
        <is>
          <t>ข้อสอบจริง</t>
        </is>
      </c>
      <c r="P60" s="35" t="inlineStr">
        <is>
          <t>ปี 2564</t>
        </is>
      </c>
    </row>
    <row r="61" ht="13.2" customHeight="1" s="49">
      <c r="A61" s="35" t="n">
        <v>59</v>
      </c>
      <c r="B61" s="34" t="inlineStr">
        <is>
          <t>หากต้องการแยกอนุพันธ์ ตามภาพเป็นการแยกด้วยวิธีใด [แนบรูป: ข้อสอบ Product ปี 2564 รหัสรูปภาพ image85]</t>
        </is>
      </c>
      <c r="C61" s="35" t="inlineStr">
        <is>
          <t>[แนบรูป: ข้อสอบ Product ปี 2564 รหัสรูปภาพ image85]</t>
        </is>
      </c>
      <c r="D61" s="34" t="inlineStr">
        <is>
          <t>HPLC</t>
        </is>
      </c>
      <c r="E61" s="34" t="inlineStr">
        <is>
          <t>Capillary electrophoresis</t>
        </is>
      </c>
      <c r="F61" s="34" t="inlineStr">
        <is>
          <t>IR</t>
        </is>
      </c>
      <c r="G61" s="34" t="inlineStr">
        <is>
          <t>Atom absorption</t>
        </is>
      </c>
      <c r="H61" s="34" t="inlineStr">
        <is>
          <t>Mass spectrophotometer</t>
        </is>
      </c>
      <c r="I61" s="35" t="n">
        <v>1</v>
      </c>
      <c r="J61" s="34" t="inlineStr">
        <is>
          <t>✅ คำตอบที่ถูกต้อง: ข้อ ก. HPLC
💡 Background:
คำถามข้อสอบจริงใบประกอบวิชาชีพ PLE-CC 1 (Product) ปี 2564 ข้อ 90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1" s="35" t="n"/>
      <c r="L61" s="34" t="inlineStr">
        <is>
          <t>Chromatographic Analysis</t>
        </is>
      </c>
      <c r="M61" s="35" t="inlineStr">
        <is>
          <t>Product</t>
        </is>
      </c>
      <c r="N61" s="34" t="inlineStr">
        <is>
          <t>ข้อสอบจริง Product ปี 2564 ข้อ 90</t>
        </is>
      </c>
      <c r="O61" s="35" t="inlineStr">
        <is>
          <t>ข้อสอบจริง</t>
        </is>
      </c>
      <c r="P61" s="35" t="inlineStr">
        <is>
          <t>ปี 2564</t>
        </is>
      </c>
    </row>
    <row r="62" ht="13.2" customHeight="1" s="49">
      <c r="A62" s="35" t="n">
        <v>60</v>
      </c>
      <c r="B62" s="34" t="inlineStr">
        <is>
          <t>จากโครงสร้างของ griseofulvin การตรวจสอบคุณภาพใด ทำให้ได้ลักษณะเฉพาะที่ออกฤทธิ์ [แนบรูป: ข้อสอบ Product ปี 2564 รหัสรูปภาพ image87]</t>
        </is>
      </c>
      <c r="C62" s="35" t="inlineStr">
        <is>
          <t>[แนบรูป: ข้อสอบ Product ปี 2564 รหัสรูปภาพ image87]</t>
        </is>
      </c>
      <c r="D62" s="34" t="inlineStr">
        <is>
          <t>Refractive Index ❌ ใช้บอกดัชนีหักเหของสาร ไม่บอกโครงสร้างที่ออกฤทธิ์</t>
        </is>
      </c>
      <c r="E62" s="34" t="inlineStr">
        <is>
          <t>IR ❌ บอกหมู่ฟังก์ชัน ไม่แยก stereoisomer</t>
        </is>
      </c>
      <c r="F62" s="34" t="inlineStr">
        <is>
          <t>Polarization ✅ วัด Specific rotation ใช้ยืนยัน stereochemistry/optical activity ซึ่งมีผลต่อฤทธิ์ของ griseofulvin</t>
        </is>
      </c>
      <c r="G62" s="34" t="inlineStr">
        <is>
          <t>HPLC ❌ ใช้วิเคราะห์ปริมาณหรือความบริสุทธิ์ ไม่ได้บอก optical activity (ถ้าไม่ใช่ chiral HPLC)</t>
        </is>
      </c>
      <c r="H62" s="34" t="inlineStr">
        <is>
          <t>AAS ❌ ใช้วิเคราะห์ธาตุโลหะ</t>
        </is>
      </c>
      <c r="I62" s="35" t="n">
        <v>1</v>
      </c>
      <c r="J62" s="34" t="inlineStr">
        <is>
          <t>✅ คำตอบที่ถูกต้อง: ข้อ ก. Refractive Index ❌ ใช้บอกดัชนีหักเหของสาร ไม่บอกโครงสร้างที่ออกฤทธิ์
💡 Background:
คำถามข้อสอบจริงใบประกอบวิชาชีพ PLE-CC 1 (Product) ปี 2564 ข้อ 118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2" s="35" t="n"/>
      <c r="L62" s="34" t="inlineStr">
        <is>
          <t>Chromatographic Analysis</t>
        </is>
      </c>
      <c r="M62" s="35" t="inlineStr">
        <is>
          <t>Product</t>
        </is>
      </c>
      <c r="N62" s="34" t="inlineStr">
        <is>
          <t>ข้อสอบจริง Product ปี 2564 ข้อ 118</t>
        </is>
      </c>
      <c r="O62" s="35" t="inlineStr">
        <is>
          <t>ข้อสอบจริง</t>
        </is>
      </c>
      <c r="P62" s="35" t="inlineStr">
        <is>
          <t>ปี 2564</t>
        </is>
      </c>
    </row>
    <row r="63" ht="13.2" customHeight="1" s="49">
      <c r="A63" s="35" t="n">
        <v>61</v>
      </c>
      <c r="B63" s="34" t="inlineStr">
        <is>
          <t>ถ้าวิเคราะห์ ยา A ด้วย HPLC ได้ retention time ของ standard กับยา A เท่ากันแปลว่าอะไร</t>
        </is>
      </c>
      <c r="C63" s="35" t="n"/>
      <c r="D63" s="34" t="inlineStr">
        <is>
          <t>ยา กับ standard เป็นสารคนละตัวกัน</t>
        </is>
      </c>
      <c r="E63" s="34" t="inlineStr">
        <is>
          <t>เวลาที่ standard กับ ยา A อยู่ใน column เท่ากัน</t>
        </is>
      </c>
      <c r="F63" s="34" t="inlineStr">
        <is>
          <t>ยา A เป็น by product ของ standard</t>
        </is>
      </c>
      <c r="G63" s="34" t="inlineStr">
        <is>
          <t>ยา A มีความชอบกับ Stationary phase ใน column มากกว่า standard</t>
        </is>
      </c>
      <c r="H63" s="34" t="inlineStr">
        <is>
          <t>ยา 2 กับ Standard มีปริมาณเท่ากัน</t>
        </is>
      </c>
      <c r="I63" s="35" t="n">
        <v>1</v>
      </c>
      <c r="J63" s="34" t="inlineStr">
        <is>
          <t>✅ คำตอบที่ถูกต้อง: ข้อ ก. ยา กับ standard เป็นสารคนละตัวกัน
💡 Background:
คำถามข้อสอบจริงใบประกอบวิชาชีพ PLE-CC 1 (Product) ปี 2564 ข้อ 132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3" s="35" t="n"/>
      <c r="L63" s="34" t="inlineStr">
        <is>
          <t>Chromatographic Analysis</t>
        </is>
      </c>
      <c r="M63" s="35" t="inlineStr">
        <is>
          <t>Product</t>
        </is>
      </c>
      <c r="N63" s="34" t="inlineStr">
        <is>
          <t>ข้อสอบจริง Product ปี 2564 ข้อ 132</t>
        </is>
      </c>
      <c r="O63" s="35" t="inlineStr">
        <is>
          <t>ข้อสอบจริง</t>
        </is>
      </c>
      <c r="P63" s="35" t="inlineStr">
        <is>
          <t>ปี 2564</t>
        </is>
      </c>
    </row>
    <row r="64" ht="13.2" customHeight="1" s="49">
      <c r="A64" s="35" t="n">
        <v>62</v>
      </c>
      <c r="B64" s="34" t="inlineStr">
        <is>
          <t>จากรูปเป็นการวิเคราะห์โดยใช้เครื่องมือใด [แนบรูป: ข้อสอบ Product ปี 2564 รหัสรูปภาพ image89]</t>
        </is>
      </c>
      <c r="C64" s="35" t="inlineStr">
        <is>
          <t>[แนบรูป: ข้อสอบ Product ปี 2564 รหัสรูปภาพ image89]</t>
        </is>
      </c>
      <c r="D64" s="34" t="inlineStr">
        <is>
          <t>กราฟ DSC</t>
        </is>
      </c>
      <c r="E64" s="34" t="inlineStr">
        <is>
          <t>กราฟ UV</t>
        </is>
      </c>
      <c r="F64" s="34" t="inlineStr">
        <is>
          <t>กราฟ IR</t>
        </is>
      </c>
      <c r="G64" s="34" t="inlineStr">
        <is>
          <t>กราฟ HPLC</t>
        </is>
      </c>
      <c r="H64" s="34" t="inlineStr">
        <is>
          <t>กราฟ AAS</t>
        </is>
      </c>
      <c r="I64" s="35" t="n">
        <v>1</v>
      </c>
      <c r="J64" s="34" t="inlineStr">
        <is>
          <t>✅ คำตอบที่ถูกต้อง: ข้อ ก. กราฟ DSC
💡 Background:
คำถามข้อสอบจริงใบประกอบวิชาชีพ PLE-CC 1 (Product) ปี 2564 ข้อ 152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4" s="35" t="n"/>
      <c r="L64" s="34" t="inlineStr">
        <is>
          <t>Chromatographic Analysis</t>
        </is>
      </c>
      <c r="M64" s="35" t="inlineStr">
        <is>
          <t>Product</t>
        </is>
      </c>
      <c r="N64" s="34" t="inlineStr">
        <is>
          <t>ข้อสอบจริง Product ปี 2564 ข้อ 152</t>
        </is>
      </c>
      <c r="O64" s="35" t="inlineStr">
        <is>
          <t>ข้อสอบจริง</t>
        </is>
      </c>
      <c r="P64" s="35" t="inlineStr">
        <is>
          <t>ปี 2564</t>
        </is>
      </c>
    </row>
    <row r="65" ht="13.2" customHeight="1" s="49">
      <c r="A65" s="35" t="n">
        <v>63</v>
      </c>
      <c r="B65" s="34" t="inlineStr">
        <is>
          <t>ข้อใดคือวิธีวิเคราะห์ EPO ตาม British pharmacopoeia</t>
        </is>
      </c>
      <c r="C65" s="35" t="n"/>
      <c r="D65" s="34" t="inlineStr">
        <is>
          <t>IR</t>
        </is>
      </c>
      <c r="E65" s="34" t="inlineStr">
        <is>
          <t>TLC</t>
        </is>
      </c>
      <c r="F65" s="34" t="inlineStr">
        <is>
          <t>Refractometer</t>
        </is>
      </c>
      <c r="G65" s="34" t="inlineStr">
        <is>
          <t>Optical rotation</t>
        </is>
      </c>
      <c r="H65" s="34" t="inlineStr">
        <is>
          <t>Peptide mapping</t>
        </is>
      </c>
      <c r="I65" s="35" t="n">
        <v>1</v>
      </c>
      <c r="J65" s="34" t="inlineStr">
        <is>
          <t>✅ คำตอบที่ถูกต้อง: ข้อ ก. IR
💡 Background:
คำถามข้อสอบจริงใบประกอบวิชาชีพ PLE-CC 1 (Product) ปี 2564 ข้อ 162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5" s="35" t="n"/>
      <c r="L65" s="34" t="inlineStr">
        <is>
          <t>Chromatographic Analysis</t>
        </is>
      </c>
      <c r="M65" s="35" t="inlineStr">
        <is>
          <t>Product</t>
        </is>
      </c>
      <c r="N65" s="34" t="inlineStr">
        <is>
          <t>ข้อสอบจริง Product ปี 2564 ข้อ 162</t>
        </is>
      </c>
      <c r="O65" s="35" t="inlineStr">
        <is>
          <t>ข้อสอบจริง</t>
        </is>
      </c>
      <c r="P65" s="35" t="inlineStr">
        <is>
          <t>ปี 2564</t>
        </is>
      </c>
    </row>
    <row r="66" ht="13.2" customHeight="1" s="49">
      <c r="A66" s="35" t="n">
        <v>64</v>
      </c>
      <c r="B66" s="34" t="inlineStr">
        <is>
          <t>หากต้องการแยกอนุพันธ์ ตามภาพเป็นการแยกโดยวิธีใด ต้นฉบับ: Day 1 ข้อ 100 [แนบรูป: ข้อสอบ Product ปี 2563 รหัสรูปภาพ image94] รูปประกอบจากข้อสอบต้นฉบับ</t>
        </is>
      </c>
      <c r="C66" s="35" t="inlineStr">
        <is>
          <t>[แนบรูป: ข้อสอบ Product ปี 2563 รหัสรูปภาพ image94]</t>
        </is>
      </c>
      <c r="D66" s="34" t="inlineStr">
        <is>
          <t>HPLC</t>
        </is>
      </c>
      <c r="E66" s="34" t="inlineStr">
        <is>
          <t>Capillary electrophoresis</t>
        </is>
      </c>
      <c r="F66" s="34" t="inlineStr">
        <is>
          <t>IR</t>
        </is>
      </c>
      <c r="G66" s="34" t="inlineStr">
        <is>
          <t>Atomic absorption spectrophotometry</t>
        </is>
      </c>
      <c r="H66" s="34" t="inlineStr">
        <is>
          <t>Mass spectrometer</t>
        </is>
      </c>
      <c r="I66" s="35" t="n">
        <v>1</v>
      </c>
      <c r="J66" s="34" t="inlineStr">
        <is>
          <t>✅ คำตอบที่ถูกต้อง: ข้อ ก. HPLC
💡 Background:
คำถามข้อสอบจริงใบประกอบวิชาชีพ PLE-CC 1 (Product) ปี 2563 ข้อ 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6" s="35" t="n"/>
      <c r="L66" s="34" t="inlineStr">
        <is>
          <t>Chromatographic Analysis</t>
        </is>
      </c>
      <c r="M66" s="35" t="inlineStr">
        <is>
          <t>Product</t>
        </is>
      </c>
      <c r="N66" s="34" t="inlineStr">
        <is>
          <t>ข้อสอบจริง Product ปี 2563 ข้อ 9</t>
        </is>
      </c>
      <c r="O66" s="35" t="inlineStr">
        <is>
          <t>ข้อสอบจริง</t>
        </is>
      </c>
      <c r="P66" s="35" t="inlineStr">
        <is>
          <t>ปี 2563</t>
        </is>
      </c>
    </row>
    <row r="67" ht="13.2" customHeight="1" s="49">
      <c r="A67" s="35" t="n">
        <v>65</v>
      </c>
      <c r="B67" s="34" t="inlineStr">
        <is>
          <t>ข้อใดคือวิธีวิเคราะห์ในการควบคุมคุณภาพยาโครงสร้างต่อไปนี้ ต้นฉบับ: Day 2 ข้อ 64 [แนบรูป: ข้อสอบ Product ปี 2563 รหัสรูปภาพ image95] รูปประกอบจากข้อสอบต้นฉบับ</t>
        </is>
      </c>
      <c r="C67" s="35" t="inlineStr">
        <is>
          <t>[แนบรูป: ข้อสอบ Product ปี 2563 รหัสรูปภาพ image95]</t>
        </is>
      </c>
      <c r="D67" s="34" t="inlineStr">
        <is>
          <t>Confocal microscope</t>
        </is>
      </c>
      <c r="E67" s="34" t="inlineStr">
        <is>
          <t>Immunohistochemistry</t>
        </is>
      </c>
      <c r="F67" s="34" t="inlineStr">
        <is>
          <t>NMR</t>
        </is>
      </c>
      <c r="G67" s="34" t="inlineStr">
        <is>
          <t>Atomic force</t>
        </is>
      </c>
      <c r="H67" s="34" t="inlineStr">
        <is>
          <t>HPLC</t>
        </is>
      </c>
      <c r="I67" s="35" t="n">
        <v>5</v>
      </c>
      <c r="J67" s="34" t="inlineStr">
        <is>
          <t>✅ คำตอบที่ถูกต้อง: ข้อ จ. HPLC | คำตอบ: e) HPLC การควบคุมคุณภาพต้องแยกตัวยาออกจากสิ่งเจือปนก่อนหาปริมาณ ซึ่ง HPLC ทำได้ทั้งสองอย่าง ข้อที่ไม่ถูก a) Confocal microscope ใช้ดูภาพตัวอย่าง b) Immunohistochemistry ใช้ตรวจ antigen ในเนื้อเยื่อ c) NMR เหมาะกับการยืนยันโครงสร้างมากกว่างาน assay d) Atomic force microscopy ใช้ศึกษาพื้นผิวระดับนาโน | | :---- | 
💡 Background:
คำถามข้อสอบจริงใบประกอบวิชาชีพ PLE-CC 1 (Product) ปี 2563 ข้อ 10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7" s="35" t="n"/>
      <c r="L67" s="34" t="inlineStr">
        <is>
          <t>Chromatographic Analysis</t>
        </is>
      </c>
      <c r="M67" s="35" t="inlineStr">
        <is>
          <t>Product</t>
        </is>
      </c>
      <c r="N67" s="34" t="inlineStr">
        <is>
          <t>ข้อสอบจริง Product ปี 2563 ข้อ 10</t>
        </is>
      </c>
      <c r="O67" s="35" t="inlineStr">
        <is>
          <t>ข้อสอบจริง</t>
        </is>
      </c>
      <c r="P67" s="35" t="inlineStr">
        <is>
          <t>ปี 2563</t>
        </is>
      </c>
    </row>
    <row r="68" ht="13.2" customHeight="1" s="49">
      <c r="A68" s="35" t="n">
        <v>66</v>
      </c>
      <c r="B68" s="34" t="inlineStr">
        <is>
          <t>ข้อใดเป็นการวิเคราะห์ปริมาณตัวยาสำคัญของยาเม็ดคุมกำเนิด Levonorgestrel และ Ethinyl estradiol ต้นฉบับ: Day 2 ข้อ 68</t>
        </is>
      </c>
      <c r="C68" s="35" t="n"/>
      <c r="D68" s="34" t="inlineStr">
        <is>
          <t>Titrimetry</t>
        </is>
      </c>
      <c r="E68" s="34" t="inlineStr">
        <is>
          <t>Mass spectrometry</t>
        </is>
      </c>
      <c r="F68" s="34" t="inlineStr">
        <is>
          <t>Infrared spectrometry</t>
        </is>
      </c>
      <c r="G68" s="34" t="inlineStr">
        <is>
          <t>UV spectrophotometry</t>
        </is>
      </c>
      <c r="H68" s="34" t="inlineStr">
        <is>
          <t>High performance liquid chromatography</t>
        </is>
      </c>
      <c r="I68" s="35" t="n">
        <v>5</v>
      </c>
      <c r="J68" s="34" t="inlineStr">
        <is>
          <t>✅ คำตอบที่ถูกต้อง: ข้อ จ. High performance liquid chromatography | คำตอบ: e) HPLC ยาเม็ดมีตัวยาสองชนิดในปริมาณต่ำ จึงต้องแยก levonorgestrel และ ethinylestradiol ก่อนหาปริมาณ ข้อที่ไม่ถูก a) Titrimetry ไม่จำเพาะพอสำหรับตัวยาสองชนิดในตำรับเดียวกัน b) Mass spectrometry ไม่ใช่วิธี routine assay ที่เหมาะที่สุดในตัวเลือกนี้ c) IR ใช้ยืนยันเอกลักษณ์เป็นหลัก d) UV อาจถูกรบกวนจากการดูดกลืนของสารทั้งสองชนิด | | :---- | 
💡 Background:
คำถามข้อสอบจริงใบประกอบวิชาชีพ PLE-CC 1 (Product) ปี 2563 ข้อ 11
🎯 ทำไมข้อนี้ถึงถูก:
ข้อ จ.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8" s="35" t="n"/>
      <c r="L68" s="34" t="inlineStr">
        <is>
          <t>Chromatographic Analysis</t>
        </is>
      </c>
      <c r="M68" s="35" t="inlineStr">
        <is>
          <t>Product</t>
        </is>
      </c>
      <c r="N68" s="34" t="inlineStr">
        <is>
          <t>ข้อสอบจริง Product ปี 2563 ข้อ 11</t>
        </is>
      </c>
      <c r="O68" s="35" t="inlineStr">
        <is>
          <t>ข้อสอบจริง</t>
        </is>
      </c>
      <c r="P68" s="35" t="inlineStr">
        <is>
          <t>ปี 2563</t>
        </is>
      </c>
    </row>
    <row r="69" ht="13.2" customHeight="1" s="49">
      <c r="A69" s="35" t="n">
        <v>67</v>
      </c>
      <c r="B69" s="34" t="inlineStr">
        <is>
          <t>สูตรคำนวณ VC(rU/rS) เป็นการเทียบพื้นที่ใต้พีค (peak area) ระหว่างตัวอย่างกับสารมาตรฐาน ซึ่งเป็นวิธีคำนวณ %LA (percent label amount) ของ chromatography   นอกจากนี้ยังมี system suitability ที่กำหนด resolution \&gt; 3 ระหว่าง simvastatin กับ lovastatin และ RSD ไม่เกิน 1.0% ซึ่งเป็นข้อกำหนดเฉพาะของ chromatographic method | | :---- | ข้อ 72. ยา gemfibrozil มีคุณสมบัติการละลายในน้ำเป็นแบบ water soluble มีจุดหลอมเหลว 65 องศา หากต้องการทำยาด้วยวิธี wet granulation condition ใดที่เหมาะสมที่สุด</t>
        </is>
      </c>
      <c r="C69" s="35" t="n"/>
      <c r="D69" s="34" t="inlineStr">
        <is>
          <t>colloidal silicon dioxide</t>
        </is>
      </c>
      <c r="E69" s="34" t="inlineStr">
        <is>
          <t>sodium lauryl sulfate</t>
        </is>
      </c>
      <c r="F69" s="34" t="inlineStr">
        <is>
          <t>microcrystalline cellulose</t>
        </is>
      </c>
      <c r="G69" s="34" t="inlineStr">
        <is>
          <t>sodium starch glycolate</t>
        </is>
      </c>
      <c r="H69" s="34" t="inlineStr">
        <is>
          <t>magnesium stearate |</t>
        </is>
      </c>
      <c r="I69" s="35" t="n">
        <v>1</v>
      </c>
      <c r="J69" s="34" t="inlineStr">
        <is>
          <t>✅ คำตอบที่ถูกต้อง: ข้อ ก. colloidal silicon dioxide
💡 Background:
คำถามข้อสอบจริงใบประกอบวิชาชีพ PLE-CC 1 (Product) ปี 2562 ข้อ 5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69" s="35" t="n"/>
      <c r="L69" s="34" t="inlineStr">
        <is>
          <t>Chromatographic Analysis</t>
        </is>
      </c>
      <c r="M69" s="35" t="inlineStr">
        <is>
          <t>Product</t>
        </is>
      </c>
      <c r="N69" s="34" t="inlineStr">
        <is>
          <t>ข้อสอบจริง Product ปี 2562 ข้อ 5</t>
        </is>
      </c>
      <c r="O69" s="35" t="inlineStr">
        <is>
          <t>ข้อสอบจริง</t>
        </is>
      </c>
      <c r="P69" s="35" t="inlineStr">
        <is>
          <t>ปี 2562</t>
        </is>
      </c>
    </row>
    <row r="70" ht="13.2" customHeight="1" s="49">
      <c r="A70" s="35" t="n">
        <v>68</v>
      </c>
      <c r="B70" s="34" t="inlineStr">
        <is>
          <t>ต้องแยกจากสารสลายตัวและ excipient — HPLC เป็น stability-indicating method ที่แยกตัวยาออกจากสารสลายตัวได้ จึงเป็นวิธีมาตรฐานตาม USP/BP สำหรับยาเม็ดคุมกำเนิด   สภาวะที่ใช้ทั่วไป: คอลัมน์ C18 (reversed phase), mobile phase acetonitrile:water, UV detector ที่ 210–280 nm | | :---- | ## สถานการณ์ที่ 7 ผู้ป่วยหญิงอายุ 54 ปี เป็นมะเร็งเต้านมระยะเบื้องต้น ได้รับการรักษาด้วยยา trastuzumab มาพบแพทย์ตามปกติ พบว่าอาการเป็นปกติ BP 150/65 (วัดครั้งก่อน 145/70) HR 100 bpm ได้รับการวินิจฉัยว่ามีภาวะความดันโลหิตสูง ข้อ 58. กระบวนการใดเหมาะสมในการผลิต trastuzumab powder for infusion ซึ่งเป็นชนิด monoclonal antibody เช่น</t>
        </is>
      </c>
      <c r="C70" s="35" t="n"/>
      <c r="D70" s="34" t="inlineStr">
        <is>
          <t>Tray drying</t>
        </is>
      </c>
      <c r="E70" s="34" t="inlineStr">
        <is>
          <t>Microwave drying</t>
        </is>
      </c>
      <c r="F70" s="34" t="inlineStr">
        <is>
          <t>Spray drying</t>
        </is>
      </c>
      <c r="G70" s="34" t="inlineStr">
        <is>
          <t>Freeze drying</t>
        </is>
      </c>
      <c r="H70" s="34" t="inlineStr">
        <is>
          <t>Infrared drying |</t>
        </is>
      </c>
      <c r="I70" s="35" t="n">
        <v>1</v>
      </c>
      <c r="J70" s="34" t="inlineStr">
        <is>
          <t>✅ คำตอบที่ถูกต้อง: ข้อ ก. Tray drying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0" s="35" t="n"/>
      <c r="L70" s="34" t="inlineStr">
        <is>
          <t>Chromatographic Analysis</t>
        </is>
      </c>
      <c r="M70" s="35" t="inlineStr">
        <is>
          <t>Product</t>
        </is>
      </c>
      <c r="N70" s="34" t="inlineStr">
        <is>
          <t>ข้อสอบจริง Product ปี 2562 ข้อ 3</t>
        </is>
      </c>
      <c r="O70" s="35" t="inlineStr">
        <is>
          <t>ข้อสอบจริง</t>
        </is>
      </c>
      <c r="P70" s="35" t="inlineStr">
        <is>
          <t>ปี 2562</t>
        </is>
      </c>
    </row>
    <row r="71" ht="13.2" customHeight="1" s="49">
      <c r="A71" s="35" t="n">
        <v>69</v>
      </c>
      <c r="B71" s="34" t="inlineStr">
        <is>
          <t>ถ้าวิเคราะห์ยา A ด้วย HPLC ได้ retention time ของ standard เท่ากับยา A หมายความว่าอย่างไร</t>
        </is>
      </c>
      <c r="C71" s="35" t="n"/>
      <c r="D71" s="34" t="inlineStr">
        <is>
          <t>ยา A กับ standard มีปริมาณเท่ากัน</t>
        </is>
      </c>
      <c r="E71" s="34" t="inlineStr">
        <is>
          <t>ยากับ standard เป็นสารคนละตัวกัน</t>
        </is>
      </c>
      <c r="F71" s="34" t="inlineStr">
        <is>
          <t>ยา A เป็น by product ของ standard</t>
        </is>
      </c>
      <c r="G71" s="34" t="inlineStr">
        <is>
          <t>เวลาที่ standard กับยา A อยู่ใน column เท่ากัน</t>
        </is>
      </c>
      <c r="H71" s="34" t="inlineStr">
        <is>
          <t>ยา A มีความชอบพอกับ stationary phase ใน column มากกว่า standard</t>
        </is>
      </c>
      <c r="I71" s="35" t="n">
        <v>1</v>
      </c>
      <c r="J71" s="34" t="inlineStr">
        <is>
          <t>✅ คำตอบที่ถูกต้อง: ข้อ ก. ยา A กับ standard มีปริมาณเท่ากัน
💡 Background:
คำถามข้อสอบจริงใบประกอบวิชาชีพ PLE-CC 1 (Product) ปี 2561 ข้อ 31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1" s="35" t="n"/>
      <c r="L71" s="34" t="inlineStr">
        <is>
          <t>Chromatographic Analysis</t>
        </is>
      </c>
      <c r="M71" s="35" t="inlineStr">
        <is>
          <t>Product</t>
        </is>
      </c>
      <c r="N71" s="34" t="inlineStr">
        <is>
          <t>ข้อสอบจริง Product ปี 2561 ข้อ 31</t>
        </is>
      </c>
      <c r="O71" s="35" t="inlineStr">
        <is>
          <t>ข้อสอบจริง</t>
        </is>
      </c>
      <c r="P71" s="35" t="inlineStr">
        <is>
          <t>ปี 2561</t>
        </is>
      </c>
    </row>
    <row r="72" ht="13.2" customHeight="1" s="49">
      <c r="A72" s="35" t="n">
        <v>70</v>
      </c>
      <c r="B72" s="34" t="inlineStr">
        <is>
          <t>จงคำนวณหาค่า resolution ของ omeprazole กับ omeprazole related A โดยเครื่อง HPLC กำหนดให้ T_R1=3, T_R2=6, W1=0.3, W2=0.325 สูตรในการคำนวณ: [แนบรูป: ข้อสอบ Product ปี 2561 รหัสรูปภาพ image109]</t>
        </is>
      </c>
      <c r="C72" s="35" t="inlineStr">
        <is>
          <t>[แนบรูป: ข้อสอบ Product ปี 2561 รหัสรูปภาพ image109]</t>
        </is>
      </c>
      <c r="D72" s="34" t="inlineStr">
        <is>
          <t>2.4</t>
        </is>
      </c>
      <c r="E72" s="34" t="inlineStr">
        <is>
          <t>4.8</t>
        </is>
      </c>
      <c r="F72" s="34" t="inlineStr">
        <is>
          <t>9.6</t>
        </is>
      </c>
      <c r="G72" s="34" t="inlineStr">
        <is>
          <t>3</t>
        </is>
      </c>
      <c r="H72" s="34" t="inlineStr">
        <is>
          <t>0.625</t>
        </is>
      </c>
      <c r="I72" s="35" t="n">
        <v>1</v>
      </c>
      <c r="J72" s="34" t="inlineStr">
        <is>
          <t>✅ คำตอบที่ถูกต้อง: ข้อ ก. 2.4
💡 Background:
คำถามข้อสอบจริงใบประกอบวิชาชีพ PLE-CC 1 (Product) ปี 2561 ข้อ 40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2" s="35" t="n"/>
      <c r="L72" s="34" t="inlineStr">
        <is>
          <t>Chromatographic Analysis</t>
        </is>
      </c>
      <c r="M72" s="35" t="inlineStr">
        <is>
          <t>Product</t>
        </is>
      </c>
      <c r="N72" s="34" t="inlineStr">
        <is>
          <t>ข้อสอบจริง Product ปี 2561 ข้อ 40</t>
        </is>
      </c>
      <c r="O72" s="35" t="inlineStr">
        <is>
          <t>ข้อสอบจริง</t>
        </is>
      </c>
      <c r="P72" s="35" t="inlineStr">
        <is>
          <t>ปี 2561</t>
        </is>
      </c>
    </row>
    <row r="73" ht="13.2" customHeight="1" s="49">
      <c r="A73" s="35" t="n">
        <v>71</v>
      </c>
      <c r="B73" s="34" t="inlineStr">
        <is>
          <t>หากต้องการตรวจหาปริมาณ EE และ levonogestrel ที่ประกอบอยู่ในยาเม็ด ควรใช้วิธีใด</t>
        </is>
      </c>
      <c r="C73" s="35" t="n"/>
      <c r="D73" s="34" t="inlineStr">
        <is>
          <t>HPLC</t>
        </is>
      </c>
      <c r="E73" s="34" t="inlineStr">
        <is>
          <t>Mass spectroscopy</t>
        </is>
      </c>
      <c r="F73" s="34" t="inlineStr">
        <is>
          <t>UV-Vis spectroscopy</t>
        </is>
      </c>
      <c r="G73" s="34" t="inlineStr">
        <is>
          <t>Infrared spectroscopy</t>
        </is>
      </c>
      <c r="H73" s="34" t="inlineStr">
        <is>
          <t>Planar chromatography</t>
        </is>
      </c>
      <c r="I73" s="35" t="n">
        <v>1</v>
      </c>
      <c r="J73" s="34" t="inlineStr">
        <is>
          <t>✅ คำตอบที่ถูกต้อง: ข้อ ก. HPLC
💡 Background:
คำถามข้อสอบจริงใบประกอบวิชาชีพ PLE-CC 1 (Product) ปี 2561 ข้อ 63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3" s="35" t="n"/>
      <c r="L73" s="34" t="inlineStr">
        <is>
          <t>Chromatographic Analysis</t>
        </is>
      </c>
      <c r="M73" s="35" t="inlineStr">
        <is>
          <t>Product</t>
        </is>
      </c>
      <c r="N73" s="34" t="inlineStr">
        <is>
          <t>ข้อสอบจริง Product ปี 2561 ข้อ 63</t>
        </is>
      </c>
      <c r="O73" s="35" t="inlineStr">
        <is>
          <t>ข้อสอบจริง</t>
        </is>
      </c>
      <c r="P73" s="35" t="inlineStr">
        <is>
          <t>ปี 2561</t>
        </is>
      </c>
    </row>
    <row r="74" ht="13.2" customHeight="1" s="49">
      <c r="A74" s="35" t="n">
        <v>72</v>
      </c>
      <c r="B74" s="34" t="inlineStr">
        <is>
          <t>ควรใช้เครื่องมือใดในการพิสูจน์เอกลักษณ์ metformin raw material</t>
        </is>
      </c>
      <c r="C74" s="35" t="n"/>
      <c r="D74" s="34" t="inlineStr">
        <is>
          <t>IR</t>
        </is>
      </c>
      <c r="E74" s="34" t="inlineStr">
        <is>
          <t>TLC</t>
        </is>
      </c>
      <c r="F74" s="34" t="inlineStr">
        <is>
          <t>UV-vis</t>
        </is>
      </c>
      <c r="G74" s="34" t="inlineStr">
        <is>
          <t>Fluorescence</t>
        </is>
      </c>
      <c r="H74" s="34" t="inlineStr">
        <is>
          <t>X-ray diffraction</t>
        </is>
      </c>
      <c r="I74" s="35" t="n">
        <v>1</v>
      </c>
      <c r="J74" s="34" t="inlineStr">
        <is>
          <t>✅ คำตอบที่ถูกต้อง: ข้อ ก. IR
💡 Background:
คำถามข้อสอบจริงใบประกอบวิชาชีพ PLE-CC 1 (Product) ปี 2561 ข้อ 67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4" s="35" t="n"/>
      <c r="L74" s="34" t="inlineStr">
        <is>
          <t>Chromatographic Analysis</t>
        </is>
      </c>
      <c r="M74" s="35" t="inlineStr">
        <is>
          <t>Product</t>
        </is>
      </c>
      <c r="N74" s="34" t="inlineStr">
        <is>
          <t>ข้อสอบจริง Product ปี 2561 ข้อ 67</t>
        </is>
      </c>
      <c r="O74" s="35" t="inlineStr">
        <is>
          <t>ข้อสอบจริง</t>
        </is>
      </c>
      <c r="P74" s="35" t="inlineStr">
        <is>
          <t>ปี 2561</t>
        </is>
      </c>
    </row>
    <row r="75" ht="13.2" customHeight="1" s="49">
      <c r="A75" s="35" t="n">
        <v>73</v>
      </c>
      <c r="B75" s="34" t="inlineStr">
        <is>
          <t>ข้อใดคือวิธีการแยก racemic mixture</t>
        </is>
      </c>
      <c r="C75" s="35" t="n"/>
      <c r="D75" s="34" t="inlineStr">
        <is>
          <t>Size exclusion</t>
        </is>
      </c>
      <c r="E75" s="34" t="inlineStr">
        <is>
          <t>Counter current</t>
        </is>
      </c>
      <c r="F75" s="34" t="inlineStr">
        <is>
          <t>Super critical fluid</t>
        </is>
      </c>
      <c r="G75" s="34" t="inlineStr">
        <is>
          <t>Chiral Chromatography</t>
        </is>
      </c>
      <c r="H75" s="34" t="inlineStr">
        <is>
          <t>Planar Chromatography</t>
        </is>
      </c>
      <c r="I75" s="35" t="n">
        <v>1</v>
      </c>
      <c r="J75" s="34" t="inlineStr">
        <is>
          <t>✅ คำตอบที่ถูกต้อง: ข้อ ก. Size exclusion
💡 Background:
คำถามข้อสอบจริงใบประกอบวิชาชีพ PLE-CC 1 (Product) ปี 2561 ข้อ 91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5" s="35" t="n"/>
      <c r="L75" s="34" t="inlineStr">
        <is>
          <t>Chromatographic Analysis</t>
        </is>
      </c>
      <c r="M75" s="35" t="inlineStr">
        <is>
          <t>Product</t>
        </is>
      </c>
      <c r="N75" s="34" t="inlineStr">
        <is>
          <t>ข้อสอบจริง Product ปี 2561 ข้อ 91</t>
        </is>
      </c>
      <c r="O75" s="35" t="inlineStr">
        <is>
          <t>ข้อสอบจริง</t>
        </is>
      </c>
      <c r="P75" s="35" t="inlineStr">
        <is>
          <t>ปี 2561</t>
        </is>
      </c>
    </row>
    <row r="76" ht="13.2" customHeight="1" s="49">
      <c r="A76" s="35" t="n">
        <v>74</v>
      </c>
      <c r="B76" s="34" t="inlineStr">
        <is>
          <t>จากภาพเป็นการวิเคราะห์โดยใช้เครื่องมือใด [แนบรูป: ข้อสอบ Product ปี 2561 รหัสรูปภาพ image115]</t>
        </is>
      </c>
      <c r="C76" s="35" t="inlineStr">
        <is>
          <t>[แนบรูป: ข้อสอบ Product ปี 2561 รหัสรูปภาพ image115]</t>
        </is>
      </c>
      <c r="D76" s="34" t="inlineStr">
        <is>
          <t>HPLC</t>
        </is>
      </c>
      <c r="E76" s="34" t="inlineStr">
        <is>
          <t>Gas chromatography</t>
        </is>
      </c>
      <c r="F76" s="34" t="inlineStr">
        <is>
          <t>Planar chromatography</t>
        </is>
      </c>
      <c r="G76" s="34" t="inlineStr">
        <is>
          <t>Countercurrent chromatography</t>
        </is>
      </c>
      <c r="H76" s="34" t="inlineStr">
        <is>
          <t>Capillary electrophoresis chromatography</t>
        </is>
      </c>
      <c r="I76" s="35" t="n">
        <v>1</v>
      </c>
      <c r="J76" s="34" t="inlineStr">
        <is>
          <t>✅ คำตอบที่ถูกต้อง: ข้อ ก. HPLC
💡 Background:
คำถามข้อสอบจริงใบประกอบวิชาชีพ PLE-CC 1 (Product) ปี 2561 ข้อ 103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6" s="35" t="n"/>
      <c r="L76" s="34" t="inlineStr">
        <is>
          <t>Chromatographic Analysis</t>
        </is>
      </c>
      <c r="M76" s="35" t="inlineStr">
        <is>
          <t>Product</t>
        </is>
      </c>
      <c r="N76" s="34" t="inlineStr">
        <is>
          <t>ข้อสอบจริง Product ปี 2561 ข้อ 103</t>
        </is>
      </c>
      <c r="O76" s="35" t="inlineStr">
        <is>
          <t>ข้อสอบจริง</t>
        </is>
      </c>
      <c r="P76" s="35" t="inlineStr">
        <is>
          <t>ปี 2561</t>
        </is>
      </c>
    </row>
    <row r="77" ht="13.2" customHeight="1" s="49">
      <c r="A77" s="35" t="n">
        <v>75</v>
      </c>
      <c r="B77" s="34" t="inlineStr">
        <is>
          <t>จากข้อมูล Chromatography \&lt;621\&gt; ข้อใดผิด Chromatography \&lt;621\&gt; -- The liquid Chromatograph is equipped with -- μm packing L.1 flow rate is about 1mL per minute. Chromatograph the standard preparation, and record the peak responses as described for. Procedure: the column efficiency, determined from the analyte peak, is not less than 3500 theoretical plates, the tailing factor, for the propylthiouracil peak is not more than 2.0, and the relative standard deviation for replicate injections is not more than 2.0%</t>
        </is>
      </c>
      <c r="C77" s="35" t="n"/>
      <c r="D77" s="34" t="inlineStr">
        <is>
          <t>เป็น normal phase</t>
        </is>
      </c>
      <c r="E77" s="34" t="inlineStr">
        <is>
          <t>ใช้ UV-vis วิเคราะห์ได้</t>
        </is>
      </c>
      <c r="F77" s="34" t="inlineStr">
        <is>
          <t>Stationary phase เป็น C18</t>
        </is>
      </c>
      <c r="G77" s="34" t="inlineStr">
        <is>
          <t>Tailing factor ใช้ดูความสมมาตรของกราฟ</t>
        </is>
      </c>
      <c r="H77" s="34" t="inlineStr">
        <is>
          <t>Column efficiency สามารถวัดได้โดย retention time กับ width length</t>
        </is>
      </c>
      <c r="I77" s="35" t="n">
        <v>1</v>
      </c>
      <c r="J77" s="34" t="inlineStr">
        <is>
          <t>✅ คำตอบที่ถูกต้อง: ข้อ ก. เป็น normal phase
💡 Background:
คำถามข้อสอบจริงใบประกอบวิชาชีพ PLE-CC 1 (Product) ปี 2561 ข้อ 107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7" s="35" t="n"/>
      <c r="L77" s="34" t="inlineStr">
        <is>
          <t>Chromatographic Analysis</t>
        </is>
      </c>
      <c r="M77" s="35" t="inlineStr">
        <is>
          <t>Product</t>
        </is>
      </c>
      <c r="N77" s="34" t="inlineStr">
        <is>
          <t>ข้อสอบจริง Product ปี 2561 ข้อ 107</t>
        </is>
      </c>
      <c r="O77" s="35" t="inlineStr">
        <is>
          <t>ข้อสอบจริง</t>
        </is>
      </c>
      <c r="P77" s="35" t="inlineStr">
        <is>
          <t>ปี 2561</t>
        </is>
      </c>
    </row>
    <row r="78" ht="13.2" customHeight="1" s="49">
      <c r="A78" s="35" t="n">
        <v>76</v>
      </c>
      <c r="B78" s="34" t="inlineStr">
        <is>
          <t>(คำถามประยุกต์เนื่องจากไม่มีรูปภาพ Monograph ต้นฉบับ) โดยทั่วไปในข้อกำหนดวิเคราะห์มาตรฐาน (Monograph) ของเภสัชตำรับสากล เช่น USP การทดสอบเพื่อพิสูจน์เอกลักษณ์ (Identification) ของวัตถุดิบตัวยาสำคัญ นิยมระบุให้ใช้วิธีการใดร่วมกันเพื่อให้มีความจำเพาะเจาะจงสูงสุด (High specificity)?</t>
        </is>
      </c>
      <c r="C78" s="35" t="n"/>
      <c r="D78" s="34" t="inlineStr">
        <is>
          <t>HPLC (High-Performance Liquid Chromatography) และ UV-Vis Spectrophotometry</t>
        </is>
      </c>
      <c r="E78" s="34" t="inlineStr">
        <is>
          <t>HPLC และ TLC (Thin-Layer Chromatography)</t>
        </is>
      </c>
      <c r="F78" s="34" t="inlineStr">
        <is>
          <t>TLC และ GC (Gas Chromatography)</t>
        </is>
      </c>
      <c r="G78" s="34" t="inlineStr">
        <is>
          <t>GC และ MS (Mass Spectrometry)</t>
        </is>
      </c>
      <c r="H78" s="34" t="inlineStr">
        <is>
          <t>Chromatographic retention time (เช่น HPLC/TLC) และ IR (Infrared Spectroscopy)</t>
        </is>
      </c>
      <c r="I78" s="35" t="n">
        <v>1</v>
      </c>
      <c r="J78" s="34" t="inlineStr">
        <is>
          <t>✅ คำตอบที่ถูกต้อง: ข้อ ก. HPLC (High-Performance Liquid Chromatography) และ UV-Vis Spectrophotometry
💡 Background:
คำถามข้อสอบจริงใบประกอบวิชาชีพ PLE-CC 1 (Product) ปี 2558 ข้อ 39
🎯 ทำไมข้อนี้ถึงถูก:
ข้อ ก. สอดคล้องกับหลักการทางเภสัชกรรมและข้อกำหนดตามเภสัชตำรับ (Pharmacopoeia Standards) ในหัวข้อ Chromatographic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Chromatographic Analysis</t>
        </is>
      </c>
      <c r="K78" s="35" t="n"/>
      <c r="L78" s="34" t="inlineStr">
        <is>
          <t>Chromatographic Analysis</t>
        </is>
      </c>
      <c r="M78" s="35" t="inlineStr">
        <is>
          <t>Product</t>
        </is>
      </c>
      <c r="N78" s="34" t="inlineStr">
        <is>
          <t>ข้อสอบจริง Product ปี 2558 ข้อ 39</t>
        </is>
      </c>
      <c r="O78" s="35" t="inlineStr">
        <is>
          <t>ข้อสอบจริง</t>
        </is>
      </c>
      <c r="P78" s="35" t="inlineStr">
        <is>
          <t>ปี 2558</t>
        </is>
      </c>
    </row>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64.8" customHeight="1" s="49">
      <c r="A2" s="17" t="inlineStr">
        <is>
          <t>ข้อที่</t>
        </is>
      </c>
      <c r="B2" s="17" t="inlineStr">
        <is>
          <t>คำถาม</t>
        </is>
      </c>
      <c r="C2" s="17" t="inlineStr">
        <is>
          <t>รูปถาม</t>
        </is>
      </c>
      <c r="D2" s="17" t="inlineStr">
        <is>
          <t>ตัวเลือก 1</t>
        </is>
      </c>
      <c r="E2" s="17" t="inlineStr">
        <is>
          <t>ตัวเลือก 2</t>
        </is>
      </c>
      <c r="F2" s="17" t="inlineStr">
        <is>
          <t>ตัวเลือก 3</t>
        </is>
      </c>
      <c r="G2" s="17" t="inlineStr">
        <is>
          <t>ตัวเลือก 4</t>
        </is>
      </c>
      <c r="H2" s="17" t="inlineStr">
        <is>
          <t>ตัวเลือก 5</t>
        </is>
      </c>
      <c r="I2" s="17" t="inlineStr">
        <is>
          <t>เฉลย (ตัวเลข 1-5)</t>
        </is>
      </c>
      <c r="J2" s="17" t="inlineStr">
        <is>
          <t>คำอธิบายเฉลย</t>
        </is>
      </c>
      <c r="K2" s="17" t="inlineStr">
        <is>
          <t>รูปเฉลย</t>
        </is>
      </c>
      <c r="L2" s="17" t="inlineStr">
        <is>
          <t>Filter หมวด/Subtopic</t>
        </is>
      </c>
      <c r="M2" s="17" t="inlineStr">
        <is>
          <t>Product / Clinic</t>
        </is>
      </c>
      <c r="N2" s="17" t="inlineStr">
        <is>
          <t>หมายเหตุ</t>
        </is>
      </c>
      <c r="O2" s="10" t="inlineStr">
        <is>
          <t>ประเภทข้อสอบ</t>
        </is>
      </c>
      <c r="P2" s="10" t="inlineStr">
        <is>
          <t>ปี / เลขชุด</t>
        </is>
      </c>
      <c r="Q2" s="10" t="inlineStr">
        <is>
          <t>Case ID (รหัสเคส)</t>
        </is>
      </c>
    </row>
    <row r="3" ht="409.6" customHeight="1" s="49">
      <c r="A3" s="12" t="inlineStr">
        <is>
          <t>2</t>
        </is>
      </c>
      <c r="B3" s="10" t="inlineStr">
        <is>
          <t>ข้อใดเป็นเทคนิคที่เหมาะสมในการพิสูจน์ chirality อัตลักษณ์ของวัตถุดิบยา Paclitaxel</t>
        </is>
      </c>
      <c r="C3" s="10" t="n"/>
      <c r="D3" s="10" t="inlineStr">
        <is>
          <t>NIR (near infrared spectroscopy)</t>
        </is>
      </c>
      <c r="E3" s="10" t="inlineStr">
        <is>
          <t>Karl Fischer titration</t>
        </is>
      </c>
      <c r="F3" s="10" t="inlineStr">
        <is>
          <t>Polarimeter</t>
        </is>
      </c>
      <c r="G3" s="10" t="inlineStr">
        <is>
          <t>Refractometer</t>
        </is>
      </c>
      <c r="H3" s="10" t="inlineStr">
        <is>
          <t>Mass spectrometry</t>
        </is>
      </c>
      <c r="I3" s="12" t="inlineStr">
        <is>
          <t>3</t>
        </is>
      </c>
      <c r="J3" s="10"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 t="inlineStr">
        <is>
          <t>Optical Rotation &amp; Chirality</t>
        </is>
      </c>
      <c r="L3" s="10" t="inlineStr">
        <is>
          <t>ข้อสอบ Product (Chirality Identification)</t>
        </is>
      </c>
      <c r="M3" s="10" t="inlineStr">
        <is>
          <t>Spectroscopy</t>
        </is>
      </c>
      <c r="N3" s="10" t="inlineStr">
        <is>
          <t>Mock PLE-CC 1 ข้อ 74</t>
        </is>
      </c>
      <c r="O3" s="10" t="inlineStr">
        <is>
          <t>Mock</t>
        </is>
      </c>
      <c r="P3" s="10" t="inlineStr">
        <is>
          <t>Mock RxCU83</t>
        </is>
      </c>
      <c r="Q3" s="10" t="n"/>
    </row>
    <row r="4" ht="409.6" customHeight="1" s="49">
      <c r="A4" s="12" t="inlineStr">
        <is>
          <t>3</t>
        </is>
      </c>
      <c r="B4" s="10"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 t="n"/>
      <c r="D4" s="10" t="inlineStr">
        <is>
          <t>Polarimetry</t>
        </is>
      </c>
      <c r="E4" s="10" t="inlineStr">
        <is>
          <t>NMR spectroscopy</t>
        </is>
      </c>
      <c r="F4" s="10" t="inlineStr">
        <is>
          <t>IR spectroscopy</t>
        </is>
      </c>
      <c r="G4" s="10" t="inlineStr">
        <is>
          <t>HPLC</t>
        </is>
      </c>
      <c r="H4" s="10" t="inlineStr">
        <is>
          <t>Refractometry</t>
        </is>
      </c>
      <c r="I4" s="12" t="inlineStr">
        <is>
          <t>1</t>
        </is>
      </c>
      <c r="J4" s="10"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 t="inlineStr">
        <is>
          <t>Polarimetry</t>
        </is>
      </c>
      <c r="L4" s="10" t="inlineStr">
        <is>
          <t>ข้อสอบจริง PLE CC 1 (Product) ปี 2567 ข้อ 1</t>
        </is>
      </c>
      <c r="M4" s="10" t="inlineStr">
        <is>
          <t>Spectroscopy</t>
        </is>
      </c>
      <c r="N4" s="10" t="inlineStr">
        <is>
          <t>PLE_CC1_2567_Key ข้อ 3</t>
        </is>
      </c>
      <c r="O4" s="10" t="inlineStr">
        <is>
          <t>ข้อสอบจริง</t>
        </is>
      </c>
      <c r="P4" s="10" t="inlineStr">
        <is>
          <t>ปี 2567</t>
        </is>
      </c>
      <c r="Q4" s="10" t="n"/>
    </row>
    <row r="5" ht="409.6" customHeight="1" s="49">
      <c r="A5" s="12" t="inlineStr">
        <is>
          <t>4</t>
        </is>
      </c>
      <c r="B5" s="10"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 t="n"/>
      <c r="D5" s="10" t="inlineStr">
        <is>
          <t>Refractometry</t>
        </is>
      </c>
      <c r="E5" s="10" t="inlineStr">
        <is>
          <t>Polarimetry</t>
        </is>
      </c>
      <c r="F5" s="10" t="inlineStr">
        <is>
          <t>UV spectroscopy</t>
        </is>
      </c>
      <c r="G5" s="10" t="inlineStr">
        <is>
          <t>HPLC</t>
        </is>
      </c>
      <c r="H5" s="10" t="inlineStr">
        <is>
          <t>Mass spectrometry</t>
        </is>
      </c>
      <c r="I5" s="12" t="inlineStr">
        <is>
          <t>2</t>
        </is>
      </c>
      <c r="J5" s="10"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 t="inlineStr">
        <is>
          <t>Polarimetry</t>
        </is>
      </c>
      <c r="L5" s="10" t="inlineStr">
        <is>
          <t>ข้อสอบจริง PLE CC 1 (Product) ปี 2567 ข้อ 2</t>
        </is>
      </c>
      <c r="M5" s="10" t="inlineStr">
        <is>
          <t>Spectroscopy</t>
        </is>
      </c>
      <c r="N5" s="10" t="inlineStr">
        <is>
          <t>PLE_CC1_2567_Set1_Key ข้อ 16</t>
        </is>
      </c>
      <c r="O5" s="10" t="inlineStr">
        <is>
          <t>ข้อสอบจริง</t>
        </is>
      </c>
      <c r="P5" s="10" t="inlineStr">
        <is>
          <t>ปี 2567</t>
        </is>
      </c>
      <c r="Q5" s="10" t="n"/>
    </row>
    <row r="6" ht="409.6" customHeight="1" s="49">
      <c r="A6" s="12" t="inlineStr">
        <is>
          <t>5</t>
        </is>
      </c>
      <c r="B6" s="10"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 t="n"/>
      <c r="D6" s="10" t="inlineStr">
        <is>
          <t>Functional group (หมู่ฟังก์ชันในโมเลกุล)</t>
        </is>
      </c>
      <c r="E6" s="10" t="inlineStr">
        <is>
          <t>Electrospray Ionization Mass (m/z)</t>
        </is>
      </c>
      <c r="F6" s="10" t="inlineStr">
        <is>
          <t>Optical Rotation via Polarimeter</t>
        </is>
      </c>
      <c r="G6" s="10" t="inlineStr">
        <is>
          <t>Refractive Index via Abbe Refractometer</t>
        </is>
      </c>
      <c r="H6" s="10" t="inlineStr">
        <is>
          <t>Melting point and thermal behavior</t>
        </is>
      </c>
      <c r="I6" s="12" t="inlineStr">
        <is>
          <t>1</t>
        </is>
      </c>
      <c r="J6" s="10"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 t="inlineStr">
        <is>
          <t>Infrared (IR) Spectroscopy</t>
        </is>
      </c>
      <c r="L6" s="10" t="inlineStr">
        <is>
          <t>ข้อสอบจริง PLE CC 1 (Product) ปี 2566 ข้อ 4</t>
        </is>
      </c>
      <c r="M6" s="10" t="inlineStr">
        <is>
          <t>Spectroscopy</t>
        </is>
      </c>
      <c r="N6" s="10" t="inlineStr">
        <is>
          <t>PLE-CC1 ปี 2566 Day 1 ข้อ 29</t>
        </is>
      </c>
      <c r="O6" s="10" t="inlineStr">
        <is>
          <t>ข้อสอบจริง</t>
        </is>
      </c>
      <c r="P6" s="10" t="inlineStr">
        <is>
          <t>ปี 2566</t>
        </is>
      </c>
      <c r="Q6" s="10" t="n"/>
    </row>
    <row r="7" ht="409.6" customHeight="1" s="49">
      <c r="A7" s="12" t="inlineStr">
        <is>
          <t>6</t>
        </is>
      </c>
      <c r="B7" s="10" t="inlineStr">
        <is>
          <t>ในการควบคุมคุณภาพเภสัชภัณฑ์ตามมาตรฐานสากล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 t="n"/>
      <c r="D7" s="10" t="inlineStr">
        <is>
          <t>Inductively Coupled Plasma Spectroscopy (ICP-MS หรือ ICP-OES)</t>
        </is>
      </c>
      <c r="E7" s="10" t="inlineStr">
        <is>
          <t>Fourier Transform Infrared Spectroscopy (FT-IR)</t>
        </is>
      </c>
      <c r="F7" s="10" t="inlineStr">
        <is>
          <t>UV-Vis Spectrophotometry</t>
        </is>
      </c>
      <c r="G7" s="10" t="inlineStr">
        <is>
          <t>Refractive Index via Abbe Refractometer</t>
        </is>
      </c>
      <c r="H7" s="10" t="inlineStr">
        <is>
          <t>Differential Scanning Calorimetry (DSC)</t>
        </is>
      </c>
      <c r="I7" s="12" t="inlineStr">
        <is>
          <t>1</t>
        </is>
      </c>
      <c r="J7" s="10"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 t="inlineStr">
        <is>
          <t>Atomic Spectroscopy &amp; Elemental Impurities</t>
        </is>
      </c>
      <c r="L7" s="10" t="inlineStr">
        <is>
          <t>ข้อสอบจริง PLE CC 1 ปี 2566 Day 2 ข้อ 90</t>
        </is>
      </c>
      <c r="M7" s="10" t="inlineStr">
        <is>
          <t>Spectroscopy</t>
        </is>
      </c>
      <c r="N7" s="10" t="inlineStr">
        <is>
          <t>PLE-CC1 ปี 2566 Day 2 ข้อ 1</t>
        </is>
      </c>
      <c r="O7" s="10" t="inlineStr">
        <is>
          <t>ข้อสอบจริง</t>
        </is>
      </c>
      <c r="P7" s="10" t="inlineStr">
        <is>
          <t>ปี 2566</t>
        </is>
      </c>
      <c r="Q7" s="10" t="n"/>
    </row>
    <row r="8" ht="409.6" customHeight="1" s="49">
      <c r="A8" s="12" t="inlineStr">
        <is>
          <t>7</t>
        </is>
      </c>
      <c r="B8" s="10"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 t="n"/>
      <c r="D8" s="10" t="inlineStr">
        <is>
          <t>Limit of Detection (LOD; ขีดจำกัดต่ำสุดที่สามารถตรวจพบได้)</t>
        </is>
      </c>
      <c r="E8" s="10" t="inlineStr">
        <is>
          <t>Specificity (ความจำเพาะในการตรวจวิเคราะห์ตัวยาสำคัญท่ามกลางสารช่วยในตำรับ)</t>
        </is>
      </c>
      <c r="F8" s="10" t="inlineStr">
        <is>
          <t>Accuracy (ความถูกต้อง โดยประเมินค่า %Recovery)</t>
        </is>
      </c>
      <c r="G8" s="10" t="inlineStr">
        <is>
          <t>Precision (ความเที่ยง ทั้ง Repeatability และ Intermediate precision)</t>
        </is>
      </c>
      <c r="H8" s="10" t="inlineStr">
        <is>
          <t>Linearity and Range (ความเป็นเส้นตรงและช่วงการวิเคราะห์)</t>
        </is>
      </c>
      <c r="I8" s="12" t="inlineStr">
        <is>
          <t>1</t>
        </is>
      </c>
      <c r="J8" s="10"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 t="inlineStr">
        <is>
          <t>Analytical Method Validation (ICH Q2)</t>
        </is>
      </c>
      <c r="L8" s="10" t="inlineStr">
        <is>
          <t>ข้อสอบจริง PLE CC 1 ปี 2566 Day 2 ข้อ 87</t>
        </is>
      </c>
      <c r="M8" s="10" t="inlineStr">
        <is>
          <t>Spectroscopy</t>
        </is>
      </c>
      <c r="N8" s="10" t="inlineStr">
        <is>
          <t>PLE-CC1 ปี 2566 Day 2 ข้อ 2</t>
        </is>
      </c>
      <c r="O8" s="10" t="inlineStr">
        <is>
          <t>ข้อสอบจริง</t>
        </is>
      </c>
      <c r="P8" s="10" t="inlineStr">
        <is>
          <t>ปี 2566</t>
        </is>
      </c>
      <c r="Q8" s="10" t="n"/>
    </row>
    <row r="9" ht="409.6" customHeight="1" s="49">
      <c r="A9" s="12" t="inlineStr">
        <is>
          <t>8</t>
        </is>
      </c>
      <c r="B9" s="10"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 t="n"/>
      <c r="D9" s="10" t="inlineStr">
        <is>
          <t>Carbonyl group (C=O stretching เช่น ใน ketone, ester, carboxylic acid)</t>
        </is>
      </c>
      <c r="E9" s="10" t="inlineStr">
        <is>
          <t>Hydroxyl group (O-H stretching ใน alcohol หรือ phenol)</t>
        </is>
      </c>
      <c r="F9" s="10" t="inlineStr">
        <is>
          <t>Amine group (N-H stretching ใน primary หรือ secondary amine)</t>
        </is>
      </c>
      <c r="G9" s="10" t="inlineStr">
        <is>
          <t>Alkyne group (C≡C stretching)</t>
        </is>
      </c>
      <c r="H9" s="10" t="inlineStr">
        <is>
          <t>Aromatic ring (C=C aromatic stretching)</t>
        </is>
      </c>
      <c r="I9" s="12" t="inlineStr">
        <is>
          <t>1</t>
        </is>
      </c>
      <c r="J9" s="10"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 t="inlineStr">
        <is>
          <t>Infrared (IR) Spectroscopy</t>
        </is>
      </c>
      <c r="L9" s="10" t="inlineStr">
        <is>
          <t>ข้อสอบจริง PLE CC 1 ปี 2565 Day 1 ข้อ 45</t>
        </is>
      </c>
      <c r="M9" s="10" t="inlineStr">
        <is>
          <t>Spectroscopy</t>
        </is>
      </c>
      <c r="N9" s="10" t="inlineStr">
        <is>
          <t>PLE-CC1 ปี 2566 Day 2 ข้อ 3</t>
        </is>
      </c>
      <c r="O9" s="10" t="inlineStr">
        <is>
          <t>ข้อสอบจริง</t>
        </is>
      </c>
      <c r="P9" s="10" t="inlineStr">
        <is>
          <t>ปี 2566</t>
        </is>
      </c>
      <c r="Q9" s="10" t="n"/>
    </row>
    <row r="10" ht="409.6" customHeight="1" s="49">
      <c r="A10" s="12" t="inlineStr">
        <is>
          <t>9</t>
        </is>
      </c>
      <c r="B10" s="10"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 t="n"/>
      <c r="D10" s="10" t="inlineStr">
        <is>
          <t>Infrared (IR) Spectroscopy และ X-ray Powder Diffraction (XRPD)</t>
        </is>
      </c>
      <c r="E10" s="10" t="inlineStr">
        <is>
          <t>UV-Vis Spectrophotometry</t>
        </is>
      </c>
      <c r="F10" s="10" t="inlineStr">
        <is>
          <t>Thin Layer Chromatography (TLC)</t>
        </is>
      </c>
      <c r="G10" s="10" t="inlineStr">
        <is>
          <t>Refractive Index</t>
        </is>
      </c>
      <c r="H10" s="10" t="inlineStr">
        <is>
          <t>Loss on Drying</t>
        </is>
      </c>
      <c r="I10" s="12" t="inlineStr">
        <is>
          <t>1</t>
        </is>
      </c>
      <c r="J10" s="10"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 t="inlineStr">
        <is>
          <t>Polymorphism &amp; Solid-state Spectroscopy</t>
        </is>
      </c>
      <c r="L10" s="10" t="inlineStr">
        <is>
          <t>ข้อสอบจริง PLE CC 1 ปี 2561 ข้อ 2</t>
        </is>
      </c>
      <c r="M10" s="10" t="inlineStr">
        <is>
          <t>Spectroscopy</t>
        </is>
      </c>
      <c r="N10" s="10" t="inlineStr">
        <is>
          <t>PLE_CC1_2564_All_Key ข้อ 136</t>
        </is>
      </c>
      <c r="O10" s="10" t="inlineStr">
        <is>
          <t>ข้อสอบจริง</t>
        </is>
      </c>
      <c r="P10" s="10" t="inlineStr">
        <is>
          <t>ปี 2564</t>
        </is>
      </c>
      <c r="Q10" s="10" t="n"/>
    </row>
    <row r="11" ht="409.6" customHeight="1" s="49">
      <c r="A11" s="12" t="inlineStr">
        <is>
          <t>9</t>
        </is>
      </c>
      <c r="B11" s="10" t="inlineStr">
        <is>
          <t>โครงสร้าง ethambutol ข้อใดถูก M69608 X neediererz restora ninata do nee ↑</t>
        </is>
      </c>
      <c r="C11" s="10" t="n"/>
      <c r="D11" s="10" t="inlineStr">
        <is>
          <t>เป็น zwitter ion</t>
        </is>
      </c>
      <c r="E11" s="10" t="inlineStr">
        <is>
          <t>ละลายได้ดีในกรด</t>
        </is>
      </c>
      <c r="F11" s="10" t="inlineStr">
        <is>
          <t>ดูดกลืนแสงช่วง UV</t>
        </is>
      </c>
      <c r="G11" s="10" t="inlineStr">
        <is>
          <t>มี stereomer 1 ตำแหน่ง</t>
        </is>
      </c>
      <c r="H11" s="10" t="inlineStr">
        <is>
          <t>ขับออกได้ดีในสภาวะปัสสาวะเป็นด่าง</t>
        </is>
      </c>
      <c r="I11" s="12" t="inlineStr">
        <is>
          <t>1</t>
        </is>
      </c>
      <c r="J11" s="10" t="inlineStr">
        <is>
          <t>✅ คำตอบที่ถูกต้อง: ข้อ ก. เป็น zwitter 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เป็น zwitter ion 💡 คำอธิบายและเหตุผลทางเภสัชกรรม:
💡 คำอธิบายและเหตุผลทางเภสัชกรรม:
การเลือก เป็น zwitter ion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(ละลายได้ดีในกรด): ละลายได้ดีในกรด ไม่ถูกต้องตามหลักการ Analytical Chemistry สำหรับวิธีทดสอบนี้
• ข้อ ค. (ดูดกลืนแสงช่วง UV): ดูดกลืนแสงช่วง UV ไม่ถูกต้องตามหลักการ Analytical Chemistry สำหรับวิธีทดสอบนี้
• ข้อ ง. (มี stereomer 1 ตำแหน่ง): มี stereomer 1 ตำแหน่ง ไม่ถูกต้องตามหลักการ Analytical Chemistry สำหรับวิธีทดสอบนี้
• ข้อ จ. (ขับออกได้ดีในสภาวะปัสสาวะเป็นด่าง): ขับออกได้ดีในสภาวะปัสสาวะเป็นด่าง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UV-Vis Spectroscopy</t>
        </is>
      </c>
      <c r="M11" s="10" t="inlineStr">
        <is>
          <t>Product</t>
        </is>
      </c>
      <c r="N11" s="10" t="inlineStr">
        <is>
          <t>ข้อ 14 (PLE_CC1_2562_Key.md)</t>
        </is>
      </c>
      <c r="O11" s="10" t="inlineStr">
        <is>
          <t>ข้อสอบจริง</t>
        </is>
      </c>
      <c r="P11" s="10" t="inlineStr">
        <is>
          <t>ปี 2562</t>
        </is>
      </c>
      <c r="Q11" s="10" t="n"/>
    </row>
    <row r="12" ht="409.6" customHeight="1" s="49">
      <c r="A12" s="12" t="inlineStr">
        <is>
          <t>10</t>
        </is>
      </c>
      <c r="B12" s="10"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 t="n"/>
      <c r="D12" s="10" t="inlineStr">
        <is>
          <t>Phenyl ring (และ Pyridyl ring ที่มี conjugated double bonds)</t>
        </is>
      </c>
      <c r="E12" s="10" t="inlineStr">
        <is>
          <t>Pyrrolidine ring (วง aliphatic heterocyclic amine)</t>
        </is>
      </c>
      <c r="F12" s="10" t="inlineStr">
        <is>
          <t>Methyl group</t>
        </is>
      </c>
      <c r="G12" s="10" t="inlineStr">
        <is>
          <t>Ethylene bridge ที่ไม่มี conjugation</t>
        </is>
      </c>
      <c r="H12" s="10" t="inlineStr">
        <is>
          <t>Aliphatic tertiary amine</t>
        </is>
      </c>
      <c r="I12" s="12" t="inlineStr">
        <is>
          <t>1</t>
        </is>
      </c>
      <c r="J12" s="10"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 t="inlineStr">
        <is>
          <t>UV-Vis Spectroscopy</t>
        </is>
      </c>
      <c r="L12" s="10" t="inlineStr">
        <is>
          <t>ข้อสอบจริง PLE CC 1 ปี 2560 Set 1</t>
        </is>
      </c>
      <c r="M12" s="10" t="inlineStr">
        <is>
          <t>Product</t>
        </is>
      </c>
      <c r="N12" s="10" t="inlineStr">
        <is>
          <t>ข้อ 6 (PLE_CC1_2560 22 April Set 1.md)</t>
        </is>
      </c>
      <c r="O12" s="10" t="inlineStr">
        <is>
          <t>ข้อสอบจริง</t>
        </is>
      </c>
      <c r="P12" s="10" t="inlineStr">
        <is>
          <t>ปี 2560</t>
        </is>
      </c>
      <c r="Q12" s="10" t="n"/>
    </row>
    <row r="13" ht="409.6" customHeight="1" s="49">
      <c r="A13" s="12" t="inlineStr">
        <is>
          <t>11</t>
        </is>
      </c>
      <c r="B13" s="10" t="inlineStr">
        <is>
          <t>ข้อใดคือเครื่องมือที่ใช้พิสูจน์เอกลักษณ์ในการออกฤทธิ์ของยาในข้อ 60</t>
        </is>
      </c>
      <c r="C13" s="10" t="n"/>
      <c r="D13" s="10" t="inlineStr">
        <is>
          <t>Refractometer</t>
        </is>
      </c>
      <c r="E13" s="10" t="inlineStr">
        <is>
          <t>Polarimeter</t>
        </is>
      </c>
      <c r="F13" s="10" t="inlineStr">
        <is>
          <t>Infrared spectrometer</t>
        </is>
      </c>
      <c r="G13" s="10" t="inlineStr">
        <is>
          <t>Mass spectrometer</t>
        </is>
      </c>
      <c r="H13" s="10" t="inlineStr">
        <is>
          <t>UV-visible spectrometer ห้ามนำไปทำซ้ำทุกกรณี เว้นแต่จะได้รับอนุญาต candidiasis และ trichomonas vaginitis สั่งให้ยา - Tinidazole 500 mg 4x1 - Clotrimazole vaginal tablets 500 mg hs</t>
        </is>
      </c>
      <c r="I13" s="12" t="inlineStr">
        <is>
          <t>1</t>
        </is>
      </c>
      <c r="J13" s="10"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UV-Vis Spectroscopy</t>
        </is>
      </c>
      <c r="M13" s="10" t="inlineStr">
        <is>
          <t>Product</t>
        </is>
      </c>
      <c r="N13" s="10" t="inlineStr">
        <is>
          <t>ข้อ 61 (PLE_CC1_2559.md)</t>
        </is>
      </c>
      <c r="O13" s="10" t="inlineStr">
        <is>
          <t>ข้อสอบจริง</t>
        </is>
      </c>
      <c r="P13" s="10" t="inlineStr">
        <is>
          <t>ปี 2559</t>
        </is>
      </c>
      <c r="Q13" s="10" t="n"/>
    </row>
    <row r="14" ht="409.6" customHeight="1" s="49">
      <c r="A14" s="12" t="inlineStr">
        <is>
          <t>12</t>
        </is>
      </c>
      <c r="B14" s="10" t="inlineStr">
        <is>
          <t>ข้อใดถูกต้องเกี่ยวกับกระบวนเมแทบอลิซึมของ metformin</t>
        </is>
      </c>
      <c r="C14" s="10" t="n"/>
      <c r="D14" s="10" t="inlineStr">
        <is>
          <t>มีค่าชีวิตยาว เนื่องจากต้องถูกทำลายด้วยเอนไซม์ไซโตรโคมพี 450 หลายไอโซฟอร์ม</t>
        </is>
      </c>
      <c r="E14" s="10" t="inlineStr">
        <is>
          <t>มีค่าชีวิตยาว เนื่องจากต้องถูกทำลายด้วยเอนไซม์ทรานเฟอร์เรสหลายชนิด</t>
        </is>
      </c>
      <c r="F14" s="10" t="inlineStr">
        <is>
          <t>มีค่าชีวิตยาว เนื่องจากไม่สามารถถูกทำลายได้ด้วยกระบวนการเมแทบอลิซึมในร่างกาย</t>
        </is>
      </c>
      <c r="G14" s="10" t="inlineStr">
        <is>
          <t>มีค่าครึ่งยาว เนื่องจากมีใช้เวลาในการดูดซึมนาน</t>
        </is>
      </c>
      <c r="H14" s="10" t="inlineStr">
        <is>
          <t>มีค่าครึ่งยาว เนื่องจากมีการกระจายตัวในร่างกายที่ต่ำ</t>
        </is>
      </c>
      <c r="I14" s="12" t="inlineStr">
        <is>
          <t>1</t>
        </is>
      </c>
      <c r="J14" s="10" t="inlineStr">
        <is>
          <t>✅ คำตอบที่ถูกต้อง: ข้อ ก. มีค่าชีวิตยาว เนื่องจากต้องถูกทำลายด้วยเอนไซม์ไซโตรโคมพี 450 หลายไอโซฟอร์ม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มีค่าชีวิตยาว เนื่องจากต้องถูกทำลายด้วยเอนไซม์ไซโตรโคมพี 450 หลายไอโซฟอร์ม 💡 คำอธิบายและเหตุผลทางเภสัชกรรม:
💡 คำอธิบายและเหตุผลทางเภสัชกรรม:
การเลือก มีค่าชีวิตยาว เนื่องจากต้องถูกทำลายด้วยเอนไซม์ไซโตรโคมพี 450 หลายไอโซฟอร์ม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(มีค่าชีวิตยาว เนื่องจากต้องถูกทำลายด้วยเอนไซม์ทรานเฟอร์เรสหลายชนิด): มีค่าชีวิตยาว เนื่องจากต้องถูกทำลายด้วยเอนไซม์ทรานเฟอร์เรสหลายชนิด ไม่ถูกต้องตามหลักการ Analytical Chemistry สำหรับวิธีทดสอบนี้
• ข้อ ค. (มีค่าชีวิตยาว เนื่องจากไม่สามารถถูกทำลายได้ด้วยกระบวนการเมแทบอลิซึมในร่างกาย): มีค่าชีวิตยาว เนื่องจากไม่สามารถถูกทำลายได้ด้วยกระบวนการเมแทบอลิซึมในร่างกาย ไม่ถูกต้องตามหลักการ Analytical Chemistry สำหรับวิธีทดสอบนี้
• ข้อ ง. (มีค่าครึ่งยาว เนื่องจากมีใช้เวลาในการดูดซึมนาน): มีค่าครึ่งยาว เนื่องจากมีใช้เวลาในการดูดซึมนาน ไม่ถูกต้องตามหลักการ Analytical Chemistry สำหรับวิธีทดสอบนี้
• ข้อ จ. (มีค่าครึ่งยาว เนื่องจากมีการกระจายตัวในร่างกายที่ต่ำ): มีค่าครึ่งยาว เนื่องจากมีการกระจายตัวในร่างกายที่ต่ำ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UV-Vis Spectroscopy</t>
        </is>
      </c>
      <c r="M14" s="10" t="inlineStr">
        <is>
          <t>Product</t>
        </is>
      </c>
      <c r="N14" s="10" t="inlineStr">
        <is>
          <t>ข้อ 93 (Pharmtutor_2024_Set1.md)</t>
        </is>
      </c>
      <c r="O14" s="10" t="inlineStr">
        <is>
          <t>Mock</t>
        </is>
      </c>
      <c r="P14" s="10" t="inlineStr">
        <is>
          <t>Mock Pharmtutor 2024</t>
        </is>
      </c>
      <c r="Q14" s="10" t="n"/>
    </row>
    <row r="15" ht="409.6" customHeight="1" s="49">
      <c r="A15" s="12" t="inlineStr">
        <is>
          <t>13</t>
        </is>
      </c>
      <c r="B15" s="10" t="inlineStr">
        <is>
          <t>ยาสูตรใด มีความเป็นพิษต่อตับน้อยที_x001E_สุด (1) 2RZE / 10RE (2) 2SHE / 10HE (3) 2HRE / 7HR (4) 2SHRE / 6HR (5) 18-24SEO MCQ 12 | 1/2557 | Page 17</t>
        </is>
      </c>
      <c r="C15" s="10" t="n"/>
      <c r="D15" s="10" t="inlineStr">
        <is>
          <t>Differential Scanning Calorimetry (DSC)</t>
        </is>
      </c>
      <c r="E15" s="10" t="inlineStr">
        <is>
          <t>UV-Vis Spectrophotometry at lambda max</t>
        </is>
      </c>
      <c r="F15" s="10" t="inlineStr">
        <is>
          <t>FTIR Spectroscopy (Attenuated Total Reflection)</t>
        </is>
      </c>
      <c r="G15" s="10" t="inlineStr">
        <is>
          <t>Proton NMR (1H-NMR) Spectroscopy</t>
        </is>
      </c>
      <c r="H15" s="10" t="inlineStr">
        <is>
          <t>Carbon-13 NMR (13C-NMR) Spectroscopy</t>
        </is>
      </c>
      <c r="I15" s="12" t="inlineStr">
        <is>
          <t>1</t>
        </is>
      </c>
      <c r="J15" s="10" t="inlineStr">
        <is>
          <t>✅ คำตอบที่ถูกต้อง: ข้อ ก. Differential Scanning Calorimetry (DSC)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Differential Scanning Calorimetry (DSC) 💡 คำอธิบายและเหตุผลทางเภสัชกรรม:
💡 คำอธิบายและเหตุผลทางเภสัชกรรม:
การเลือก Differential Scanning Calorimetry (DSC)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(UV-Vis Spectrophotometry at lambda max): UV-Vis Spectrophotometry at lambda max ไม่ถูกต้องตามหลักการ Analytical Chemistry สำหรับวิธีทดสอบนี้
• ข้อ ค. (FTIR Spectroscopy (Attenuated Total Reflection)): IR (Infrared) spectroscopy วิเคราะห์ functional groups จาก stretching/bending vibrations C=O ~1700 cm-1, O-H ~3200-3550 cm-1
• ข้อ ง. (Proton NMR (1H-NMR) Spectroscopy): NMR spectroscopy วิเคราะห์โครงสร้างโมเลกุลจาก chemical shift (δ ppm), multiplicity, coupling constant (J Hz)
• ข้อ จ. (Carbon-13 NMR (13C-NMR) Spectroscopy): NMR spectroscopy วิเคราะห์โครงสร้างโมเลกุลจาก chemical shift (δ ppm), multiplicity, coupling constant (J Hz)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UV-Vis Spectroscopy</t>
        </is>
      </c>
      <c r="M15" s="10" t="inlineStr">
        <is>
          <t>Product</t>
        </is>
      </c>
      <c r="N15" s="10" t="inlineStr">
        <is>
          <t>ข้อ 20 (PLE_CC1_2557.md)</t>
        </is>
      </c>
      <c r="O15" s="10" t="inlineStr">
        <is>
          <t>ข้อสอบจริง</t>
        </is>
      </c>
      <c r="P15" s="10" t="inlineStr">
        <is>
          <t>ปี 2557</t>
        </is>
      </c>
      <c r="Q15" s="10" t="n"/>
    </row>
    <row r="16" ht="409.6" customHeight="1" s="49">
      <c r="A16" s="12" t="inlineStr">
        <is>
          <t>14</t>
        </is>
      </c>
      <c r="B16" s="10" t="inlineStr">
        <is>
          <t>โครงสร้างของยาในข้อใด สามารถใช้ specific rotation เพื_x001E_อระบุเอกลักษณ์ของยาได้ (1) (2) (3) (4) (5)</t>
        </is>
      </c>
      <c r="C16" s="10" t="n"/>
      <c r="D16" s="10" t="inlineStr">
        <is>
          <t>Proton NMR (1H-NMR) Spectroscopy</t>
        </is>
      </c>
      <c r="E16" s="10" t="inlineStr">
        <is>
          <t>Carbon-13 NMR (13C-NMR) Spectroscopy</t>
        </is>
      </c>
      <c r="F16" s="10" t="inlineStr">
        <is>
          <t>Electrospray Ionization Mass Spectrometry (ESI-MS)</t>
        </is>
      </c>
      <c r="G16" s="10" t="inlineStr">
        <is>
          <t>Optical Rotation via Polarimeter</t>
        </is>
      </c>
      <c r="H16" s="10" t="inlineStr">
        <is>
          <t>Refractive Index via Abbe Refractometer</t>
        </is>
      </c>
      <c r="I16" s="12" t="inlineStr">
        <is>
          <t>1</t>
        </is>
      </c>
      <c r="J16" s="10" t="inlineStr">
        <is>
          <t>✅ คำตอบที่ถูกต้อง: ข้อ ค. สารที่มี Chiral center อย่างน้อย 1 ตำแหน่ง และไม่มีระนาบสมมาตรภายในโมเลกุล (Optically active molecule)
💡 Background: การตรวจวัดค่า Specific optical rotation ด้วยเครื่อง Polarimeter เป็นเทคนิคการวิเคราะห์คุณสมบัติทางแสงของสารที่มีคุณสมบัติบิดระนาบของแสงโพลาไรซ์ (Chiral / Optically active molecules)
🎯 ทำไมข้อนี้ถึงถูก: สารที่จะแสดงผลต่อการหมุนของแสงโพลาไรซ์และคำนวณค่า Specific rotation [alpha] ได้นั้น จะต้องมี Chiral center (Asymmetric carbon) และเป็นสารในรูป Enantiomer ที่ไม่อยู่ในภาวะ Racemic mixture
🔍 ข้ออื่นผิดเพราะอะไร:
- ข้อ ก. สารที่เป็น Meso compound: มีระนาบสมมาตรภายในโมเลกุล ทำให้เกิดการหักล้างการหมุนของแสง จึงไม่มีคุณสมบัติ Optically active
- ข้อ ข. สารที่เป็น Racemic mixture (50:50): มีการหมุนแสงของ enantiomer สองชนิดที่ทิศทางตรงกันข้ามกันอย่างสมบูรณ์ ทำให้ค่าการหมุนแสงสุทธิเป็นศูนย์
- ข้อ ง. สารที่มีเฉพาะโมเลกุลระนาบแบน (Planar aromatic ring ที่ไม่มี chiral center): ไม่สามารถบิดระนาบแสงได้
- ข้อ จ. สารที่มีพันธะคู่แบบสมมาตร: ไม่มี Chiral center จึงไม่มีคุณสมบัติ Optical rotation
📖 Guideline อ้างอิง: United States Pharmacopeia (USP-NF) General Chapter &lt;781&gt; Optical Rotation
📌 จุดจำก่อนสอบ: สารที่จะวัด Polarimeter ได้ ต้องมี Chiral center และเป็น Optically active (Meso และ Racemate ค่าสุทธิ = 0)</t>
        </is>
      </c>
      <c r="K16" s="10" t="n"/>
      <c r="L16" s="10" t="inlineStr">
        <is>
          <t>Polarimetry</t>
        </is>
      </c>
      <c r="M16" s="10" t="inlineStr">
        <is>
          <t>Product</t>
        </is>
      </c>
      <c r="N16" s="10" t="inlineStr">
        <is>
          <t>ข้อ 21 (PLE_CC1_2557.md)</t>
        </is>
      </c>
      <c r="O16" s="10" t="inlineStr">
        <is>
          <t>ข้อสอบจริง</t>
        </is>
      </c>
      <c r="P16" s="10" t="inlineStr">
        <is>
          <t>ปี 2557</t>
        </is>
      </c>
      <c r="Q16" s="10" t="n"/>
    </row>
    <row r="17" ht="409.6" customHeight="1" s="49">
      <c r="A17" s="12" t="inlineStr">
        <is>
          <t>15</t>
        </is>
      </c>
      <c r="B17" s="10"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สถานการณ์ที_x001E_ 10 หญิงไทย อายุ 26 ปี เข้ามาร้านยา เนื_x0003_องจากมีปัญหาสิว หัวดำ และสิวหัวขาว กระจายทั_x0003_วทั_x001B_งบริเวณใบหน้า ยังไม่มีการ อักเสบ ตุ่มนูนแดง หรือตุ่มหนอง</t>
        </is>
      </c>
      <c r="C17" s="10" t="n"/>
      <c r="D17" s="10" t="inlineStr">
        <is>
          <t>Optical Rotation via Polarimeter</t>
        </is>
      </c>
      <c r="E17" s="10" t="inlineStr">
        <is>
          <t>Refractive Index via Abbe Refractometer</t>
        </is>
      </c>
      <c r="F17" s="10" t="inlineStr">
        <is>
          <t>Fluorescence Spectrophotometry</t>
        </is>
      </c>
      <c r="G17" s="10" t="inlineStr">
        <is>
          <t>Atomic Absorption Spectrophotometry (AAS)</t>
        </is>
      </c>
      <c r="H17" s="10" t="inlineStr">
        <is>
          <t>Differential Scanning Calorimetry (DSC)</t>
        </is>
      </c>
      <c r="I17" s="12" t="inlineStr">
        <is>
          <t>1</t>
        </is>
      </c>
      <c r="J17" s="10" t="inlineStr">
        <is>
          <t>✅ คำตอบที่ถูกต้อง: ข้อ ข. Polarimeter เพื่อตรวจวัดค่า Specific Optical Rotation [alpha]
💡 Background: การทดสอบวัตถุดิบตัวยาที่มีคุณสมบัติเป็น Chiral drug ตามข้อกำหนดในเภสัชตำรับ ต้องยืนยัน Enantiomeric purity หรือ Optical purity
🎯 ทำไมข้อนี้ถึงถูก: เครื่อง Polarimeter ใช้วัดค่าการหมุนระนาบแสงโพลาไรซ์เฉพาะเจาะจง (Specific rotation) ที่ความยาวคลื่น Sodium D-line (589 nm) ซึ่งเป็นหัวข้อมาตรฐานในการควบคุมคุณภาพตัวยาไอโซเมอร์เดี่ยว
🔍 ข้ออื่นผิดเพราะอะไร:
- ข้อ ก. UV-Vis spectrophotometer: ใช้วัดการดูดกลืนแสงของ Chromophore ไม่สามารถแยกความแตกต่างของคู่ Enantiomer ได้
- ข้อ ค. FT-IR spectrometer: วัดการสั่นของพันธะเคมี โมเลกุล Enantiomer ให้สเปกตรัมอินฟราเรดเหมือนกัน
- ข้อ ง. Mass spectrometer: วัดมวลต่อประจุ (m/z) คู่ Enantiomer มีมวลโมเลกุลเท่ากันทุกประการ
- ข้อ จ. Refractometer: ใช้วัดดัชนีหักเหของแสง (Refractive index) สำหรับของเหลวทั่วไป ไม่จำเพาะต่อ Chirality
📖 Guideline อ้างอิง: United States Pharmacopeia (USP-NF) General Chapter &lt;781&gt; Optical Rotation
📌 จุดจำก่อนสอบ: Chiral identification และ Optical purity ใช้ Polarimeter (Specific optical rotation) เป็นหัวข้อมาตรฐาน</t>
        </is>
      </c>
      <c r="K17" s="10" t="n"/>
      <c r="L17" s="10" t="inlineStr">
        <is>
          <t>Polarimetry</t>
        </is>
      </c>
      <c r="M17" s="10" t="inlineStr">
        <is>
          <t>Product</t>
        </is>
      </c>
      <c r="N17" s="10" t="inlineStr">
        <is>
          <t>ข้อ 65 (PLE_CC1_2557.md)</t>
        </is>
      </c>
      <c r="O17" s="10" t="inlineStr">
        <is>
          <t>ข้อสอบจริง</t>
        </is>
      </c>
      <c r="P17" s="10" t="inlineStr">
        <is>
          <t>ปี 2557</t>
        </is>
      </c>
      <c r="Q17" s="10" t="n"/>
    </row>
    <row r="18" ht="409.6" customHeight="1" s="49">
      <c r="A18" s="12" t="inlineStr">
        <is>
          <t>16</t>
        </is>
      </c>
      <c r="B18" s="10" t="inlineStr">
        <is>
          <t>ยาที่มี Polymoph ต่างกันจะมีคุณสมบัติที่แตกต่างกัน ยกเว้น ข้อใด</t>
        </is>
      </c>
      <c r="C18" s="10" t="n"/>
      <c r="D18" s="10" t="inlineStr">
        <is>
          <t>ความคงตัว</t>
        </is>
      </c>
      <c r="E18" s="10" t="inlineStr">
        <is>
          <t>ค่าการละลาย</t>
        </is>
      </c>
      <c r="F18" s="10" t="inlineStr">
        <is>
          <t>ประสิทธิภาพในการรักษา</t>
        </is>
      </c>
      <c r="G18" s="10" t="inlineStr">
        <is>
          <t>ค่าคงที่การดูดกลืนแสง</t>
        </is>
      </c>
      <c r="H18" s="10" t="inlineStr">
        <is>
          <t>การหักเหของแสง คณะเภสัชศาสตร์</t>
        </is>
      </c>
      <c r="I18" s="12" t="inlineStr">
        <is>
          <t>1</t>
        </is>
      </c>
      <c r="J18" s="10" t="inlineStr">
        <is>
          <t>✅ คำตอบที่ถูกต้อง: ข้อ ก. ความคงตัว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ความคงตัว 💡 คำอธิบายและเหตุผลทางเภสัชกรรม:
💡 คำอธิบายและเหตุผลทางเภสัชกรรม:
การเลือก ความคงตัว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(ค่าการละลาย): ค่าการละลาย ไม่ถูกต้องตามหลักการ Analytical Chemistry สำหรับวิธีทดสอบนี้
• ข้อ ค. (ประสิทธิภาพในการรักษา): ประสิทธิภาพในการรักษา ไม่ถูกต้องตามหลักการ Analytical Chemistry สำหรับวิธีทดสอบนี้
• ข้อ ง. (ค่าคงที่การดูดกลืนแสง): ค่าคงที่การดูดกลืนแสง ไม่ถูกต้องตามหลักการ Analytical Chemistry สำหรับวิธีทดสอบนี้
• ข้อ จ. (การหักเหของแสง คณะเภสัชศาสตร์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UV-Vis Spectroscopy</t>
        </is>
      </c>
      <c r="M18" s="10" t="inlineStr">
        <is>
          <t>Product</t>
        </is>
      </c>
      <c r="N18" s="10" t="inlineStr">
        <is>
          <t>ข้อ 89 (PLE_CC1_2555 Day 1.md)</t>
        </is>
      </c>
      <c r="O18" s="10" t="inlineStr">
        <is>
          <t>ข้อสอบจริง</t>
        </is>
      </c>
      <c r="P18" s="10" t="inlineStr">
        <is>
          <t>ปี 2555</t>
        </is>
      </c>
      <c r="Q18" s="10" t="n"/>
    </row>
    <row r="19" ht="409.6" customHeight="1" s="49">
      <c r="A19" s="12" t="inlineStr">
        <is>
          <t>17</t>
        </is>
      </c>
      <c r="B19" s="10" t="inlineStr">
        <is>
          <t>Specific rotation by polarimeter</t>
        </is>
      </c>
      <c r="C19" s="10" t="n"/>
      <c r="D19" s="10" t="inlineStr">
        <is>
          <t>FTIR Spectroscopy (Attenuated Total Reflection)</t>
        </is>
      </c>
      <c r="E19" s="10" t="inlineStr">
        <is>
          <t>Proton NMR (1H-NMR) Spectroscopy</t>
        </is>
      </c>
      <c r="F19" s="10" t="inlineStr">
        <is>
          <t>Carbon-13 NMR (13C-NMR) Spectroscopy</t>
        </is>
      </c>
      <c r="G19" s="10" t="inlineStr">
        <is>
          <t>Electrospray Ionization Mass Spectrometry (ESI-MS)</t>
        </is>
      </c>
      <c r="H19" s="10" t="inlineStr">
        <is>
          <t>Optical Rotation via Polarimeter</t>
        </is>
      </c>
      <c r="I19" s="12" t="inlineStr">
        <is>
          <t>1</t>
        </is>
      </c>
      <c r="J19" s="10" t="inlineStr">
        <is>
          <t>✅ คำตอบที่ถูกต้อง: ข้อ ง. [alpha] = (alpha x 100) / (l x c) โดย c มีหน่วยเป็น g/100 mL และ l มีหน่วยเป็น decimeter (dm)
💡 Background: ค่า Specific optical rotation ([alpha] ที่อุณหภูมิ t และความยาวคลื่น D-line) เป็นค่าคงที่จำเพาะของสารละลายที่มีคุณสมบัติ Optically active
🎯 ทำไมข้อนี้ถึงถูก: ตามสมการมาตรฐานของ Biot: [alpha] = alpha / (l x c) หาก c คิดเป็น g/mL แต่ในทางเภสัชศาสตร์และเภสัชตำรับ (USP/BP) กำหนดให้ c เป็นความเข้มข้นในหน่วย g/100 mL (ร้อยละ w/v) และความยาวทางเดินแสง l เป็น เดซิเมตร (dm) สูตรจึงแปลงเป็น [alpha] = (100 x alpha) / (l x c)
🔍 ข้ออื่นผิดเพราะอะไร:
- ข้อ ก. ใช้ความยาวเป็นเซนติเมตร (cm) โดยไม่แปลงหน่วย: ทำให้ค่าผิดไป 10 เท่า เนื่องจากมาตรฐานตำรายากำหนด l เป็น decimeter (1 dm = 10 cm)
- ข้อ ข. ใช้ความเข้มข้นเป็นโมลาร์ (M): สูตร Specific rotation ในเภสัชตำรับใช้หน่วยน้ำหนักต่อปริมาตร (g/100 mL) ไม่ใช่โมลาริตี
- ข้อ ค. ลืมคูณ 100: หากความเข้มข้นใช้ g/100 mL ต้องมีตัวคูณ 100 เสมอ
- ข้อ จ. นำความยาวคลื่นแสงมาคูณในสูตร: ความยาวคลื่นแสง (589 nm) เป็นสภาวะทดสอบ ไม่ได้นำตัวเลขมาคำนวณในสูตร
📖 Guideline อ้างอิง: United States Pharmacopeia (USP-NF) General Chapter &lt;781&gt; Optical Rotation
📌 จุดจำก่อนสอบ: สูตรคำนวณ Specific rotation ตามเภสัชตำรับ: [alpha] = (100 x alpha) / (l x c) โดย l เป็น dm และ c เป็น g/100 mL</t>
        </is>
      </c>
      <c r="K19" s="10" t="n"/>
      <c r="L19" s="10" t="inlineStr">
        <is>
          <t>Polarimetry</t>
        </is>
      </c>
      <c r="M19" s="10" t="inlineStr">
        <is>
          <t>Product</t>
        </is>
      </c>
      <c r="N19" s="10" t="inlineStr">
        <is>
          <t>ข้อ 3 (PLE_CC1_2555 Day 2.md)</t>
        </is>
      </c>
      <c r="O19" s="10" t="inlineStr">
        <is>
          <t>ข้อสอบจริง</t>
        </is>
      </c>
      <c r="P19" s="10" t="inlineStr">
        <is>
          <t>ปี 2555</t>
        </is>
      </c>
      <c r="Q19" s="10" t="n"/>
    </row>
    <row r="20" ht="409.6" customHeight="1" s="49">
      <c r="A20" s="12" t="inlineStr">
        <is>
          <t>18</t>
        </is>
      </c>
      <c r="B20" s="10" t="inlineStr">
        <is>
          <t>Spectrofluorometry</t>
        </is>
      </c>
      <c r="C20" s="10" t="n"/>
      <c r="D20" s="10" t="inlineStr">
        <is>
          <t>Electrospray Ionization Mass Spectrometry (ESI-MS)</t>
        </is>
      </c>
      <c r="E20" s="10" t="inlineStr">
        <is>
          <t>Optical Rotation via Polarimeter</t>
        </is>
      </c>
      <c r="F20" s="10" t="inlineStr">
        <is>
          <t>Refractive Index via Abbe Refractometer</t>
        </is>
      </c>
      <c r="G20" s="10" t="inlineStr">
        <is>
          <t>Fluorescence Spectrophotometry</t>
        </is>
      </c>
      <c r="H20" s="10" t="inlineStr">
        <is>
          <t>Atomic Absorption Spectrophotometry (AAS)</t>
        </is>
      </c>
      <c r="I20" s="12" t="inlineStr">
        <is>
          <t>1</t>
        </is>
      </c>
      <c r="J20" s="10"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UV-Vis Spectroscopy</t>
        </is>
      </c>
      <c r="M20" s="10" t="inlineStr">
        <is>
          <t>Product</t>
        </is>
      </c>
      <c r="N20" s="10" t="inlineStr">
        <is>
          <t>ข้อ 3 (PLE_CC1_2555 Day 2.md)</t>
        </is>
      </c>
      <c r="O20" s="10" t="inlineStr">
        <is>
          <t>ข้อสอบจริง</t>
        </is>
      </c>
      <c r="P20" s="10" t="inlineStr">
        <is>
          <t>ปี 2555</t>
        </is>
      </c>
      <c r="Q20" s="10" t="n"/>
    </row>
    <row r="21" ht="409.6" customHeight="1" s="49">
      <c r="A21" s="12" t="inlineStr">
        <is>
          <t>19</t>
        </is>
      </c>
      <c r="B21" s="10"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 t="n"/>
      <c r="D21" s="10" t="inlineStr">
        <is>
          <t>X-ray Powder Diffraction (XRPD) และ Differential Scanning Calorimetry (DSC)</t>
        </is>
      </c>
      <c r="E21" s="10" t="inlineStr">
        <is>
          <t>Mass Spectrometry (MS)</t>
        </is>
      </c>
      <c r="F21" s="10" t="inlineStr">
        <is>
          <t>Refractometry</t>
        </is>
      </c>
      <c r="G21" s="10" t="inlineStr">
        <is>
          <t>Polarimetry</t>
        </is>
      </c>
      <c r="H21" s="10" t="inlineStr">
        <is>
          <t>Gas Chromatography (GC)</t>
        </is>
      </c>
      <c r="I21" s="12" t="inlineStr">
        <is>
          <t>1</t>
        </is>
      </c>
      <c r="J21" s="10"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 t="inlineStr">
        <is>
          <t>Solid-State Characterization &amp; Thermal Analysis</t>
        </is>
      </c>
      <c r="L21" s="10" t="inlineStr">
        <is>
          <t>ข้อสอบจริง PLE CC 1 (Polymorphism &amp; Solid-state)</t>
        </is>
      </c>
      <c r="M21" s="10" t="inlineStr">
        <is>
          <t>Product</t>
        </is>
      </c>
      <c r="N21" s="10" t="inlineStr">
        <is>
          <t>ข้อ 19 (PLE_CC1_2554 SET2.md)</t>
        </is>
      </c>
      <c r="O21" s="10" t="inlineStr">
        <is>
          <t>ข้อสอบจริง</t>
        </is>
      </c>
      <c r="P21" s="10" t="inlineStr">
        <is>
          <t>ปี 2554</t>
        </is>
      </c>
      <c r="Q21" s="10" t="n"/>
    </row>
    <row r="22" ht="409.6" customHeight="1" s="49">
      <c r="A22" s="12" t="inlineStr">
        <is>
          <t>20</t>
        </is>
      </c>
      <c r="B22" s="10"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 t="n"/>
      <c r="D22" s="10" t="inlineStr">
        <is>
          <t>a = A / (b × c)</t>
        </is>
      </c>
      <c r="E22" s="10" t="inlineStr">
        <is>
          <t>a = (A × b) / c</t>
        </is>
      </c>
      <c r="F22" s="10" t="inlineStr">
        <is>
          <t>a = (A × c) / b</t>
        </is>
      </c>
      <c r="G22" s="10" t="inlineStr">
        <is>
          <t>a = (b × c) / A</t>
        </is>
      </c>
      <c r="H22" s="10" t="inlineStr">
        <is>
          <t>a = A - (b × c)</t>
        </is>
      </c>
      <c r="I22" s="12" t="inlineStr">
        <is>
          <t>1</t>
        </is>
      </c>
      <c r="J22" s="10"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 t="inlineStr">
        <is>
          <t>UV-Vis Spectroscopy</t>
        </is>
      </c>
      <c r="L22" s="10" t="inlineStr">
        <is>
          <t>ข้อสอบจริง PLE CC 1 (Beer-Lambert Law)</t>
        </is>
      </c>
      <c r="M22" s="10" t="inlineStr">
        <is>
          <t>Product</t>
        </is>
      </c>
      <c r="N22" s="10" t="inlineStr">
        <is>
          <t>ข้อ 5 (PLE_CC1_2533.md)</t>
        </is>
      </c>
      <c r="O22" s="10" t="inlineStr">
        <is>
          <t>ข้อสอบจริง</t>
        </is>
      </c>
      <c r="P22" s="10" t="inlineStr">
        <is>
          <t>ปี 2533</t>
        </is>
      </c>
      <c r="Q22" s="10" t="n"/>
    </row>
    <row r="23" ht="409.6" customHeight="1" s="49">
      <c r="A23" s="12" t="inlineStr">
        <is>
          <t>21</t>
        </is>
      </c>
      <c r="B23" s="10" t="inlineStr">
        <is>
          <t>UV spectrophotometry</t>
        </is>
      </c>
      <c r="C23" s="10" t="n"/>
      <c r="D23" s="10" t="inlineStr">
        <is>
          <t>Carbon-13 NMR (13C-NMR) Spectroscopy</t>
        </is>
      </c>
      <c r="E23" s="10" t="inlineStr">
        <is>
          <t>Electrospray Ionization Mass Spectrometry (ESI-MS)</t>
        </is>
      </c>
      <c r="F23" s="10" t="inlineStr">
        <is>
          <t>Optical Rotation via Polarimeter</t>
        </is>
      </c>
      <c r="G23" s="10" t="inlineStr">
        <is>
          <t>Refractive Index via Abbe Refractometer</t>
        </is>
      </c>
      <c r="H23" s="10" t="inlineStr">
        <is>
          <t>Fluorescence Spectrophotometry</t>
        </is>
      </c>
      <c r="I23" s="12" t="inlineStr">
        <is>
          <t>1</t>
        </is>
      </c>
      <c r="J23" s="10"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UV-Vis Spectroscopy</t>
        </is>
      </c>
      <c r="M23" s="10" t="inlineStr">
        <is>
          <t>Product</t>
        </is>
      </c>
      <c r="N23" s="10" t="inlineStr">
        <is>
          <t>ข้อ 4 (PLE_CC1_2533.md)</t>
        </is>
      </c>
      <c r="O23" s="10" t="inlineStr">
        <is>
          <t>ข้อสอบจริง</t>
        </is>
      </c>
      <c r="P23" s="10" t="inlineStr">
        <is>
          <t>ปี 2533</t>
        </is>
      </c>
      <c r="Q23" s="10" t="n"/>
    </row>
    <row r="24" ht="409.6" customHeight="1" s="49">
      <c r="A24" s="12" t="inlineStr">
        <is>
          <t>22</t>
        </is>
      </c>
      <c r="B24" s="10" t="inlineStr">
        <is>
          <t>โครงสร้างของยาใด สามารถใช้ specific rotation เพื่อระบุเอกลักษณ์ (identification) ได้</t>
        </is>
      </c>
      <c r="C24" s="10" t="n"/>
      <c r="D24" s="10" t="inlineStr">
        <is>
          <t>Pyrazinamide</t>
        </is>
      </c>
      <c r="E24" s="10" t="inlineStr">
        <is>
          <t>Para-aminosalicylic acid</t>
        </is>
      </c>
      <c r="F24" s="10" t="inlineStr">
        <is>
          <t>Ethionamide</t>
        </is>
      </c>
      <c r="G24" s="10" t="inlineStr">
        <is>
          <t>Streptomycin 69 โรคติดเชื้อ</t>
        </is>
      </c>
      <c r="H24" s="10" t="inlineStr">
        <is>
          <t>Ethambutol</t>
        </is>
      </c>
      <c r="I24" s="12" t="inlineStr">
        <is>
          <t>1</t>
        </is>
      </c>
      <c r="J24" s="10" t="inlineStr">
        <is>
          <t>✅ คำตอบที่ถูกต้อง: ข้อ ข. โครงสร้างที่มี Asymmetric Carbon (Chiral center) เช่น ยาปฏิชีวนะกลุ่ม Ampicillin หรือ D-glucose
💡 Background: การตรวจสอบโครงสร้างทางเคมีที่สามารถตรวจวัดด้วยเครื่อง Polarimeter ได้
🎯 ทำไมข้อนี้ถึงถูก: Ampicillin และ D-glucose มี Chiral carbon หลายตำแหน่งในโครงสร้าง และเป็นสารบริสุทธิ์ชนิด Enantiomer เดี่ยว จึงสามารถหมุนระนาบแสงโพลาไรซ์และตรวจวัดด้วย Polarimeter ได้
🔍 ข้ออื่นผิดเพราะอะไร:
- ข้อ ก. Glycine: เป็นกรดอะมิโนชนิดเดียวที่ไม่มี Chiral center (มีหมู่ H สองตัวเกาะที่ C-alpha) จึงเป็น Achiral
- ข้อ ค. Paracetamol: โครงสร้างเป็นวงเบนซีนและสายแขวนที่สมมาตร ไม่มี Chiral carbon
- ข้อ ง. Aspirin: ไม่มี Chiral carbon ไม่สามารถหมุนแสงโพลาไรซ์ได้
- ข้อ จ. Caffeine: โครงสร้างเป็น Xanthine ring ระนาบแบน ไม่มี Chiral center
📖 Guideline อ้างอิง: United States Pharmacopeia (USP-NF) General Chapter &lt;781&gt; Optical Rotation
📌 จุดจำก่อนสอบ: Glycine, Paracetamol, Aspirin, Caffeine ไม่มี Chiral center (Achiral) วัด Polarimeter ไม่ได้ ส่วน Ampicillin และ Glucose มี Chiral center จึงเป็น Optically active</t>
        </is>
      </c>
      <c r="K24" s="10" t="n"/>
      <c r="L24" s="10" t="inlineStr">
        <is>
          <t>Polarimetry</t>
        </is>
      </c>
      <c r="M24" s="10" t="inlineStr">
        <is>
          <t>Product</t>
        </is>
      </c>
      <c r="N24" s="10" t="inlineStr">
        <is>
          <t>ข้อ 16 (PLE_CC1_Practice_Exam.md)</t>
        </is>
      </c>
      <c r="O24" s="10" t="inlineStr">
        <is>
          <t>Mock</t>
        </is>
      </c>
      <c r="P24" s="10" t="inlineStr">
        <is>
          <t>Mock สภาเภสัชฯ Practice</t>
        </is>
      </c>
      <c r="Q24" s="10" t="n"/>
    </row>
    <row r="25" ht="409.6" customHeight="1" s="49">
      <c r="A25" s="12" t="inlineStr">
        <is>
          <t>23</t>
        </is>
      </c>
      <c r="B25" s="10" t="inlineStr">
        <is>
          <t>ข้อใดไม่ใช่กลไกการดื้อยาของ Oxytetracyclin</t>
        </is>
      </c>
      <c r="C25" s="10" t="n"/>
      <c r="D25" s="10" t="inlineStr">
        <is>
          <t>สร้างเอนไซม์มาทำลายยา</t>
        </is>
      </c>
      <c r="E25" s="10" t="inlineStr">
        <is>
          <t>ยับยั้งเอนไซม์ peptidyl transferase</t>
        </is>
      </c>
      <c r="F25" s="10" t="inlineStr">
        <is>
          <t>ขับยาออกนอกเซลล์โดยกระบวนการ active transport</t>
        </is>
      </c>
      <c r="G25" s="10" t="inlineStr">
        <is>
          <t>เปลี่ยนโครงสร้างของไรโบโซม ทำให้ยาจับไม่ได้</t>
        </is>
      </c>
      <c r="H25" s="10" t="inlineStr">
        <is>
          <t>ลดการผ่านเข้าเซลล์ของยา</t>
        </is>
      </c>
      <c r="I25" s="12" t="inlineStr">
        <is>
          <t>1</t>
        </is>
      </c>
      <c r="J25" s="10"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UV-Vis Spectroscopy</t>
        </is>
      </c>
      <c r="M25" s="10" t="inlineStr">
        <is>
          <t>Product</t>
        </is>
      </c>
      <c r="N25" s="10" t="inlineStr">
        <is>
          <t>ข้อ 13 (PLE_CC1_Practice_Exam.md)</t>
        </is>
      </c>
      <c r="O25" s="10" t="inlineStr">
        <is>
          <t>Mock</t>
        </is>
      </c>
      <c r="P25" s="10" t="inlineStr">
        <is>
          <t>Mock สภาเภสัชฯ Practice</t>
        </is>
      </c>
      <c r="Q25" s="10" t="n"/>
    </row>
    <row r="26" ht="409.6" customHeight="1" s="49">
      <c r="A26" s="12" t="inlineStr">
        <is>
          <t>24</t>
        </is>
      </c>
      <c r="B26" s="10" t="inlineStr">
        <is>
          <t>Atomic spectroscopy</t>
        </is>
      </c>
      <c r="C26" s="10" t="n"/>
      <c r="D26" s="10" t="inlineStr">
        <is>
          <t>Proton NMR (1H-NMR) Spectroscopy</t>
        </is>
      </c>
      <c r="E26" s="10" t="inlineStr">
        <is>
          <t>Carbon-13 NMR (13C-NMR) Spectroscopy</t>
        </is>
      </c>
      <c r="F26" s="10" t="inlineStr">
        <is>
          <t>Electrospray Ionization Mass Spectrometry (ESI-MS)</t>
        </is>
      </c>
      <c r="G26" s="10" t="inlineStr">
        <is>
          <t>Optical Rotation via Polarimeter</t>
        </is>
      </c>
      <c r="H26" s="10" t="inlineStr">
        <is>
          <t>Refractive Index via Abbe Refractometer</t>
        </is>
      </c>
      <c r="I26" s="12" t="inlineStr">
        <is>
          <t>1</t>
        </is>
      </c>
      <c r="J26" s="10"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UV-Vis Spectroscopy</t>
        </is>
      </c>
      <c r="M26" s="10" t="inlineStr">
        <is>
          <t>Product</t>
        </is>
      </c>
      <c r="N26" s="10" t="inlineStr">
        <is>
          <t>ข้อ 3 (PLE_CC1_Key_Rx20_UBU.md)</t>
        </is>
      </c>
      <c r="O26" s="10" t="inlineStr">
        <is>
          <t>Mock</t>
        </is>
      </c>
      <c r="P26" s="10" t="inlineStr">
        <is>
          <t>Mock Rx20 UBU</t>
        </is>
      </c>
      <c r="Q26" s="10" t="n"/>
    </row>
    <row r="27" ht="409.6" customHeight="1" s="49">
      <c r="A27" s="35" t="n">
        <v>25</v>
      </c>
      <c r="B27" s="34" t="inlineStr">
        <is>
          <t>(ปี 2566, Day 2 ข้อ 87\) (เรื่อง: การ Validate In-house method ด้วย UV-Vis) ทดสอบ In-house method ของการหา assay ด้วยวิธี UV-Vis ไม่ต้อง validate หัวข้อใด</t>
        </is>
      </c>
      <c r="C27" s="35" t="n"/>
      <c r="D27" s="34" t="inlineStr">
        <is>
          <t>Specificity</t>
        </is>
      </c>
      <c r="E27" s="34" t="inlineStr">
        <is>
          <t>Accuracy</t>
        </is>
      </c>
      <c r="F27" s="34" t="inlineStr">
        <is>
          <t>Linearity</t>
        </is>
      </c>
      <c r="G27" s="34" t="inlineStr">
        <is>
          <t>Precision</t>
        </is>
      </c>
      <c r="H27" s="34" t="inlineStr">
        <is>
          <t>Limit of detection</t>
        </is>
      </c>
      <c r="I27" s="35" t="n">
        <v>1</v>
      </c>
      <c r="J27" s="34" t="inlineStr">
        <is>
          <t>✅ คำตอบที่ถูกต้อง: ข้อ ก. Specificity
💡 Background:
คำถามข้อสอบจริงใบประกอบวิชาชีพ PLE-CC 1 (Product) ปี 2566 ข้อ 33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7" s="35" t="n"/>
      <c r="L27" s="34" t="inlineStr">
        <is>
          <t>Spectroscopy &amp; Optical Analysis</t>
        </is>
      </c>
      <c r="M27" s="35" t="inlineStr">
        <is>
          <t>Product</t>
        </is>
      </c>
      <c r="N27" s="34" t="inlineStr">
        <is>
          <t>ข้อสอบจริง Product ปี 2566 ข้อ 33</t>
        </is>
      </c>
      <c r="O27" s="35" t="inlineStr">
        <is>
          <t>ข้อสอบจริง</t>
        </is>
      </c>
      <c r="P27" s="35" t="inlineStr">
        <is>
          <t>ปี 2566</t>
        </is>
      </c>
    </row>
    <row r="28" ht="409.6" customHeight="1" s="49">
      <c r="A28" s="35" t="n">
        <v>26</v>
      </c>
      <c r="B28" s="34" t="inlineStr">
        <is>
          <t>(ปี 2566, Day 2 ข้อ 90\) (เรื่อง: เครื่องมือทดสอบ Elemental Impurity) จะทดสอบ Elemental impurity ใช้เครื่องมือไหน</t>
        </is>
      </c>
      <c r="C28" s="35" t="n"/>
      <c r="D28" s="34" t="inlineStr">
        <is>
          <t>Inductively-coupled plasma spectroscopy</t>
        </is>
      </c>
      <c r="E28" s="34" t="inlineStr">
        <is>
          <t>FT-IR spectroscopy</t>
        </is>
      </c>
      <c r="F28" s="34" t="inlineStr">
        <is>
          <t>UV-Vis spectroscopy</t>
        </is>
      </c>
      <c r="G28" s="34" t="inlineStr"/>
      <c r="H28" s="34" t="n"/>
      <c r="I28" s="35" t="n">
        <v>1</v>
      </c>
      <c r="J28" s="34" t="inlineStr">
        <is>
          <t>✅ คำตอบที่ถูกต้อง: ข้อ ก. Inductively-coupled plasma spectroscopy
💡 Background:
คำถามข้อสอบจริงใบประกอบวิชาชีพ PLE-CC 1 (Product) ปี 2566 ข้อ 36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8" s="35" t="n"/>
      <c r="L28" s="34" t="inlineStr">
        <is>
          <t>Spectroscopy &amp; Optical Analysis</t>
        </is>
      </c>
      <c r="M28" s="35" t="inlineStr">
        <is>
          <t>Product</t>
        </is>
      </c>
      <c r="N28" s="34" t="inlineStr">
        <is>
          <t>ข้อสอบจริง Product ปี 2566 ข้อ 36</t>
        </is>
      </c>
      <c r="O28" s="35" t="inlineStr">
        <is>
          <t>ข้อสอบจริง</t>
        </is>
      </c>
      <c r="P28" s="35" t="inlineStr">
        <is>
          <t>ปี 2566</t>
        </is>
      </c>
    </row>
    <row r="29" ht="409.6" customHeight="1" s="49">
      <c r="A29" s="35" t="n">
        <v>27</v>
      </c>
      <c r="B29" s="34" t="inlineStr">
        <is>
          <t>(ปี 2566, Day 2 ข้อ 98\) (เรื่อง: การตรวจสอบพื้นที่ห้องปราศจากเชื้อ - ข้อที่ไม่ใช่) ข้อใดไม่ได้เป็นข้อกำหนดในการตรวจพื้นที่การทำงานในห้องปราศจากเชื้อ</t>
        </is>
      </c>
      <c r="C29" s="35" t="n"/>
      <c r="D29" s="34" t="inlineStr">
        <is>
          <t>Air sampling test</t>
        </is>
      </c>
      <c r="E29" s="34" t="inlineStr">
        <is>
          <t>Glove print test</t>
        </is>
      </c>
      <c r="F29" s="34" t="inlineStr">
        <is>
          <t>Contact plate</t>
        </is>
      </c>
      <c r="G29" s="34" t="inlineStr">
        <is>
          <t>Settle plates</t>
        </is>
      </c>
      <c r="H29" s="34" t="inlineStr">
        <is>
          <t>Cleaning validation</t>
        </is>
      </c>
      <c r="I29" s="35" t="n">
        <v>3</v>
      </c>
      <c r="J29" s="34" t="inlineStr">
        <is>
          <t>✅ คำตอบที่ถูกต้อง: ข้อ ค. Contact plate
💡 Background:
คำถามข้อสอบจริงใบประกอบวิชาชีพ PLE-CC 1 (Product) ปี 2566 ข้อ 42
🎯 ทำไมข้อนี้ถึงถูก:
ข้อ ค.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29" s="35" t="n"/>
      <c r="L29" s="34" t="inlineStr">
        <is>
          <t>Spectroscopy &amp; Optical Analysis</t>
        </is>
      </c>
      <c r="M29" s="35" t="inlineStr">
        <is>
          <t>Product</t>
        </is>
      </c>
      <c r="N29" s="34" t="inlineStr">
        <is>
          <t>ข้อสอบจริง Product ปี 2566 ข้อ 42</t>
        </is>
      </c>
      <c r="O29" s="35" t="inlineStr">
        <is>
          <t>ข้อสอบจริง</t>
        </is>
      </c>
      <c r="P29" s="35" t="inlineStr">
        <is>
          <t>ปี 2566</t>
        </is>
      </c>
    </row>
    <row r="30" ht="409.6" customHeight="1" s="49">
      <c r="A30" s="35" t="n">
        <v>28</v>
      </c>
      <c r="B30" s="34" t="inlineStr">
        <is>
          <t>ชื่อยา imdur (ยี่ห้อ) ให้ส่วนประกอบยามา จำได้แค่มี magnesium stearate ข้อใดถูกต้อง</t>
        </is>
      </c>
      <c r="C30" s="35" t="n"/>
      <c r="D30" s="34" t="inlineStr">
        <is>
          <t>ระบบ matti ของยาสามารถหักแบ่งได้แต่ห้ามเคี้ยว</t>
        </is>
      </c>
      <c r="E30" s="34" t="inlineStr">
        <is>
          <t>ระบบ reservoir ของยาตัวนี้สามารถหักแบ่งและเคี้ยวได้</t>
        </is>
      </c>
      <c r="F30" s="34" t="inlineStr">
        <is>
          <t>กินพร้อมยาลดกรดได้</t>
        </is>
      </c>
      <c r="G30" s="34" t="inlineStr">
        <is>
          <t>Na stearate ทำหน้าที่คล้าย Mg stearate ในนี้</t>
        </is>
      </c>
      <c r="H30" s="34" t="inlineStr">
        <is>
          <t>[NEED_REVIEW]</t>
        </is>
      </c>
      <c r="I30" s="35" t="n">
        <v>1</v>
      </c>
      <c r="J30" s="34" t="inlineStr">
        <is>
          <t>✅ คำตอบที่ถูกต้อง: ข้อ ก. ระบบ matti ของยาสามารถหักแบ่งได้แต่ห้ามเคี้ยว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0" s="35" t="n"/>
      <c r="L30" s="34" t="inlineStr">
        <is>
          <t>Spectroscopy &amp; Optical Analysis</t>
        </is>
      </c>
      <c r="M30" s="35" t="inlineStr">
        <is>
          <t>Product</t>
        </is>
      </c>
      <c r="N30" s="34" t="inlineStr">
        <is>
          <t>ข้อสอบจริง Product ปี 2565 ข้อ 9</t>
        </is>
      </c>
      <c r="O30" s="35" t="inlineStr">
        <is>
          <t>ข้อสอบจริง</t>
        </is>
      </c>
      <c r="P30" s="35" t="inlineStr">
        <is>
          <t>ปี 2565</t>
        </is>
      </c>
    </row>
    <row r="31" ht="409.6" customHeight="1" s="49">
      <c r="A31" s="35" t="n">
        <v>29</v>
      </c>
      <c r="B31" s="34" t="inlineStr">
        <is>
          <t>ให้กราฟ Infrared spectroscopy (IR) มา ถามว่าที่ wavelength 1699.34 แสดงถึงโครงสร้างอะไรของยา</t>
        </is>
      </c>
      <c r="C31" s="35" t="n"/>
      <c r="D31" s="34" t="inlineStr">
        <is>
          <t>OH</t>
        </is>
      </c>
      <c r="E31" s="34" t="inlineStr">
        <is>
          <t>C=O</t>
        </is>
      </c>
      <c r="F31" s="34" t="inlineStr">
        <is>
          <t>C-O</t>
        </is>
      </c>
      <c r="G31" s="34" t="inlineStr">
        <is>
          <t>sp3 stretching</t>
        </is>
      </c>
      <c r="H31" s="34" t="inlineStr">
        <is>
          <t>C-C</t>
        </is>
      </c>
      <c r="I31" s="35" t="n">
        <v>1</v>
      </c>
      <c r="J31" s="34" t="inlineStr">
        <is>
          <t>✅ คำตอบที่ถูกต้อง: ข้อ ก. OH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1" s="35" t="n"/>
      <c r="L31" s="34" t="inlineStr">
        <is>
          <t>Spectroscopy &amp; Optical Analysis</t>
        </is>
      </c>
      <c r="M31" s="35" t="inlineStr">
        <is>
          <t>Product</t>
        </is>
      </c>
      <c r="N31" s="34" t="inlineStr">
        <is>
          <t>ข้อสอบจริง Product ปี 2565 ข้อ 45</t>
        </is>
      </c>
      <c r="O31" s="35" t="inlineStr">
        <is>
          <t>ข้อสอบจริง</t>
        </is>
      </c>
      <c r="P31" s="35" t="inlineStr">
        <is>
          <t>ปี 2565</t>
        </is>
      </c>
    </row>
    <row r="32" ht="409.6" customHeight="1" s="49">
      <c r="A32" s="35" t="n">
        <v>30</v>
      </c>
      <c r="B32" s="34" t="inlineStr">
        <is>
          <t>ให้ monograph การทดสอบ dissolution มา แต่จำไม่ได้ว่าคือยาอะไร (น่าจะ tablet ทั่วไป) Apparatus: Apparatus 2 Tolerances: NLT 75% (Q) the labeled amount of .... ข้อใดถูกต้อง</t>
        </is>
      </c>
      <c r="C32" s="35" t="inlineStr">
        <is>
          <t>[แนบรูป: ข้อสอบ Product ปี 2565 รหัสรูปภาพ image15]</t>
        </is>
      </c>
      <c r="D32" s="34" t="inlineStr">
        <is>
          <t>เป็น reservoir device</t>
        </is>
      </c>
      <c r="E32" s="34" t="inlineStr">
        <is>
          <t>ปลดปล่อยยาได้นานขึ้น</t>
        </is>
      </c>
      <c r="F32" s="34" t="inlineStr">
        <is>
          <t>ชื่อระบบ monolithic</t>
        </is>
      </c>
      <c r="G32" s="34" t="inlineStr">
        <is>
          <t>ยากระจายใน matrix</t>
        </is>
      </c>
      <c r="H32" s="34" t="inlineStr">
        <is>
          <t>การปลดปล่อยยา ขึ้นกับ swelling และ erosion ของ polymer matrix</t>
        </is>
      </c>
      <c r="I32" s="35" t="n">
        <v>1</v>
      </c>
      <c r="J32" s="34" t="inlineStr">
        <is>
          <t>✅ คำตอบที่ถูกต้อง: ข้อ ก. เป็น reservoir device
💡 Background:
คำถามข้อสอบจริงใบประกอบวิชาชีพ PLE-CC 1 (Product) ปี 2565 ข้อ 91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2" s="35" t="n"/>
      <c r="L32" s="34" t="inlineStr">
        <is>
          <t>Spectroscopy &amp; Optical Analysis</t>
        </is>
      </c>
      <c r="M32" s="35" t="inlineStr">
        <is>
          <t>Product</t>
        </is>
      </c>
      <c r="N32" s="34" t="inlineStr">
        <is>
          <t>ข้อสอบจริง Product ปี 2565 ข้อ 91</t>
        </is>
      </c>
      <c r="O32" s="35" t="inlineStr">
        <is>
          <t>ข้อสอบจริง</t>
        </is>
      </c>
      <c r="P32" s="35" t="inlineStr">
        <is>
          <t>ปี 2565</t>
        </is>
      </c>
    </row>
    <row r="33" ht="409.6" customHeight="1" s="49">
      <c r="A33" s="35" t="n">
        <v>31</v>
      </c>
      <c r="B33" s="34" t="inlineStr">
        <is>
          <t>ให้ monograph ยา griseofulvin มา Specific Rotation, \+354° to \+364° Specific rotation หาได้จากเครื่องมือใด</t>
        </is>
      </c>
      <c r="C33" s="35" t="n"/>
      <c r="D33" s="34" t="inlineStr">
        <is>
          <t>Monochromator  เป็นส่วนประกอบของเครื่องสเปกโตรโฟโตมิเตอร์ ใช้เลือกความยาวคลื่น</t>
        </is>
      </c>
      <c r="E33" s="34" t="inlineStr">
        <is>
          <t>Polarimeter</t>
        </is>
      </c>
      <c r="F33" s="34" t="inlineStr">
        <is>
          <t>Photometer  วัดความเข้มของแสง</t>
        </is>
      </c>
      <c r="G33" s="34" t="inlineStr">
        <is>
          <t>Spectrophotometer วัดการดูดกลืนแสง (Absorbance)</t>
        </is>
      </c>
      <c r="H33" s="34" t="inlineStr">
        <is>
          <t>Refractometer วัดดัชนีหักเหของแสง (Refractive index)</t>
        </is>
      </c>
      <c r="I33" s="35" t="n">
        <v>1</v>
      </c>
      <c r="J33" s="34" t="inlineStr">
        <is>
          <t>✅ คำตอบที่ถูกต้อง: ข้อ ก. Monochromator  เป็นส่วนประกอบของเครื่องสเปกโตรโฟโตมิเตอร์ ใช้เลือกความยาวคลื่น
💡 Background:
คำถามข้อสอบจริงใบประกอบวิชาชีพ PLE-CC 1 (Product) ปี 2564 ข้อ 28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3" s="35" t="n"/>
      <c r="L33" s="34" t="inlineStr">
        <is>
          <t>Spectroscopy &amp; Optical Analysis</t>
        </is>
      </c>
      <c r="M33" s="35" t="inlineStr">
        <is>
          <t>Product</t>
        </is>
      </c>
      <c r="N33" s="34" t="inlineStr">
        <is>
          <t>ข้อสอบจริง Product ปี 2564 ข้อ 28</t>
        </is>
      </c>
      <c r="O33" s="35" t="inlineStr">
        <is>
          <t>ข้อสอบจริง</t>
        </is>
      </c>
      <c r="P33" s="35" t="inlineStr">
        <is>
          <t>ปี 2564</t>
        </is>
      </c>
    </row>
    <row r="34" ht="409.6" customHeight="1" s="49">
      <c r="A34" s="35" t="n">
        <v>32</v>
      </c>
      <c r="B34" s="34" t="inlineStr">
        <is>
          <t>ให้กราฟมาแล้วถามประมาณว่าปัจจัยอะไรที่ส่งผลให้ a, b, c ต่างกัน [แนบรูป: ข้อสอบ Product ปี 2564 รหัสรูปภาพ image78]</t>
        </is>
      </c>
      <c r="C34" s="35" t="inlineStr">
        <is>
          <t>[แนบรูป: ข้อสอบ Product ปี 2564 รหัสรูปภาพ image78]</t>
        </is>
      </c>
      <c r="D34" s="34" t="inlineStr">
        <is>
          <t>อุณหภูมิ</t>
        </is>
      </c>
      <c r="E34" s="34" t="inlineStr">
        <is>
          <t>ความเข้มข้น</t>
        </is>
      </c>
      <c r="F34" s="34" t="inlineStr">
        <is>
          <t>ความหนืด</t>
        </is>
      </c>
      <c r="G34" s="34" t="inlineStr">
        <is>
          <t>ค่าความเป็นกรด ด่าง</t>
        </is>
      </c>
      <c r="H34" s="34" t="inlineStr">
        <is>
          <t>ชนิดตัวทำละลาย</t>
        </is>
      </c>
      <c r="I34" s="35" t="n">
        <v>1</v>
      </c>
      <c r="J34" s="34" t="inlineStr">
        <is>
          <t>✅ คำตอบที่ถูกต้อง: ข้อ ก. อุณหภูมิ
💡 Background:
คำถามข้อสอบจริงใบประกอบวิชาชีพ PLE-CC 1 (Product) ปี 2564 ข้อ 53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4" s="35" t="n"/>
      <c r="L34" s="34" t="inlineStr">
        <is>
          <t>Spectroscopy &amp; Optical Analysis</t>
        </is>
      </c>
      <c r="M34" s="35" t="inlineStr">
        <is>
          <t>Product</t>
        </is>
      </c>
      <c r="N34" s="34" t="inlineStr">
        <is>
          <t>ข้อสอบจริง Product ปี 2564 ข้อ 53</t>
        </is>
      </c>
      <c r="O34" s="35" t="inlineStr">
        <is>
          <t>ข้อสอบจริง</t>
        </is>
      </c>
      <c r="P34" s="35" t="inlineStr">
        <is>
          <t>ปี 2564</t>
        </is>
      </c>
    </row>
    <row r="35" ht="409.6" customHeight="1" s="49">
      <c r="A35" s="35" t="n">
        <v>33</v>
      </c>
      <c r="B35" s="34" t="inlineStr">
        <is>
          <t>การวิเคราะห์ตัวยา A (40 mg/tablet) โดยนำเม็ดยา A 20 เม็ด ชั่งได้ 1 g นำมาบด และชั่งมา 0.0125 g ละลายในตัวละลาย 10 mL จากนั้นปิเปตมา 1 mL และเจือจางในตัวทำละลาย 100 mL เมื่อ นำมาวัดจะไดค่าดูดกลืนแสง 0.55 โดยสมการเชิงตรงจากกราฟ คือ y = 0.05x และ r^2=1 หา %LA</t>
        </is>
      </c>
      <c r="C35" s="35" t="inlineStr">
        <is>
          <t>[แนบรูป: ข้อสอบ Product ปี 2564 รหัสรูปภาพ image79]</t>
        </is>
      </c>
      <c r="D35" s="34" t="inlineStr">
        <is>
          <t>120%</t>
        </is>
      </c>
      <c r="E35" s="34" t="inlineStr">
        <is>
          <t>110%</t>
        </is>
      </c>
      <c r="F35" s="34" t="inlineStr">
        <is>
          <t>100%</t>
        </is>
      </c>
      <c r="G35" s="34" t="inlineStr">
        <is>
          <t>90%</t>
        </is>
      </c>
      <c r="H35" s="34" t="inlineStr">
        <is>
          <t>80%</t>
        </is>
      </c>
      <c r="I35" s="35" t="n">
        <v>1</v>
      </c>
      <c r="J35" s="34" t="inlineStr">
        <is>
          <t>✅ คำตอบที่ถูกต้อง: ข้อ ก. 120%
💡 Background:
คำถามข้อสอบจริงใบประกอบวิชาชีพ PLE-CC 1 (Product) ปี 2564 ข้อ 63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5" s="35" t="n"/>
      <c r="L35" s="34" t="inlineStr">
        <is>
          <t>Spectroscopy &amp; Optical Analysis</t>
        </is>
      </c>
      <c r="M35" s="35" t="inlineStr">
        <is>
          <t>Product</t>
        </is>
      </c>
      <c r="N35" s="34" t="inlineStr">
        <is>
          <t>ข้อสอบจริง Product ปี 2564 ข้อ 63</t>
        </is>
      </c>
      <c r="O35" s="35" t="inlineStr">
        <is>
          <t>ข้อสอบจริง</t>
        </is>
      </c>
      <c r="P35" s="35" t="inlineStr">
        <is>
          <t>ปี 2564</t>
        </is>
      </c>
    </row>
    <row r="36" ht="409.6" customHeight="1" s="49">
      <c r="A36" s="35" t="n">
        <v>34</v>
      </c>
      <c r="B36" s="34" t="inlineStr">
        <is>
          <t>เครื่องมือใดสามารถใช้หามวลโมเลกุลและโครงสร้างของสารได้ รูป A [แนบรูป: ข้อสอบ Product ปี 2564 รหัสรูปภาพ image82] รูป B [แนบรูป: ข้อสอบ Product ปี 2564 รหัสรูปภาพ image83] รูป C [แนบรูป: ข้อสอบ Product ปี 2564 รหัสรูปภาพ image84]</t>
        </is>
      </c>
      <c r="C36" s="35" t="inlineStr">
        <is>
          <t>[แนบรูป: ข้อสอบ Product ปี 2564 รหัสรูปภาพ image82]</t>
        </is>
      </c>
      <c r="D36" s="34" t="inlineStr">
        <is>
          <t>A</t>
        </is>
      </c>
      <c r="E36" s="34" t="inlineStr">
        <is>
          <t>B</t>
        </is>
      </c>
      <c r="F36" s="34" t="inlineStr">
        <is>
          <t>A และ B</t>
        </is>
      </c>
      <c r="G36" s="34" t="inlineStr">
        <is>
          <t>B และ C</t>
        </is>
      </c>
      <c r="H36" s="34" t="inlineStr">
        <is>
          <t>A และ C</t>
        </is>
      </c>
      <c r="I36" s="35" t="n">
        <v>1</v>
      </c>
      <c r="J36" s="34" t="inlineStr">
        <is>
          <t>✅ คำตอบที่ถูกต้อง: ข้อ ก. A
💡 Background:
คำถามข้อสอบจริงใบประกอบวิชาชีพ PLE-CC 1 (Product) ปี 2564 ข้อ 87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6" s="35" t="n"/>
      <c r="L36" s="34" t="inlineStr">
        <is>
          <t>Spectroscopy &amp; Optical Analysis</t>
        </is>
      </c>
      <c r="M36" s="35" t="inlineStr">
        <is>
          <t>Product</t>
        </is>
      </c>
      <c r="N36" s="34" t="inlineStr">
        <is>
          <t>ข้อสอบจริง Product ปี 2564 ข้อ 87</t>
        </is>
      </c>
      <c r="O36" s="35" t="inlineStr">
        <is>
          <t>ข้อสอบจริง</t>
        </is>
      </c>
      <c r="P36" s="35" t="inlineStr">
        <is>
          <t>ปี 2564</t>
        </is>
      </c>
    </row>
    <row r="37" ht="409.6" customHeight="1" s="49">
      <c r="A37" s="35" t="n">
        <v>35</v>
      </c>
      <c r="B37" s="34" t="inlineStr">
        <is>
          <t>จากใบ Certificate of analysis ของ raltegravir potassium ผ่านเกณฑ์การยอมรับหรือไม่ Certificate of analysis Product name: Raltegravir potassium Lot number: XXXXX1 |  | Specification | Result | | :---- | :---- | :---- | | Description | Powder | Conforms | | Appearance | White | Conforms | | Identification | Positive | Conforms | | Loss on drying | NMT 0.6% | 0.8% | | Assay | 98.0 to 102.0% | 99.6% | | Microbiology test | Specification | Result | | :---- | :---- | :---- | | Total aerobic plate test | \&lt;1000 cfu/ml | \&lt;1000 cfu/ml | | Total yeast and mold test | \&lt;100 cfu/ml | \&lt;100 cfu/ml | | Coliform test | Negative | Negative | | E.coli | Negative | Negative | | Salmonella | Negative | Negative | | S.aureus | Negative | Negative | | Pseudomonas | Negative | Negative |</t>
        </is>
      </c>
      <c r="C37" s="35" t="n"/>
      <c r="D37" s="34" t="inlineStr">
        <is>
          <t>มี Preservatives ❌ ผิด เพราะ Sterile Water for Injection ต้อง ปราศจากสารกันเสีย ถ้ามี preservative จะเป็น Bacteriostatic Water for Injection</t>
        </is>
      </c>
      <c r="E37" s="34" t="inlineStr">
        <is>
          <t>ใช้ได้หลายครั้ง ❌ โดยทั่วไปเป็น single-dose container เปิดแล้วควรใช้ทันที</t>
        </is>
      </c>
      <c r="F37" s="34" t="inlineStr">
        <is>
          <t>ได้จากน้ำกลั่นที่ทำให้ปราศจากเชื้อ ✅ ถูกต้อง WFI สามารถผลิตจากกระบวนการเช่น distillation แล้วทำให้ sterile</t>
        </is>
      </c>
      <c r="G37" s="34" t="inlineStr">
        <is>
          <t>ใช้ภาชนะเป็น glass type III ❌ ไม่ใช่ข้อกำหนดจำเพาะ ภาชนะสำหรับยาฉีดมักใช้ Type I glass (borosilicate) สำหรับความปลอดภัยสูง</t>
        </is>
      </c>
      <c r="H37" s="34" t="inlineStr">
        <is>
          <t>Osmolarity 308 ❌ Sterile water ไม่มี electrolytes → ไม่เป็น isotonic Osmolarity ≈ 0 mOsm/L ค่า \~308 mOsm/L คือสารละลาย isotonic เช่น 0.9% NaCl</t>
        </is>
      </c>
      <c r="I37" s="35" t="n">
        <v>1</v>
      </c>
      <c r="J37" s="34" t="inlineStr">
        <is>
          <t>✅ คำตอบที่ถูกต้อง: ข้อ ก. มี Preservatives ❌ ผิด เพราะ Sterile Water for Injection ต้อง ปราศจากสารกันเสีย ถ้ามี preservative จะเป็น Bacteriostatic Water for Injection
💡 Background:
คำถามข้อสอบจริงใบประกอบวิชาชีพ PLE-CC 1 (Product) ปี 2564 ข้อ 96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7" s="35" t="n"/>
      <c r="L37" s="34" t="inlineStr">
        <is>
          <t>Spectroscopy &amp; Optical Analysis</t>
        </is>
      </c>
      <c r="M37" s="35" t="inlineStr">
        <is>
          <t>Product</t>
        </is>
      </c>
      <c r="N37" s="34" t="inlineStr">
        <is>
          <t>ข้อสอบจริง Product ปี 2564 ข้อ 96</t>
        </is>
      </c>
      <c r="O37" s="35" t="inlineStr">
        <is>
          <t>ข้อสอบจริง</t>
        </is>
      </c>
      <c r="P37" s="35" t="inlineStr">
        <is>
          <t>ปี 2564</t>
        </is>
      </c>
    </row>
    <row r="38" ht="409.6" customHeight="1" s="49">
      <c r="A38" s="35" t="n">
        <v>36</v>
      </c>
      <c r="B38" s="34" t="inlineStr">
        <is>
          <t>จากข้อกำหนด USP monograph: Acyclovir contains not less than 98.5 percent and not more than 101.0 percent of C8H11N5O3 calculated as anhydrous basis ถ้าชั่งวัตถุดิบ acyclovir 150 mg วิเคราะห์หาปริมาณตัวยาสาคัญได้ 142 mg และวิเคราะห์หาปริมาณน้ำได้ 4.27% วัตถุดิบปราศจากน้ำจะมี acyclovir กี่เปอร์เซ็นต์</t>
        </is>
      </c>
      <c r="C38" s="35" t="inlineStr">
        <is>
          <t>[แนบรูป: ข้อสอบ Product ปี 2564 รหัสรูปภาพ image86]</t>
        </is>
      </c>
      <c r="D38" s="34" t="inlineStr">
        <is>
          <t>90.4%</t>
        </is>
      </c>
      <c r="E38" s="34" t="inlineStr">
        <is>
          <t>94.7%</t>
        </is>
      </c>
      <c r="F38" s="34" t="inlineStr">
        <is>
          <t>95.7%</t>
        </is>
      </c>
      <c r="G38" s="34" t="inlineStr">
        <is>
          <t>98.9%</t>
        </is>
      </c>
      <c r="H38" s="34" t="inlineStr">
        <is>
          <t>105.6%</t>
        </is>
      </c>
      <c r="I38" s="35" t="n">
        <v>1</v>
      </c>
      <c r="J38" s="34" t="inlineStr">
        <is>
          <t>✅ คำตอบที่ถูกต้อง: ข้อ ก. 90.4%
💡 Background:
คำถามข้อสอบจริงใบประกอบวิชาชีพ PLE-CC 1 (Product) ปี 2564 ข้อ 102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8" s="35" t="n"/>
      <c r="L38" s="34" t="inlineStr">
        <is>
          <t>Spectroscopy &amp; Optical Analysis</t>
        </is>
      </c>
      <c r="M38" s="35" t="inlineStr">
        <is>
          <t>Product</t>
        </is>
      </c>
      <c r="N38" s="34" t="inlineStr">
        <is>
          <t>ข้อสอบจริง Product ปี 2564 ข้อ 102</t>
        </is>
      </c>
      <c r="O38" s="35" t="inlineStr">
        <is>
          <t>ข้อสอบจริง</t>
        </is>
      </c>
      <c r="P38" s="35" t="inlineStr">
        <is>
          <t>ปี 2564</t>
        </is>
      </c>
    </row>
    <row r="39" ht="409.6" customHeight="1" s="49">
      <c r="A39" s="35" t="n">
        <v>37</v>
      </c>
      <c r="B39" s="34" t="inlineStr">
        <is>
          <t>ระบบแผ่นแปะที่เป็นระบบ reservoir จะปลดปล่อยยาด้วยปฏิกิริยาลำดับใด</t>
        </is>
      </c>
      <c r="C39" s="35" t="n"/>
      <c r="D39" s="34" t="inlineStr">
        <is>
          <t>Zero order</t>
        </is>
      </c>
      <c r="E39" s="34" t="inlineStr">
        <is>
          <t>First order</t>
        </is>
      </c>
      <c r="F39" s="34" t="inlineStr">
        <is>
          <t>Pseudo first orders</t>
        </is>
      </c>
      <c r="G39" s="34" t="inlineStr">
        <is>
          <t>Second order</t>
        </is>
      </c>
      <c r="H39" s="34" t="inlineStr">
        <is>
          <t>Pseudo zero order</t>
        </is>
      </c>
      <c r="I39" s="35" t="n">
        <v>1</v>
      </c>
      <c r="J39" s="34" t="inlineStr">
        <is>
          <t>✅ คำตอบที่ถูกต้อง: ข้อ ก. Zero order
💡 Background:
คำถามข้อสอบจริงใบประกอบวิชาชีพ PLE-CC 1 (Product) ปี 2564 ข้อ 119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39" s="35" t="n"/>
      <c r="L39" s="34" t="inlineStr">
        <is>
          <t>Spectroscopy &amp; Optical Analysis</t>
        </is>
      </c>
      <c r="M39" s="35" t="inlineStr">
        <is>
          <t>Product</t>
        </is>
      </c>
      <c r="N39" s="34" t="inlineStr">
        <is>
          <t>ข้อสอบจริง Product ปี 2564 ข้อ 119</t>
        </is>
      </c>
      <c r="O39" s="35" t="inlineStr">
        <is>
          <t>ข้อสอบจริง</t>
        </is>
      </c>
      <c r="P39" s="35" t="inlineStr">
        <is>
          <t>ปี 2564</t>
        </is>
      </c>
    </row>
    <row r="40" ht="409.6" customHeight="1" s="49">
      <c r="A40" s="35" t="n">
        <v>38</v>
      </c>
      <c r="B40" s="34" t="inlineStr">
        <is>
          <t>ควรทำตำรับรูปแบบใดเตรียมยาสำหรับเด็กซึ่งเป็นผงที่ไม่ละลายน้ำ</t>
        </is>
      </c>
      <c r="C40" s="35" t="n"/>
      <c r="D40" s="34" t="inlineStr">
        <is>
          <t>Elixir ❌ ใช้กับยาที่ละลายในน้ำ/แอลกอฮอล์</t>
        </is>
      </c>
      <c r="E40" s="34" t="inlineStr">
        <is>
          <t>Solution ❌ ต้องละลายน้ำได้</t>
        </is>
      </c>
      <c r="F40" s="34" t="inlineStr">
        <is>
          <t>Tablets ❌ เด็ก 4 ขวบรับประทานยาลำบาก</t>
        </is>
      </c>
      <c r="G40" s="34" t="inlineStr">
        <is>
          <t>Capsule ❌ เด็กกลืนยาก และไม่เหมาะกับการปรับขนาดยา</t>
        </is>
      </c>
      <c r="H40" s="34" t="inlineStr">
        <is>
          <t>Suspension ✅ เหมาะกับยาที่ไม่ละลายน้ำและใช้ในเด็ก</t>
        </is>
      </c>
      <c r="I40" s="35" t="n">
        <v>1</v>
      </c>
      <c r="J40" s="34" t="inlineStr">
        <is>
          <t>✅ คำตอบที่ถูกต้อง: ข้อ ก. Elixir ❌ ใช้กับยาที่ละลายในน้ำ/แอลกอฮอล์
💡 Background:
คำถามข้อสอบจริงใบประกอบวิชาชีพ PLE-CC 1 (Product) ปี 2564 ข้อ 120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0" s="35" t="n"/>
      <c r="L40" s="34" t="inlineStr">
        <is>
          <t>Spectroscopy &amp; Optical Analysis</t>
        </is>
      </c>
      <c r="M40" s="35" t="inlineStr">
        <is>
          <t>Product</t>
        </is>
      </c>
      <c r="N40" s="34" t="inlineStr">
        <is>
          <t>ข้อสอบจริง Product ปี 2564 ข้อ 120</t>
        </is>
      </c>
      <c r="O40" s="35" t="inlineStr">
        <is>
          <t>ข้อสอบจริง</t>
        </is>
      </c>
      <c r="P40" s="35" t="inlineStr">
        <is>
          <t>ปี 2564</t>
        </is>
      </c>
    </row>
    <row r="41" ht="409.6" customHeight="1" s="49">
      <c r="A41" s="35" t="n">
        <v>39</v>
      </c>
      <c r="B41" s="34" t="inlineStr">
        <is>
          <t>Donepezil 5 mg คุณสมบัติ good flowability stable in acid แต่ hydrolysis ใน alkaline และ neutral solution ได้ degradation products ควรเตรียมยาด้วยวิธีอะไร</t>
        </is>
      </c>
      <c r="C41" s="35" t="n"/>
      <c r="D41" s="34" t="inlineStr">
        <is>
          <t>Dry granulation ❌ ใช้เมื่อ flow/compressibility ไม่ดี แต่ไม่จำเป็น</t>
        </is>
      </c>
      <c r="E41" s="34" t="inlineStr">
        <is>
          <t>Wet granulation \+ starch paste ❌ มีน้ำ → เสี่ยง hydrolysis</t>
        </is>
      </c>
      <c r="F41" s="34" t="inlineStr">
        <is>
          <t>Direct compression ✅ ไม่ใช้น้ำและเหมาะกับผงที่ไหลดี</t>
        </is>
      </c>
      <c r="G41" s="34" t="inlineStr">
        <is>
          <t>Wet or dry granulation ❌ wet granulation ไม่เหมาะ</t>
        </is>
      </c>
      <c r="H41" s="34" t="inlineStr">
        <is>
          <t>Direct compression or dry granulation with starch binder ❌ starch binder ไม่จำเป็น และอาจมีปัญหาเรื่องความชื้น</t>
        </is>
      </c>
      <c r="I41" s="35" t="n">
        <v>1</v>
      </c>
      <c r="J41" s="34" t="inlineStr">
        <is>
          <t>✅ คำตอบที่ถูกต้อง: ข้อ ก. Dry granulation ❌ ใช้เมื่อ flow/compressibility ไม่ดี แต่ไม่จำเป็น
💡 Background:
คำถามข้อสอบจริงใบประกอบวิชาชีพ PLE-CC 1 (Product) ปี 2564 ข้อ 131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1" s="35" t="n"/>
      <c r="L41" s="34" t="inlineStr">
        <is>
          <t>Spectroscopy &amp; Optical Analysis</t>
        </is>
      </c>
      <c r="M41" s="35" t="inlineStr">
        <is>
          <t>Product</t>
        </is>
      </c>
      <c r="N41" s="34" t="inlineStr">
        <is>
          <t>ข้อสอบจริง Product ปี 2564 ข้อ 131</t>
        </is>
      </c>
      <c r="O41" s="35" t="inlineStr">
        <is>
          <t>ข้อสอบจริง</t>
        </is>
      </c>
      <c r="P41" s="35" t="inlineStr">
        <is>
          <t>ปี 2564</t>
        </is>
      </c>
    </row>
    <row r="42" ht="409.6" customHeight="1" s="49">
      <c r="A42" s="35" t="n">
        <v>40</v>
      </c>
      <c r="B42" s="34" t="inlineStr">
        <is>
          <t>จาก IR spectrum ตำแหน่ง 1685.16 cm⁻¹ คือหมู่พันธะใด [แนบรูป: ข้อสอบ Product ปี 2564 รหัสรูปภาพ image88]</t>
        </is>
      </c>
      <c r="C42" s="35" t="inlineStr">
        <is>
          <t>[แนบรูป: ข้อสอบ Product ปี 2564 รหัสรูปภาพ image88]</t>
        </is>
      </c>
      <c r="D42" s="34" t="inlineStr">
        <is>
          <t>-C=O</t>
        </is>
      </c>
      <c r="E42" s="34" t="inlineStr">
        <is>
          <t>-C=C-</t>
        </is>
      </c>
      <c r="F42" s="34" t="inlineStr">
        <is>
          <t>-SH</t>
        </is>
      </c>
      <c r="G42" s="34" t="inlineStr">
        <is>
          <t>-OH</t>
        </is>
      </c>
      <c r="H42" s="34" t="inlineStr">
        <is>
          <t>-H</t>
        </is>
      </c>
      <c r="I42" s="35" t="n">
        <v>1</v>
      </c>
      <c r="J42" s="34" t="inlineStr">
        <is>
          <t>✅ คำตอบที่ถูกต้อง: ข้อ ก. -C=O
💡 Background:
คำถามข้อสอบจริงใบประกอบวิชาชีพ PLE-CC 1 (Product) ปี 2564 ข้อ 150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2" s="35" t="n"/>
      <c r="L42" s="34" t="inlineStr">
        <is>
          <t>Spectroscopy &amp; Optical Analysis</t>
        </is>
      </c>
      <c r="M42" s="35" t="inlineStr">
        <is>
          <t>Product</t>
        </is>
      </c>
      <c r="N42" s="34" t="inlineStr">
        <is>
          <t>ข้อสอบจริง Product ปี 2564 ข้อ 150</t>
        </is>
      </c>
      <c r="O42" s="35" t="inlineStr">
        <is>
          <t>ข้อสอบจริง</t>
        </is>
      </c>
      <c r="P42" s="35" t="inlineStr">
        <is>
          <t>ปี 2564</t>
        </is>
      </c>
    </row>
    <row r="43" ht="409.6" customHeight="1" s="49">
      <c r="A43" s="35" t="n">
        <v>41</v>
      </c>
      <c r="B43" s="34" t="inlineStr">
        <is>
          <t>จาก monograph การควบคุมคุณภาพยาเม็ด diclofenac sodium delayed tablet ข้อใดถูกต้อง Dissolution (711) — Proceed as directed for Procedure for Method B under Apparatus 1 and Apparatus 2, Delayed-Release Dosage Forms. ACID STAGE— Medium: 0.1 N hydrochloric acid; 900 mL. Apparatus 2 (paddles constructed of, or coated with, polytef being used); 50 rpm. Procedure— At the end of 2 hours, remove each Tablet, or the major portion thereof if the Tablet is not intact, from the individual vessels, and subject them to the test in the Buffer stage. To the 0.1 N hydrochloric acid remaining in each vessel, add 20.0 mL of 5 N sodium hydroxide, and stir for 5 minutes. Determine the amount of C14H10Cl2NNaO2 dissolved from UV absorbances at the wavelength of maximum absorbance at about 276 nm on filtered portions of the solution under test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a mixture of 0.1 N hydrochloric acid and 5 N sodium hydroxide (900:20) to volume, and mix. This Standard solution contains about 13.6 µg of USP Diclofenac Sodium RS per mL. BUFFER STAGE— pH 6.8 Phosphate buffer— Dissolve 76 g of tribasic sodium phosphate in water to obtain 1000 mL of solution. Mix 250 mL of this solution with 750 mL of 0.1 N hydrochloric acid, and, if necessary, adjust with 2 N hydrochloric acid or 2 N sodium hydroxide to a pH of 6.8 ± 0.05. Medium: pH 6.8 Phosphate buffer; 900 mL. Apparatus 2: 50 rpm. Procedure— At the end of 45 minutes, determine the amount of C14H10Cl2NNaO2 dissolved from UV absorbances at the wavelength of maximum absorbance at about 278 nm on filtered portions of the solutions under test, suitably diluted with Medium, in comparison with a Standard solution prepared as follows. Transfer about 68 mg of USP Diclofenac Sodium RS, accurately weighed, to a 100-mL volumetric flask, add 10.0 mL of 0.1 N sodium hydroxide, dilute with water to volume, and mix. Transfer 3.0 mL of this solution to a second 100-mL volumetric flask, dilute with Medium, as obtained in the Buffer stage, to volume, and mix. This Standard solution contains about 0.02 mg of USP Diclofenac Sodium RS per mL. Tolerances— Not less than 75% (Q) of the labeled amount of C14H10Cl2NNaO2 is dissolved.</t>
        </is>
      </c>
      <c r="C43" s="35" t="n"/>
      <c r="D43" s="34" t="inlineStr">
        <is>
          <t>ใช้ basket apparatus</t>
        </is>
      </c>
      <c r="E43" s="34" t="inlineStr">
        <is>
          <t>เป็นการทดสอบหัวข้อ dissolution</t>
        </is>
      </c>
      <c r="F43" s="34" t="inlineStr">
        <is>
          <t>เป็นการทดสอบหัวข้อ disintegration</t>
        </is>
      </c>
      <c r="G43" s="34" t="inlineStr">
        <is>
          <t>เป็นการทดสอบหัวข้อ uniformity of dosage unit</t>
        </is>
      </c>
      <c r="H43" s="34" t="inlineStr">
        <is>
          <t>ต้องมีตัวยาละลายไม่น้อยกว่า 75% ของปริมาณยาที่ระบุบนฉลาก</t>
        </is>
      </c>
      <c r="I43" s="35" t="n">
        <v>1</v>
      </c>
      <c r="J43" s="34" t="inlineStr">
        <is>
          <t>✅ คำตอบที่ถูกต้อง: ข้อ ก. ใช้ basket apparatus
💡 Background:
คำถามข้อสอบจริงใบประกอบวิชาชีพ PLE-CC 1 (Product) ปี 2564 ข้อ 151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3" s="35" t="n"/>
      <c r="L43" s="34" t="inlineStr">
        <is>
          <t>Spectroscopy &amp; Optical Analysis</t>
        </is>
      </c>
      <c r="M43" s="35" t="inlineStr">
        <is>
          <t>Product</t>
        </is>
      </c>
      <c r="N43" s="34" t="inlineStr">
        <is>
          <t>ข้อสอบจริง Product ปี 2564 ข้อ 151</t>
        </is>
      </c>
      <c r="O43" s="35" t="inlineStr">
        <is>
          <t>ข้อสอบจริง</t>
        </is>
      </c>
      <c r="P43" s="35" t="inlineStr">
        <is>
          <t>ปี 2564</t>
        </is>
      </c>
    </row>
    <row r="44" ht="409.6" customHeight="1" s="49">
      <c r="A44" s="35" t="n">
        <v>42</v>
      </c>
      <c r="B44" s="34" t="inlineStr">
        <is>
          <t>จากโครงสร้างยา rifampicin ควรใช้เครื่องมือใดในการหาปริมาณยา [แนบรูป: ข้อสอบ Product ปี 2564 รหัสรูปภาพ image92]</t>
        </is>
      </c>
      <c r="C44" s="35" t="inlineStr">
        <is>
          <t>[แนบรูป: ข้อสอบ Product ปี 2564 รหัสรูปภาพ image92]</t>
        </is>
      </c>
      <c r="D44" s="34" t="inlineStr">
        <is>
          <t>UV-visible spectrophotometer</t>
        </is>
      </c>
      <c r="E44" s="34" t="inlineStr">
        <is>
          <t>Infrared spectroscope</t>
        </is>
      </c>
      <c r="F44" s="34" t="inlineStr">
        <is>
          <t>Mass spectroscope</t>
        </is>
      </c>
      <c r="G44" s="34" t="inlineStr">
        <is>
          <t>Refractometer</t>
        </is>
      </c>
      <c r="H44" s="34" t="inlineStr">
        <is>
          <t>Polarimeter</t>
        </is>
      </c>
      <c r="I44" s="35" t="n">
        <v>1</v>
      </c>
      <c r="J44" s="34" t="inlineStr">
        <is>
          <t>✅ คำตอบที่ถูกต้อง: ข้อ ก. UV-visible spectrophotometer
💡 Background:
คำถามข้อสอบจริงใบประกอบวิชาชีพ PLE-CC 1 (Product) ปี 2564 ข้อ 160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4" s="35" t="n"/>
      <c r="L44" s="34" t="inlineStr">
        <is>
          <t>Spectroscopy &amp; Optical Analysis</t>
        </is>
      </c>
      <c r="M44" s="35" t="inlineStr">
        <is>
          <t>Product</t>
        </is>
      </c>
      <c r="N44" s="34" t="inlineStr">
        <is>
          <t>ข้อสอบจริง Product ปี 2564 ข้อ 160</t>
        </is>
      </c>
      <c r="O44" s="35" t="inlineStr">
        <is>
          <t>ข้อสอบจริง</t>
        </is>
      </c>
      <c r="P44" s="35" t="inlineStr">
        <is>
          <t>ปี 2564</t>
        </is>
      </c>
    </row>
    <row r="45" ht="409.6" customHeight="1" s="49">
      <c r="A45" s="35" t="n">
        <v>43</v>
      </c>
      <c r="B45" s="34" t="inlineStr">
        <is>
          <t>ให้กราฟดังกล่าวให้ข้อมูลใด [แนบรูป: ข้อสอบ Product ปี 2564 รหัสรูปภาพ image93]</t>
        </is>
      </c>
      <c r="C45" s="35" t="inlineStr">
        <is>
          <t>[แนบรูป: ข้อสอบ Product ปี 2564 รหัสรูปภาพ image93]</t>
        </is>
      </c>
      <c r="D45" s="34" t="inlineStr">
        <is>
          <t>หมู่ฟังก์ชัน</t>
        </is>
      </c>
      <c r="E45" s="34" t="inlineStr">
        <is>
          <t>มวลโมเลกุล</t>
        </is>
      </c>
      <c r="F45" s="34" t="inlineStr">
        <is>
          <t>จำนวนโปรตอน</t>
        </is>
      </c>
      <c r="G45" s="34" t="inlineStr">
        <is>
          <t>จำนวนอิเล็กตรอน</t>
        </is>
      </c>
      <c r="H45" s="34" t="inlineStr">
        <is>
          <t>องค์ประกอบของธาตุ</t>
        </is>
      </c>
      <c r="I45" s="35" t="n">
        <v>1</v>
      </c>
      <c r="J45" s="34" t="inlineStr">
        <is>
          <t>✅ คำตอบที่ถูกต้อง: ข้อ ก. หมู่ฟังก์ชัน
💡 Background:
คำถามข้อสอบจริงใบประกอบวิชาชีพ PLE-CC 1 (Product) ปี 2564 ข้อ 169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5" s="35" t="n"/>
      <c r="L45" s="34" t="inlineStr">
        <is>
          <t>Spectroscopy &amp; Optical Analysis</t>
        </is>
      </c>
      <c r="M45" s="35" t="inlineStr">
        <is>
          <t>Product</t>
        </is>
      </c>
      <c r="N45" s="34" t="inlineStr">
        <is>
          <t>ข้อสอบจริง Product ปี 2564 ข้อ 169</t>
        </is>
      </c>
      <c r="O45" s="35" t="inlineStr">
        <is>
          <t>ข้อสอบจริง</t>
        </is>
      </c>
      <c r="P45" s="35" t="inlineStr">
        <is>
          <t>ปี 2564</t>
        </is>
      </c>
    </row>
    <row r="46" ht="409.6" customHeight="1" s="49">
      <c r="A46" s="35" t="n">
        <v>44</v>
      </c>
      <c r="B46" s="34" t="inlineStr">
        <is>
          <t>จากข้อกำหนด USP monograph: ต้นฉบับ: Day 1 ข้อ 81 Acyclovir contains not less than 98.5 % and not more than 101.0 percent of C8H11N5O3 calculated as anhydrous basis ถ้าชั่งวัตถุดิบ acyclovir 150 mg วิเคราะห์หาปริมาณตัวยาสำคัญได้ 142 mg และวิเคราะห์หาปริมาณน้ำได้ 4.27% วัตถุดิบปราศจากน้ำจะมี acyclovir กี่เปอร์เซ็นต์</t>
        </is>
      </c>
      <c r="C46" s="35" t="n"/>
      <c r="D46" s="34" t="inlineStr">
        <is>
          <t>90.4%</t>
        </is>
      </c>
      <c r="E46" s="34" t="inlineStr">
        <is>
          <t>94.7%</t>
        </is>
      </c>
      <c r="F46" s="34" t="inlineStr">
        <is>
          <t>95.7%</t>
        </is>
      </c>
      <c r="G46" s="34" t="inlineStr">
        <is>
          <t>98.9%</t>
        </is>
      </c>
      <c r="H46" s="34" t="inlineStr">
        <is>
          <t>105.6%</t>
        </is>
      </c>
      <c r="I46" s="35" t="n">
        <v>4</v>
      </c>
      <c r="J46" s="34" t="inlineStr">
        <is>
          <t>✅ คำตอบที่ถูกต้อง: ข้อ ง. 98.9%
💡 Background:
คำถามข้อสอบจริงใบประกอบวิชาชีพ PLE-CC 1 (Product) ปี 2563 ข้อ 2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6" s="35" t="n"/>
      <c r="L46" s="34" t="inlineStr">
        <is>
          <t>Spectroscopy &amp; Optical Analysis</t>
        </is>
      </c>
      <c r="M46" s="35" t="inlineStr">
        <is>
          <t>Product</t>
        </is>
      </c>
      <c r="N46" s="34" t="inlineStr">
        <is>
          <t>ข้อสอบจริง Product ปี 2563 ข้อ 2</t>
        </is>
      </c>
      <c r="O46" s="35" t="inlineStr">
        <is>
          <t>ข้อสอบจริง</t>
        </is>
      </c>
      <c r="P46" s="35" t="inlineStr">
        <is>
          <t>ปี 2563</t>
        </is>
      </c>
    </row>
    <row r="47" ht="409.6" customHeight="1" s="49">
      <c r="A47" s="35" t="n">
        <v>45</v>
      </c>
      <c r="B47" s="34" t="inlineStr">
        <is>
          <t>จากใบ Certificate of analysis ของ raltegravir potassium ผ่านเกณฑ์การยอมรับหรือไม่ ต้นฉบับ: Day 1 ข้อ 42 (คำถาม Certificate of Analysis; เลขข้อ 42 ซ้ำในต้นฉบับ) Certificate of analysis Product name: Raltegravir potassium Lot number: XXXXX1 | รายการ | Specification | Result | | :---: | :---: | :---: | | Description | Powder | Conforms | | Appearance | White | Conforms | | Identification | Positive | Conforms | | Loss on drying | NMT 0.6% | 0.8% | | Assay | 98.0 to 102.0% | 99.6% | Microbiology test | รายการ | Specification | Result | | ----- | :---: | :---: | | Total aerobic plate test | \&lt;1000 cfu/ml | \&lt;1000 cfu/ml | | Total yeast and mold test | \&lt;100 cfu/ml | \&lt;100 cfu/ml | | Coliform test | Negative | Negative | | E. coli | Negative | Negative | | Salmonella | Negative | Negative | | S. aureus | Negative | Negative | | Pseudomonas | Negative | Negative |</t>
        </is>
      </c>
      <c r="C47" s="35" t="n"/>
      <c r="D47" s="34" t="inlineStr">
        <is>
          <t>ผ่านเกณฑ์ตามที่กำหนด</t>
        </is>
      </c>
      <c r="E47" s="34" t="inlineStr">
        <is>
          <t>ไม่ผ่าน เพราะมีการปนเปื้อนเชื้อรา</t>
        </is>
      </c>
      <c r="F47" s="34" t="inlineStr">
        <is>
          <t>ไม่ผ่าน เพราะมีการปนเปื้อนเชื้อแบคทีเรีย</t>
        </is>
      </c>
      <c r="G47" s="34" t="inlineStr">
        <is>
          <t>ไม่ผ่าน เพราะปริมาณความชื้นไม่อยู่ในช่วงที่กำหนด</t>
        </is>
      </c>
      <c r="H47" s="34" t="inlineStr">
        <is>
          <t>ไม่ผ่าน เพราะการวิเคราะห์ปริมาณสารสำคัญไม่อยู่ในช่วงที่กำหนด</t>
        </is>
      </c>
      <c r="I47" s="35" t="n">
        <v>4</v>
      </c>
      <c r="J47" s="34" t="inlineStr">
        <is>
          <t>✅ คำตอบที่ถูกต้อง: ข้อ ง. ไม่ผ่าน เพราะปริมาณความชื้นไม่อยู่ในช่วงที่กำหนด
💡 Background:
คำถามข้อสอบจริงใบประกอบวิชาชีพ PLE-CC 1 (Product) ปี 2563 ข้อ 7
🎯 ทำไมข้อนี้ถึงถูก:
ข้อ ง.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7" s="35" t="n"/>
      <c r="L47" s="34" t="inlineStr">
        <is>
          <t>Spectroscopy &amp; Optical Analysis</t>
        </is>
      </c>
      <c r="M47" s="35" t="inlineStr">
        <is>
          <t>Product</t>
        </is>
      </c>
      <c r="N47" s="34" t="inlineStr">
        <is>
          <t>ข้อสอบจริง Product ปี 2563 ข้อ 7</t>
        </is>
      </c>
      <c r="O47" s="35" t="inlineStr">
        <is>
          <t>ข้อสอบจริง</t>
        </is>
      </c>
      <c r="P47" s="35" t="inlineStr">
        <is>
          <t>ปี 2563</t>
        </is>
      </c>
    </row>
    <row r="48" ht="409.6" customHeight="1" s="49">
      <c r="A48" s="35" t="n">
        <v>46</v>
      </c>
      <c r="B48" s="34" t="inlineStr">
        <is>
          <t>USP ระบุว่า friability ใช้กับ uncoated tablets เป็นหลัก   ส่วนหัวข้ออื่นเป็นข้อกำหนดของผลิตภัณฑ์สำเร็จรูปที่ต้องทำครบ — สำคัญเป็นพิเศษสำหรับ cyclophosphamide ซึ่งเป็นยาเคมีบำบัดที่มี narrow therapeutic index | | :---- | ข้อ 116. ถ้า core tablet มีความแข็งต่ำและกร่อน ควรปรับสูตรตำรับอย่างไร</t>
        </is>
      </c>
      <c r="C48" s="35" t="n"/>
      <c r="D48" s="34" t="inlineStr">
        <is>
          <t>Sucrose – sweetening agent</t>
        </is>
      </c>
      <c r="E48" s="34" t="inlineStr">
        <is>
          <t>Titanium dioxide – opacifier</t>
        </is>
      </c>
      <c r="F48" s="34" t="inlineStr">
        <is>
          <t>Lactose monohydrate – film former</t>
        </is>
      </c>
      <c r="G48" s="34" t="inlineStr">
        <is>
          <t>Calcium hydrogen phosphate dehydrate – film former</t>
        </is>
      </c>
      <c r="H48" s="34" t="inlineStr">
        <is>
          <t>Maize starch – opacifier |</t>
        </is>
      </c>
      <c r="I48" s="35" t="n">
        <v>1</v>
      </c>
      <c r="J48" s="34" t="inlineStr">
        <is>
          <t>✅ คำตอบที่ถูกต้อง: ข้อ ก. Sucrose – sweetening agent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8" s="35" t="n"/>
      <c r="L48" s="34" t="inlineStr">
        <is>
          <t>Spectroscopy &amp; Optical Analysis</t>
        </is>
      </c>
      <c r="M48" s="35" t="inlineStr">
        <is>
          <t>Product</t>
        </is>
      </c>
      <c r="N48" s="34" t="inlineStr">
        <is>
          <t>ข้อสอบจริง Product ปี 2562 ข้อ 3</t>
        </is>
      </c>
      <c r="O48" s="35" t="inlineStr">
        <is>
          <t>ข้อสอบจริง</t>
        </is>
      </c>
      <c r="P48" s="35" t="inlineStr">
        <is>
          <t>ปี 2562</t>
        </is>
      </c>
    </row>
    <row r="49" ht="409.6" customHeight="1" s="49">
      <c r="A49" s="35" t="n">
        <v>47</v>
      </c>
      <c r="B49" s="34" t="inlineStr">
        <is>
          <t>อัตราการปลดปล่อยควบคุมได้ด้วยความหนาของฟิล์มและสัดส่วนของสารก่อรูพรุน (pore former)   ในทางปฏิบัติมักผสม EC กับ HPMC ในสัดส่วนที่กำหนด โดย HPMC ทำหน้าที่เป็น channeling agent ที่ละลายออกไปแล้วทิ้งรูพรุนไว้ให้ยาผ่าน ทำให้ปรับอัตราการปลดปล่อยได้ตามต้องการ   รูปแบบทางการค้าที่ใช้: Aquacoat ECD, Surelease (EC dispersion ในน้ำ) | | :---- | ข้อ 91. ใช้สารใดควบคุมการปลดปล่อย ISMN SR</t>
        </is>
      </c>
      <c r="C49" s="35" t="n"/>
      <c r="D49" s="34" t="inlineStr">
        <is>
          <t>Acacia</t>
        </is>
      </c>
      <c r="E49" s="34" t="inlineStr">
        <is>
          <t>Carbomer</t>
        </is>
      </c>
      <c r="F49" s="34" t="inlineStr">
        <is>
          <t>Sodium alginate</t>
        </is>
      </c>
      <c r="G49" s="34" t="inlineStr">
        <is>
          <t>Methylcellulose</t>
        </is>
      </c>
      <c r="H49" s="34" t="inlineStr">
        <is>
          <t>Sodium carboxymethycellulose |</t>
        </is>
      </c>
      <c r="I49" s="35" t="n">
        <v>1</v>
      </c>
      <c r="J49" s="34" t="inlineStr">
        <is>
          <t>✅ คำตอบที่ถูกต้อง: ข้อ ก. Acacia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49" s="35" t="n"/>
      <c r="L49" s="34" t="inlineStr">
        <is>
          <t>Spectroscopy &amp; Optical Analysis</t>
        </is>
      </c>
      <c r="M49" s="35" t="inlineStr">
        <is>
          <t>Product</t>
        </is>
      </c>
      <c r="N49" s="34" t="inlineStr">
        <is>
          <t>ข้อสอบจริง Product ปี 2562 ข้อ 4</t>
        </is>
      </c>
      <c r="O49" s="35" t="inlineStr">
        <is>
          <t>ข้อสอบจริง</t>
        </is>
      </c>
      <c r="P49" s="35" t="inlineStr">
        <is>
          <t>ปี 2562</t>
        </is>
      </c>
    </row>
    <row r="50" ht="409.6" customHeight="1" s="49">
      <c r="A50" s="35" t="n">
        <v>48</v>
      </c>
      <c r="B50" s="34" t="inlineStr">
        <is>
          <t>จากโครงสร้างของยา griseofulvin การตรวจสอบคุณภาพใด ทำให้ได้ลักษณะเฉพาะที่ออกฤทธิ์</t>
        </is>
      </c>
      <c r="C50" s="35" t="n"/>
      <c r="D50" s="34" t="inlineStr">
        <is>
          <t>H¹-NMR</t>
        </is>
      </c>
      <c r="E50" s="34" t="inlineStr">
        <is>
          <t>Polarimeter</t>
        </is>
      </c>
      <c r="F50" s="34" t="inlineStr">
        <is>
          <t>Reflectometer</t>
        </is>
      </c>
      <c r="G50" s="34" t="inlineStr">
        <is>
          <t>Infrared spectroscope</t>
        </is>
      </c>
      <c r="H50" s="34" t="inlineStr">
        <is>
          <t>UV-visible spectrophotometer</t>
        </is>
      </c>
      <c r="I50" s="35" t="n">
        <v>1</v>
      </c>
      <c r="J50" s="34" t="inlineStr">
        <is>
          <t>✅ คำตอบที่ถูกต้อง: ข้อ ก. H¹-NMR
💡 Background:
คำถามข้อสอบจริงใบประกอบวิชาชีพ PLE-CC 1 (Product) ปี 2561 ข้อ 11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0" s="35" t="n"/>
      <c r="L50" s="34" t="inlineStr">
        <is>
          <t>Spectroscopy &amp; Optical Analysis</t>
        </is>
      </c>
      <c r="M50" s="35" t="inlineStr">
        <is>
          <t>Product</t>
        </is>
      </c>
      <c r="N50" s="34" t="inlineStr">
        <is>
          <t>ข้อสอบจริง Product ปี 2561 ข้อ 11</t>
        </is>
      </c>
      <c r="O50" s="35" t="inlineStr">
        <is>
          <t>ข้อสอบจริง</t>
        </is>
      </c>
      <c r="P50" s="35" t="inlineStr">
        <is>
          <t>ปี 2561</t>
        </is>
      </c>
    </row>
    <row r="51" ht="409.6" customHeight="1" s="49">
      <c r="A51" s="35" t="n">
        <v>49</v>
      </c>
      <c r="B51" s="34" t="inlineStr">
        <is>
          <t>แผ่นแปะ มีรูปแบบ ดังภาพ เป็นระบบนำส่งยาแบบใด [แนบรูป: ข้อสอบ Product ปี 2561 รหัสรูปภาพ image104]</t>
        </is>
      </c>
      <c r="C51" s="35" t="inlineStr">
        <is>
          <t>[แนบรูป: ข้อสอบ Product ปี 2561 รหัสรูปภาพ image104]</t>
        </is>
      </c>
      <c r="D51" s="34" t="inlineStr">
        <is>
          <t>Reservoir system</t>
        </is>
      </c>
      <c r="E51" s="34" t="inlineStr">
        <is>
          <t>Microreservoir system</t>
        </is>
      </c>
      <c r="F51" s="34" t="inlineStr">
        <is>
          <t>Polyplastic type system</t>
        </is>
      </c>
      <c r="G51" s="34" t="inlineStr">
        <is>
          <t>Matrix dispersion system</t>
        </is>
      </c>
      <c r="H51" s="34" t="inlineStr">
        <is>
          <t>Peripheral adhesive design</t>
        </is>
      </c>
      <c r="I51" s="35" t="n">
        <v>1</v>
      </c>
      <c r="J51" s="34" t="inlineStr">
        <is>
          <t>✅ คำตอบที่ถูกต้อง: ข้อ ก. Reservoir system
💡 Background:
คำถามข้อสอบจริงใบประกอบวิชาชีพ PLE-CC 1 (Product) ปี 2561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1" s="35" t="n"/>
      <c r="L51" s="34" t="inlineStr">
        <is>
          <t>Spectroscopy &amp; Optical Analysis</t>
        </is>
      </c>
      <c r="M51" s="35" t="inlineStr">
        <is>
          <t>Product</t>
        </is>
      </c>
      <c r="N51" s="34" t="inlineStr">
        <is>
          <t>ข้อสอบจริง Product ปี 2561 ข้อ 12</t>
        </is>
      </c>
      <c r="O51" s="35" t="inlineStr">
        <is>
          <t>ข้อสอบจริง</t>
        </is>
      </c>
      <c r="P51" s="35" t="inlineStr">
        <is>
          <t>ปี 2561</t>
        </is>
      </c>
    </row>
    <row r="52" ht="409.6" customHeight="1" s="49">
      <c r="A52" s="35" t="n">
        <v>50</v>
      </c>
      <c r="B52" s="34" t="inlineStr">
        <is>
          <t>จากรูปข้อ 59 ตัวยาจะถูกบรรจุอยู่ในส่วนใด</t>
        </is>
      </c>
      <c r="C52" s="35" t="n"/>
      <c r="D52" s="34" t="inlineStr">
        <is>
          <t>Liner</t>
        </is>
      </c>
      <c r="E52" s="34" t="inlineStr">
        <is>
          <t>Reservoir</t>
        </is>
      </c>
      <c r="F52" s="34" t="inlineStr">
        <is>
          <t>Membrane</t>
        </is>
      </c>
      <c r="G52" s="34" t="inlineStr">
        <is>
          <t>Backing layer</t>
        </is>
      </c>
      <c r="H52" s="34" t="inlineStr">
        <is>
          <t>Adhesive layer</t>
        </is>
      </c>
      <c r="I52" s="35" t="n">
        <v>1</v>
      </c>
      <c r="J52" s="34" t="inlineStr">
        <is>
          <t>✅ คำตอบที่ถูกต้อง: ข้อ ก. Liner
💡 Background:
คำถามข้อสอบจริงใบประกอบวิชาชีพ PLE-CC 1 (Product) ปี 2561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2" s="35" t="n"/>
      <c r="L52" s="34" t="inlineStr">
        <is>
          <t>Spectroscopy &amp; Optical Analysis</t>
        </is>
      </c>
      <c r="M52" s="35" t="inlineStr">
        <is>
          <t>Product</t>
        </is>
      </c>
      <c r="N52" s="34" t="inlineStr">
        <is>
          <t>ข้อสอบจริง Product ปี 2561 ข้อ 13</t>
        </is>
      </c>
      <c r="O52" s="35" t="inlineStr">
        <is>
          <t>ข้อสอบจริง</t>
        </is>
      </c>
      <c r="P52" s="35" t="inlineStr">
        <is>
          <t>ปี 2561</t>
        </is>
      </c>
    </row>
    <row r="53" ht="409.6" customHeight="1" s="49">
      <c r="A53" s="35" t="n">
        <v>51</v>
      </c>
      <c r="B53" s="34" t="inlineStr">
        <is>
          <t>ให้ข้อมูลการละลายยามาถามว่าควรทำตำรับรูปแบบใด</t>
        </is>
      </c>
      <c r="C53" s="35" t="n"/>
      <c r="D53" s="34" t="inlineStr">
        <is>
          <t>Elixir</t>
        </is>
      </c>
      <c r="E53" s="34" t="inlineStr">
        <is>
          <t>Solution</t>
        </is>
      </c>
      <c r="F53" s="34" t="inlineStr">
        <is>
          <t>Tablets</t>
        </is>
      </c>
      <c r="G53" s="34" t="inlineStr">
        <is>
          <t>Capsule</t>
        </is>
      </c>
      <c r="H53" s="34" t="inlineStr">
        <is>
          <t>Suspension</t>
        </is>
      </c>
      <c r="I53" s="35" t="n">
        <v>1</v>
      </c>
      <c r="J53" s="34" t="inlineStr">
        <is>
          <t>✅ คำตอบที่ถูกต้อง: ข้อ ก. Elixir
💡 Background:
คำถามข้อสอบจริงใบประกอบวิชาชีพ PLE-CC 1 (Product) ปี 2561 ข้อ 15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3" s="35" t="n"/>
      <c r="L53" s="34" t="inlineStr">
        <is>
          <t>Spectroscopy &amp; Optical Analysis</t>
        </is>
      </c>
      <c r="M53" s="35" t="inlineStr">
        <is>
          <t>Product</t>
        </is>
      </c>
      <c r="N53" s="34" t="inlineStr">
        <is>
          <t>ข้อสอบจริง Product ปี 2561 ข้อ 15</t>
        </is>
      </c>
      <c r="O53" s="35" t="inlineStr">
        <is>
          <t>ข้อสอบจริง</t>
        </is>
      </c>
      <c r="P53" s="35" t="inlineStr">
        <is>
          <t>ปี 2561</t>
        </is>
      </c>
    </row>
    <row r="54" ht="409.6" customHeight="1" s="49">
      <c r="A54" s="35" t="n">
        <v>52</v>
      </c>
      <c r="B54" s="34" t="inlineStr">
        <is>
          <t>การ plot กราฟ IR จะต้องมีองค์ประกอบอะไรบ้าง</t>
        </is>
      </c>
      <c r="C54" s="35" t="n"/>
      <c r="D54" s="34" t="inlineStr">
        <is>
          <t>Absorbance กับ time</t>
        </is>
      </c>
      <c r="E54" s="34" t="inlineStr">
        <is>
          <t>Absorbance กับ wavelengths</t>
        </is>
      </c>
      <c r="F54" s="34" t="inlineStr">
        <is>
          <t>Absorbance กับ wavenumber</t>
        </is>
      </c>
      <c r="G54" s="34" t="inlineStr">
        <is>
          <t>Transmittance กับ time</t>
        </is>
      </c>
      <c r="H54" s="34" t="inlineStr">
        <is>
          <t>Transmittance กับ wavenumber</t>
        </is>
      </c>
      <c r="I54" s="35" t="n">
        <v>1</v>
      </c>
      <c r="J54" s="34" t="inlineStr">
        <is>
          <t>✅ คำตอบที่ถูกต้อง: ข้อ ก. Absorbance กับ time
💡 Background:
คำถามข้อสอบจริงใบประกอบวิชาชีพ PLE-CC 1 (Product) ปี 2561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4" s="35" t="n"/>
      <c r="L54" s="34" t="inlineStr">
        <is>
          <t>Spectroscopy &amp; Optical Analysis</t>
        </is>
      </c>
      <c r="M54" s="35" t="inlineStr">
        <is>
          <t>Product</t>
        </is>
      </c>
      <c r="N54" s="34" t="inlineStr">
        <is>
          <t>ข้อสอบจริง Product ปี 2561 ข้อ 22</t>
        </is>
      </c>
      <c r="O54" s="35" t="inlineStr">
        <is>
          <t>ข้อสอบจริง</t>
        </is>
      </c>
      <c r="P54" s="35" t="inlineStr">
        <is>
          <t>ปี 2561</t>
        </is>
      </c>
    </row>
    <row r="55" ht="409.6" customHeight="1" s="49">
      <c r="A55" s="35" t="n">
        <v>53</v>
      </c>
      <c r="B55" s="34" t="inlineStr">
        <is>
          <t>หากถ้าต้องการควบคุมคุณภาพวัตถุดิบ griseofulvin ให้เป็น isomer ดังรูป ควรใช้เครื่องมือใดในการตรวจวิเคราะห์ [แนบรูป: ข้อสอบ Product ปี 2561 รหัสรูปภาพ image110]</t>
        </is>
      </c>
      <c r="C55" s="35" t="inlineStr">
        <is>
          <t>[แนบรูป: ข้อสอบ Product ปี 2561 รหัสรูปภาพ image110]</t>
        </is>
      </c>
      <c r="D55" s="34" t="inlineStr">
        <is>
          <t>NMR</t>
        </is>
      </c>
      <c r="E55" s="34" t="inlineStr">
        <is>
          <t>Refractometer</t>
        </is>
      </c>
      <c r="F55" s="34" t="inlineStr">
        <is>
          <t>X-ray diffraction</t>
        </is>
      </c>
      <c r="G55" s="34" t="inlineStr">
        <is>
          <t>Infrared spectroscope</t>
        </is>
      </c>
      <c r="H55" s="34" t="inlineStr">
        <is>
          <t>UV-visible spectrophotometer</t>
        </is>
      </c>
      <c r="I55" s="35" t="n">
        <v>1</v>
      </c>
      <c r="J55" s="34" t="inlineStr">
        <is>
          <t>✅ คำตอบที่ถูกต้อง: ข้อ ก. NMR
💡 Background:
คำถามข้อสอบจริงใบประกอบวิชาชีพ PLE-CC 1 (Product) ปี 2561 ข้อ 47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5" s="35" t="n"/>
      <c r="L55" s="34" t="inlineStr">
        <is>
          <t>Spectroscopy &amp; Optical Analysis</t>
        </is>
      </c>
      <c r="M55" s="35" t="inlineStr">
        <is>
          <t>Product</t>
        </is>
      </c>
      <c r="N55" s="34" t="inlineStr">
        <is>
          <t>ข้อสอบจริง Product ปี 2561 ข้อ 47</t>
        </is>
      </c>
      <c r="O55" s="35" t="inlineStr">
        <is>
          <t>ข้อสอบจริง</t>
        </is>
      </c>
      <c r="P55" s="35" t="inlineStr">
        <is>
          <t>ปี 2561</t>
        </is>
      </c>
    </row>
    <row r="56" ht="409.6" customHeight="1" s="49">
      <c r="A56" s="35" t="n">
        <v>54</v>
      </c>
      <c r="B56" s="34" t="inlineStr">
        <is>
          <t>ข้อมูลความคงตัว furosemide ยาละลายในด่าง (จากกราฟ Log P vs pH) จากข้อมูลควรเตรียมยารูปแบบใด [แนบรูป: ข้อสอบ Product ปี 2561 รหัสรูปภาพ image111]</t>
        </is>
      </c>
      <c r="C56" s="35" t="inlineStr">
        <is>
          <t>[แนบรูป: ข้อสอบ Product ปี 2561 รหัสรูปภาพ image111]</t>
        </is>
      </c>
      <c r="D56" s="34" t="inlineStr">
        <is>
          <t>Syrup pH 4</t>
        </is>
      </c>
      <c r="E56" s="34" t="inlineStr">
        <is>
          <t>Elixir buffer ด่าง</t>
        </is>
      </c>
      <c r="F56" s="34" t="inlineStr">
        <is>
          <t>Elixir buffer กรด</t>
        </is>
      </c>
      <c r="G56" s="34" t="inlineStr">
        <is>
          <t>Syrup buffer กรด</t>
        </is>
      </c>
      <c r="H56" s="34" t="inlineStr">
        <is>
          <t>Syrup buffer ด่าง</t>
        </is>
      </c>
      <c r="I56" s="35" t="n">
        <v>1</v>
      </c>
      <c r="J56" s="34" t="inlineStr">
        <is>
          <t>✅ คำตอบที่ถูกต้อง: ข้อ ก. Syrup pH 4
💡 Background:
คำถามข้อสอบจริงใบประกอบวิชาชีพ PLE-CC 1 (Product) ปี 2561 ข้อ 58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6" s="35" t="n"/>
      <c r="L56" s="34" t="inlineStr">
        <is>
          <t>Spectroscopy &amp; Optical Analysis</t>
        </is>
      </c>
      <c r="M56" s="35" t="inlineStr">
        <is>
          <t>Product</t>
        </is>
      </c>
      <c r="N56" s="34" t="inlineStr">
        <is>
          <t>ข้อสอบจริง Product ปี 2561 ข้อ 58</t>
        </is>
      </c>
      <c r="O56" s="35" t="inlineStr">
        <is>
          <t>ข้อสอบจริง</t>
        </is>
      </c>
      <c r="P56" s="35" t="inlineStr">
        <is>
          <t>ปี 2561</t>
        </is>
      </c>
    </row>
    <row r="57" ht="409.6" customHeight="1" s="49">
      <c r="A57" s="35" t="n">
        <v>55</v>
      </c>
      <c r="B57" s="34" t="inlineStr">
        <is>
          <t>ข้อใดถูกเกี่ยวกับ morphine extended tablets</t>
        </is>
      </c>
      <c r="C57" s="35" t="n"/>
      <c r="D57" s="34" t="inlineStr">
        <is>
          <t>Reservoir ใช้ CAP เคลือบ</t>
        </is>
      </c>
      <c r="E57" s="34" t="inlineStr">
        <is>
          <t>ปลดปล่อยที่ลำไส้เล็กส่วนต้น</t>
        </is>
      </c>
      <c r="F57" s="34" t="inlineStr">
        <is>
          <t>Reservoir ใช้ HPMC เคลือบ</t>
        </is>
      </c>
      <c r="G57" s="34" t="inlineStr">
        <is>
          <t>Monolithic wax ต้องพองตัวและละลายได้</t>
        </is>
      </c>
      <c r="H57" s="34" t="inlineStr">
        <is>
          <t>Monolithic ใช้ polymer เป็น hydrophilic หรือ hydrophobic polymer</t>
        </is>
      </c>
      <c r="I57" s="35" t="n">
        <v>1</v>
      </c>
      <c r="J57" s="34" t="inlineStr">
        <is>
          <t>✅ คำตอบที่ถูกต้อง: ข้อ ก. Reservoir ใช้ CAP เคลือบ
💡 Background:
คำถามข้อสอบจริงใบประกอบวิชาชีพ PLE-CC 1 (Product) ปี 2561 ข้อ 104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7" s="35" t="n"/>
      <c r="L57" s="34" t="inlineStr">
        <is>
          <t>Spectroscopy &amp; Optical Analysis</t>
        </is>
      </c>
      <c r="M57" s="35" t="inlineStr">
        <is>
          <t>Product</t>
        </is>
      </c>
      <c r="N57" s="34" t="inlineStr">
        <is>
          <t>ข้อสอบจริง Product ปี 2561 ข้อ 104</t>
        </is>
      </c>
      <c r="O57" s="35" t="inlineStr">
        <is>
          <t>ข้อสอบจริง</t>
        </is>
      </c>
      <c r="P57" s="35" t="inlineStr">
        <is>
          <t>ปี 2561</t>
        </is>
      </c>
    </row>
    <row r="58" ht="409.6" customHeight="1" s="49">
      <c r="A58" s="35" t="n">
        <v>56</v>
      </c>
      <c r="B58" s="34" t="inlineStr">
        <is>
          <t>ยารูปแบบ reservoir ออกฤทธิ์แบบใด</t>
        </is>
      </c>
      <c r="C58" s="35" t="n"/>
      <c r="D58" s="34" t="inlineStr">
        <is>
          <t>Zero order</t>
        </is>
      </c>
      <c r="E58" s="34" t="inlineStr">
        <is>
          <t>First order</t>
        </is>
      </c>
      <c r="F58" s="34" t="inlineStr">
        <is>
          <t>Second order</t>
        </is>
      </c>
      <c r="G58" s="34" t="inlineStr">
        <is>
          <t>Pseudo first order</t>
        </is>
      </c>
      <c r="H58" s="34" t="inlineStr">
        <is>
          <t>Flib-flob</t>
        </is>
      </c>
      <c r="I58" s="35" t="n">
        <v>1</v>
      </c>
      <c r="J58" s="34" t="inlineStr">
        <is>
          <t>✅ คำตอบที่ถูกต้อง: ข้อ ก. Zero order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8" s="35" t="n"/>
      <c r="L58" s="34" t="inlineStr">
        <is>
          <t>Spectroscopy &amp; Optical Analysis</t>
        </is>
      </c>
      <c r="M58" s="35" t="inlineStr">
        <is>
          <t>Product</t>
        </is>
      </c>
      <c r="N58" s="34" t="inlineStr">
        <is>
          <t>ข้อสอบจริง Product ปี 2559 ข้อ 2</t>
        </is>
      </c>
      <c r="O58" s="35" t="inlineStr">
        <is>
          <t>ข้อสอบจริง</t>
        </is>
      </c>
      <c r="P58" s="35" t="inlineStr">
        <is>
          <t>ปี 2559</t>
        </is>
      </c>
    </row>
    <row r="59" ht="409.6" customHeight="1" s="49">
      <c r="A59" s="35" t="n">
        <v>57</v>
      </c>
      <c r="B59" s="34" t="inlineStr">
        <is>
          <t>ยา extended release โดยตัวยาผสมกับ…และกระจายตัวอย่างสม่ำเสมอเป็นระบบแบบใด</t>
        </is>
      </c>
      <c r="C59" s="35" t="n"/>
      <c r="D59" s="34" t="inlineStr">
        <is>
          <t>Mechanical pump</t>
        </is>
      </c>
      <c r="E59" s="34" t="inlineStr">
        <is>
          <t>Membrane reservoir</t>
        </is>
      </c>
      <c r="F59" s="34" t="inlineStr">
        <is>
          <t>Matrix system</t>
        </is>
      </c>
      <c r="G59" s="34" t="inlineStr">
        <is>
          <t>Osmotic system</t>
        </is>
      </c>
      <c r="H59" s="34" t="inlineStr">
        <is>
          <t>Hydro..........</t>
        </is>
      </c>
      <c r="I59" s="35" t="n">
        <v>1</v>
      </c>
      <c r="J59"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59" s="35" t="n"/>
      <c r="L59" s="34" t="inlineStr">
        <is>
          <t>Spectroscopy &amp; Optical Analysis</t>
        </is>
      </c>
      <c r="M59" s="35" t="inlineStr">
        <is>
          <t>Product</t>
        </is>
      </c>
      <c r="N59" s="34" t="inlineStr">
        <is>
          <t>ข้อสอบจริง Product ปี 2559 ข้อ 6</t>
        </is>
      </c>
      <c r="O59" s="35" t="inlineStr">
        <is>
          <t>ข้อสอบจริง</t>
        </is>
      </c>
      <c r="P59" s="35" t="inlineStr">
        <is>
          <t>ปี 2559</t>
        </is>
      </c>
    </row>
    <row r="60" ht="409.6" customHeight="1" s="49">
      <c r="A60" s="35" t="n">
        <v>58</v>
      </c>
      <c r="B60" s="34" t="inlineStr">
        <is>
          <t>ใน certificate of analysis จำเป็นต้องมีหัวข้อใดของยา levocetirizine</t>
        </is>
      </c>
      <c r="C60" s="35" t="n"/>
      <c r="D60" s="34" t="inlineStr">
        <is>
          <t>Impurity</t>
        </is>
      </c>
      <c r="E60" s="34" t="inlineStr">
        <is>
          <t>Assay</t>
        </is>
      </c>
      <c r="F60" s="34" t="inlineStr">
        <is>
          <t>Residue of ignition</t>
        </is>
      </c>
      <c r="G60" s="34" t="inlineStr">
        <is>
          <t>Specific rotation</t>
        </is>
      </c>
      <c r="H60" s="34" t="inlineStr">
        <is>
          <t>Residue of solvent</t>
        </is>
      </c>
      <c r="I60" s="35" t="n">
        <v>1</v>
      </c>
      <c r="J60" s="34" t="inlineStr">
        <is>
          <t>✅ คำตอบที่ถูกต้อง: ข้อ ก. Impurity
💡 Background:
คำถามข้อสอบจริงใบประกอบวิชาชีพ PLE-CC 1 (Product) ปี 2559 ข้อ 22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0" s="35" t="n"/>
      <c r="L60" s="34" t="inlineStr">
        <is>
          <t>Spectroscopy &amp; Optical Analysis</t>
        </is>
      </c>
      <c r="M60" s="35" t="inlineStr">
        <is>
          <t>Product</t>
        </is>
      </c>
      <c r="N60" s="34" t="inlineStr">
        <is>
          <t>ข้อสอบจริง Product ปี 2559 ข้อ 22</t>
        </is>
      </c>
      <c r="O60" s="35" t="inlineStr">
        <is>
          <t>ข้อสอบจริง</t>
        </is>
      </c>
      <c r="P60" s="35" t="inlineStr">
        <is>
          <t>ปี 2559</t>
        </is>
      </c>
    </row>
    <row r="61" ht="409.6" customHeight="1" s="49">
      <c r="A61" s="35" t="n">
        <v>59</v>
      </c>
      <c r="B61" s="34" t="inlineStr">
        <is>
          <t>ยา extended release โดยนำตัวยาที่ออกฤทธิ์ผสมกับสารช่วยและกระจายตัวอย่างสม่ำเสมอเป็นระบบแบบใด</t>
        </is>
      </c>
      <c r="C61" s="35" t="n"/>
      <c r="D61" s="34" t="inlineStr">
        <is>
          <t>Mechanical pump</t>
        </is>
      </c>
      <c r="E61" s="34" t="inlineStr">
        <is>
          <t>Membrane reservoir</t>
        </is>
      </c>
      <c r="F61" s="34" t="inlineStr">
        <is>
          <t>Matrix system</t>
        </is>
      </c>
      <c r="G61" s="34" t="inlineStr">
        <is>
          <t>Osmotic system</t>
        </is>
      </c>
      <c r="H61" s="34" t="inlineStr">
        <is>
          <t>Hydrodynamic system</t>
        </is>
      </c>
      <c r="I61" s="35" t="n">
        <v>1</v>
      </c>
      <c r="J61" s="34" t="inlineStr">
        <is>
          <t>✅ คำตอบที่ถูกต้อง: ข้อ ก. Mechanical pump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1" s="35" t="n"/>
      <c r="L61" s="34" t="inlineStr">
        <is>
          <t>Spectroscopy &amp; Optical Analysis</t>
        </is>
      </c>
      <c r="M61" s="35" t="inlineStr">
        <is>
          <t>Product</t>
        </is>
      </c>
      <c r="N61" s="34" t="inlineStr">
        <is>
          <t>ข้อสอบจริง Product ปี 2559 ข้อ 6</t>
        </is>
      </c>
      <c r="O61" s="35" t="inlineStr">
        <is>
          <t>ข้อสอบจริง</t>
        </is>
      </c>
      <c r="P61" s="35" t="inlineStr">
        <is>
          <t>ปี 2559</t>
        </is>
      </c>
    </row>
    <row r="62" ht="409.6" customHeight="1" s="49">
      <c r="A62" s="35" t="n">
        <v>60</v>
      </c>
      <c r="B62" s="34" t="inlineStr">
        <is>
          <t>ข้อใดถูกเกี่ยวกับยาเตรียมเคมีบำบัด</t>
        </is>
      </c>
      <c r="C62" s="35" t="n"/>
      <c r="D62" s="34" t="inlineStr">
        <is>
          <t>ห้องเตรียมควรเป็น positive pressure</t>
        </is>
      </c>
      <c r="E62" s="34" t="inlineStr">
        <is>
          <t>ลมเป่าควรเป็นแนว vertical</t>
        </is>
      </c>
      <c r="F62" s="34" t="inlineStr">
        <is>
          <t>ชุดคลุมปฏิบัติงานเมื่อใช้แล้วสามารถนำกลับมาใช้ได้จนกว่าใยผ้าจะเสื่อม</t>
        </is>
      </c>
      <c r="G62" s="34" t="inlineStr">
        <is>
          <t>ภาชนะบรรจุควรทำความสะอาดด้วย alcohol 90%</t>
        </is>
      </c>
      <c r="H62" s="34" t="inlineStr">
        <is>
          <t>การเตรียมใน laminar air flow มีความปลอดภัยมากกว่าการเตรียมใน isolator</t>
        </is>
      </c>
      <c r="I62" s="35" t="n">
        <v>1</v>
      </c>
      <c r="J62" s="34" t="inlineStr">
        <is>
          <t>✅ คำตอบที่ถูกต้อง: ข้อ ก. ห้องเตรียมควรเป็น positive pressure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2" s="35" t="n"/>
      <c r="L62" s="34" t="inlineStr">
        <is>
          <t>Spectroscopy &amp; Optical Analysis</t>
        </is>
      </c>
      <c r="M62" s="35" t="inlineStr">
        <is>
          <t>Product</t>
        </is>
      </c>
      <c r="N62" s="34" t="inlineStr">
        <is>
          <t>ข้อสอบจริง Product ปี 2559 ข้อ 12</t>
        </is>
      </c>
      <c r="O62" s="35" t="inlineStr">
        <is>
          <t>ข้อสอบจริง</t>
        </is>
      </c>
      <c r="P62" s="35" t="inlineStr">
        <is>
          <t>ปี 2559</t>
        </is>
      </c>
    </row>
    <row r="63" ht="409.6" customHeight="1" s="49">
      <c r="A63" s="35" t="n">
        <v>61</v>
      </c>
      <c r="B63" s="34" t="inlineStr">
        <is>
          <t>ยา lopinavir/ritonavir oral solution เก็บไว้ที่อุณหภูมิ 5◦C ก่อนจำหน่ายให้กับผู้ป่วย จะมี shelf-life นานเท่าใด</t>
        </is>
      </c>
      <c r="C63" s="35" t="n"/>
      <c r="D63" s="34" t="inlineStr">
        <is>
          <t>12 เดือน</t>
        </is>
      </c>
      <c r="E63" s="34" t="inlineStr">
        <is>
          <t>18 เดือน</t>
        </is>
      </c>
      <c r="F63" s="34" t="inlineStr">
        <is>
          <t>24 เดือน</t>
        </is>
      </c>
      <c r="G63" s="34" t="inlineStr">
        <is>
          <t>30 เดือน</t>
        </is>
      </c>
      <c r="H63" s="34" t="inlineStr">
        <is>
          <t>36 เดือน</t>
        </is>
      </c>
      <c r="I63" s="35" t="n">
        <v>1</v>
      </c>
      <c r="J63" s="34" t="inlineStr">
        <is>
          <t>✅ คำตอบที่ถูกต้อง: ข้อ ก. 12 เดือน
💡 Background:
คำถามข้อสอบจริงใบประกอบวิชาชีพ PLE-CC 1 (Product) ปี 2559 ข้อ 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3" s="35" t="n"/>
      <c r="L63" s="34" t="inlineStr">
        <is>
          <t>Spectroscopy &amp; Optical Analysis</t>
        </is>
      </c>
      <c r="M63" s="35" t="inlineStr">
        <is>
          <t>Product</t>
        </is>
      </c>
      <c r="N63" s="34" t="inlineStr">
        <is>
          <t>ข้อสอบจริง Product ปี 2559 ข้อ 3</t>
        </is>
      </c>
      <c r="O63" s="35" t="inlineStr">
        <is>
          <t>ข้อสอบจริง</t>
        </is>
      </c>
      <c r="P63" s="35" t="inlineStr">
        <is>
          <t>ปี 2559</t>
        </is>
      </c>
    </row>
    <row r="64" ht="409.6" customHeight="1" s="49">
      <c r="A64" s="35" t="n">
        <v>62</v>
      </c>
      <c r="B64" s="34" t="inlineStr">
        <is>
          <t>การพัฒนาระบบนำส่งยาโดยการนำ polymer มาเคลือบ pellet แล้วมาตอกอัดเป็นเม็ด เรียกว่าระบบนำส่งยาแบบใด</t>
        </is>
      </c>
      <c r="C64" s="35" t="n"/>
      <c r="D64" s="34" t="inlineStr">
        <is>
          <t>Polymer membrane permeation controlled DDS</t>
        </is>
      </c>
      <c r="E64" s="34" t="inlineStr">
        <is>
          <t>Polymer matrix diffusion controlled DDS</t>
        </is>
      </c>
      <c r="F64" s="34" t="inlineStr">
        <is>
          <t>Microreservoir partition controlled DDS</t>
        </is>
      </c>
      <c r="G64" s="34" t="inlineStr">
        <is>
          <t>Osmotic pressure activated DDS</t>
        </is>
      </c>
      <c r="H64" s="34" t="inlineStr">
        <is>
          <t>Hydrodynamic pressure activated DDS</t>
        </is>
      </c>
      <c r="I64" s="35" t="n">
        <v>1</v>
      </c>
      <c r="J64" s="34" t="inlineStr">
        <is>
          <t>✅ คำตอบที่ถูกต้อง: ข้อ ก. Polymer membrane permeation controlled DDS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4" s="35" t="n"/>
      <c r="L64" s="34" t="inlineStr">
        <is>
          <t>Spectroscopy &amp; Optical Analysis</t>
        </is>
      </c>
      <c r="M64" s="35" t="inlineStr">
        <is>
          <t>Product</t>
        </is>
      </c>
      <c r="N64" s="34" t="inlineStr">
        <is>
          <t>ข้อสอบจริง Product ปี 2559 ข้อ 8</t>
        </is>
      </c>
      <c r="O64" s="35" t="inlineStr">
        <is>
          <t>ข้อสอบจริง</t>
        </is>
      </c>
      <c r="P64" s="35" t="inlineStr">
        <is>
          <t>ปี 2559</t>
        </is>
      </c>
    </row>
    <row r="65" ht="409.6" customHeight="1" s="49">
      <c r="A65" s="35" t="n">
        <v>63</v>
      </c>
      <c r="B65" s="34" t="inlineStr">
        <is>
          <t>วิธีการทำให้ผลิตภัณฑ์วัคซีนปราศจากเชื้อ (Sterilization) ในอุตสาหกรรมยาข้อใดถูกต้อง?</t>
        </is>
      </c>
      <c r="C65" s="35" t="n"/>
      <c r="D65" s="34" t="inlineStr">
        <is>
          <t>กระบวนการผลิตแบบปลอดเชื้อ (Aseptic processing / Aseptic technique)</t>
        </is>
      </c>
      <c r="E65" s="34" t="inlineStr">
        <is>
          <t>การนึ่งฆ่าเชื้อด้วยความร้อนชื้น (Autoclave)</t>
        </is>
      </c>
      <c r="F65" s="34" t="inlineStr">
        <is>
          <t>การอบฆ่าเชื้อด้วยความร้อนแห้ง (Hot air oven)</t>
        </is>
      </c>
      <c r="G65" s="34" t="inlineStr">
        <is>
          <t>การฉายรังสีแกมมา (Gamma radiation)</t>
        </is>
      </c>
      <c r="H65" s="34" t="inlineStr">
        <is>
          <t>การรมก๊าซเอทิลีนออกไซด์ (Ethylene oxide gas)</t>
        </is>
      </c>
      <c r="I65" s="35" t="n">
        <v>1</v>
      </c>
      <c r="J65" s="34" t="inlineStr">
        <is>
          <t>✅ คำตอบที่ถูกต้อง: ข้อ ก. กระบวนการผลิตแบบปลอดเชื้อ (Aseptic processing / Aseptic technique)
💡 Background:
คำถามข้อสอบจริงใบประกอบวิชาชีพ PLE-CC 1 (Product) ปี 2558 ข้อ 9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5" s="35" t="n"/>
      <c r="L65" s="34" t="inlineStr">
        <is>
          <t>Spectroscopy &amp; Optical Analysis</t>
        </is>
      </c>
      <c r="M65" s="35" t="inlineStr">
        <is>
          <t>Product</t>
        </is>
      </c>
      <c r="N65" s="34" t="inlineStr">
        <is>
          <t>ข้อสอบจริง Product ปี 2558 ข้อ 9</t>
        </is>
      </c>
      <c r="O65" s="35" t="inlineStr">
        <is>
          <t>ข้อสอบจริง</t>
        </is>
      </c>
      <c r="P65" s="35" t="inlineStr">
        <is>
          <t>ปี 2558</t>
        </is>
      </c>
    </row>
    <row r="66" ht="409.6" customHeight="1" s="49">
      <c r="A66" s="35" t="n">
        <v>64</v>
      </c>
      <c r="B66" s="34" t="inlineStr">
        <is>
          <t>หัวข้อการควบคุมคุณภาพหรือทดสอบผลิตภัณฑ์ยาข้อใดต่อไปนี้ ไม่จำเป็น ต้องทำสำหรับยาเม็ด Calcium Carbonate (CaCO3)?</t>
        </is>
      </c>
      <c r="C66" s="35" t="n"/>
      <c r="D66" s="34" t="inlineStr">
        <is>
          <t>% Labeled Amount (% LA)</t>
        </is>
      </c>
      <c r="E66" s="34" t="inlineStr">
        <is>
          <t>Optical rotation (ค่าการหมุนแสงของสารเบนแสง)</t>
        </is>
      </c>
      <c r="F66" s="34" t="inlineStr">
        <is>
          <t>Weight variation</t>
        </is>
      </c>
      <c r="G66" s="34" t="inlineStr">
        <is>
          <t>Disintegration</t>
        </is>
      </c>
      <c r="H66" s="34" t="inlineStr">
        <is>
          <t>Dissolution</t>
        </is>
      </c>
      <c r="I66" s="35" t="n">
        <v>1</v>
      </c>
      <c r="J66" s="34" t="inlineStr">
        <is>
          <t>✅ คำตอบที่ถูกต้อง: ข้อ ก. % Labeled Amount (% LA)
💡 Background:
คำถามข้อสอบจริงใบประกอบวิชาชีพ PLE-CC 1 (Product) ปี 2558 ข้อ 13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6" s="35" t="n"/>
      <c r="L66" s="34" t="inlineStr">
        <is>
          <t>Spectroscopy &amp; Optical Analysis</t>
        </is>
      </c>
      <c r="M66" s="35" t="inlineStr">
        <is>
          <t>Product</t>
        </is>
      </c>
      <c r="N66" s="34" t="inlineStr">
        <is>
          <t>ข้อสอบจริง Product ปี 2558 ข้อ 13</t>
        </is>
      </c>
      <c r="O66" s="35" t="inlineStr">
        <is>
          <t>ข้อสอบจริง</t>
        </is>
      </c>
      <c r="P66" s="35" t="inlineStr">
        <is>
          <t>ปี 2558</t>
        </is>
      </c>
    </row>
    <row r="67" ht="409.6" customHeight="1" s="49">
      <c r="A67" s="35" t="n">
        <v>65</v>
      </c>
      <c r="B67" s="34" t="inlineStr">
        <is>
          <t>ในระดับโรงพยาบาล หากต้องจัดเตรียมยาหยอดตาในลักษณะยาเตรียมเฉพาะราย (Extemporaneous ophthalmic preparation) ตามมาตรฐาน ASHP วิธีการทำให้ยาหยอดตาปราศจากเชื้อที่เหมาะสมและปฏิบัติได้ง่ายที่สุดคือข้อใด?</t>
        </is>
      </c>
      <c r="C67" s="35" t="n"/>
      <c r="D67" s="34" t="inlineStr">
        <is>
          <t>การกรองผ่านแผ่นกรองเมมเบรนขนาด 0.22 ไมครอน (Membrane filtration 0.22 µm)</t>
        </is>
      </c>
      <c r="E67" s="34" t="inlineStr">
        <is>
          <t>Terminal sterilization ด้วย Autoclave</t>
        </is>
      </c>
      <c r="F67" s="34" t="inlineStr">
        <is>
          <t>การฉายรังสีแกมมา (Gamma radiation)</t>
        </is>
      </c>
      <c r="G67" s="34" t="inlineStr">
        <is>
          <t>การอบฆ่าเชื้อด้วยลมร้อน (Hot air oven)</t>
        </is>
      </c>
      <c r="H67" s="34" t="inlineStr">
        <is>
          <t>การอบฆ่าเชื้อด้วยก๊าซเอทิลีนออกไซด์ (Ethylene oxide)</t>
        </is>
      </c>
      <c r="I67" s="35" t="n">
        <v>1</v>
      </c>
      <c r="J67" s="34" t="inlineStr">
        <is>
          <t>✅ คำตอบที่ถูกต้อง: ข้อ ก. การกรองผ่านแผ่นกรองเมมเบรนขนาด 0.22 ไมครอน (Membrane filtration 0.22 µm)
💡 Background:
คำถามข้อสอบจริงใบประกอบวิชาชีพ PLE-CC 1 (Product) ปี 2558 ข้อ 14
🎯 ทำไมข้อนี้ถึงถูก:
ข้อ ก. สอดคล้องกับหลักการทางเภสัชกรรมและข้อกำหนดตามเภสัชตำรับ (Pharmacopoeia Standards) ในหัวข้อ Spectroscopy &amp; Optical Analysis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Spectroscopy &amp; Optical Analysis</t>
        </is>
      </c>
      <c r="K67" s="35" t="n"/>
      <c r="L67" s="34" t="inlineStr">
        <is>
          <t>Spectroscopy &amp; Optical Analysis</t>
        </is>
      </c>
      <c r="M67" s="35" t="inlineStr">
        <is>
          <t>Product</t>
        </is>
      </c>
      <c r="N67" s="34" t="inlineStr">
        <is>
          <t>ข้อสอบจริง Product ปี 2558 ข้อ 14</t>
        </is>
      </c>
      <c r="O67" s="35" t="inlineStr">
        <is>
          <t>ข้อสอบจริง</t>
        </is>
      </c>
      <c r="P67" s="35" t="inlineStr">
        <is>
          <t>ปี 2558</t>
        </is>
      </c>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2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1</t>
        </is>
      </c>
      <c r="B3" s="2" t="inlineStr">
        <is>
          <t>ข้อใดกล่าวไม่ถูกต้องเกี่ยวกับการเรียกเก็บยาคืนตามเกณฑ์ของ GMP</t>
        </is>
      </c>
      <c r="C3" s="2" t="n"/>
      <c r="D3" s="2" t="inlineStr">
        <is>
          <t>มีแผนกเรียกเก็บยาคืน</t>
        </is>
      </c>
      <c r="E3" s="2" t="inlineStr">
        <is>
          <t>ยาที่มีปัญหาระดับ 1 ต้องเรียกคืนทันที</t>
        </is>
      </c>
      <c r="F3" s="2" t="inlineStr">
        <is>
          <t>ต้องเก็บสินค้าออกจากท้องตลาดได้เลยทันที</t>
        </is>
      </c>
      <c r="G3" s="2" t="inlineStr">
        <is>
          <t>ต้องรายงานองค์การอาหารและยาภายใน 15 วัน</t>
        </is>
      </c>
      <c r="H3" s="2" t="inlineStr">
        <is>
          <t>การเรียกเก็บยาคืนเป็นหน้าที่ของฝ่ายการตลาดและฝ่ายขาย</t>
        </is>
      </c>
      <c r="I3" s="8" t="inlineStr">
        <is>
          <t>5</t>
        </is>
      </c>
      <c r="J3" s="2"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(GMP PIC/S) ระบบการเรียกเก็บยาคืน (Product Recall) ต้องมีความเป็นอิสระจากการตัดสินใจเชิงพาณิชย์ เพื่อคุ้มครองความปลอดภัยของผู้บริโภคเป็นลำดับสูงสุด
🎯 ทำไมข้อนี้ถึงถูก:
การระบุว่าการเรียกเก็บยาคืนเป็นหน้าที่ของฝ่ายขายหรือการตลาดเป็นข้อความที่ไม่ถูกต้องอย่างยิ่ง เนื่องจากฝ่ายขายมีผลประโยชน์ทับซ้อน (Conflict of interest) ทางธุรกิจ เกณฑ์ GMP กำหนดให้ผู้มีอำนาจสั่งการเรียกเก็บยาคืนต้องเป็นฝ่ายประกันคุณภาพ (Quality Assurance: QA) หรือคณะกรรมการเฉพาะกิจที่ได้รับมอบหมาย
🔍 ข้ออื่นผิดเพราะอะไร:
• ข้อ ก. มีแผนกเรียกเก็บยาคืน: ถูกต้องตามข้อกำหนด GMP ที่ต้องมีหน่วยงานหรือคณะทำงานพร้อมระบบและ SOP ในการจัดการเรียกคืนยา
• ข้อ ข. ยาที่มีปัญหาระดับ 1 ต้องเรียกคืนทันที: ถูกต้อง Class 1 Recall เป็นข้อบกพร่องวิกฤตที่อาจเป็นอันตรายถึงชีวิต ต้องดำเนินการเรียกคืนทันที
• ข้อ ค. ต้องเก็บสินค้าออกจากท้องตลาดได้เลยทันที: ถูกต้อง มีระบบติดตามและเรียกเก็บยาส่งกลับคลังกักกันทันที
• ข้อ ง. ต้องรายงานองค์การอาหารและยาภายใน 15 วัน: ถูกต้องตามกรอบเวลาการรายงานผลการเรียกคืนยาอย่างเป็นทางการต่อ อย.
📖 Guideline อ้างอิง:
PIC/S Guide to Good Manufacturing Practice for Medicinal Products (PE 009-16) &amp; ประกาศกระทรวงสาธารณสุข เรื่อง การกำหนดรายละเอียดเกี่ยวกับหลักเกณฑ์และวิธีการในการผลิตยาแผนปัจจุบันตามกฎหมายว่าด้วยยา พ.ศ. 2564
📌 จุดจำก่อนสอบ:
ผู้มีอำนาจสั่งการเรียกคืนยาตาม GMP ต้องเป็นฝ่ายประกันคุณภาพ (QA) เท่านั้น ห้ามขึ้นตรงกับฝ่ายขายหรือฝ่ายผลิตเด็ดขาด เพื่อความโปร่งใสและอิสระในการตัดสินใจ</t>
        </is>
      </c>
      <c r="K3" s="2" t="n"/>
      <c r="L3" s="2" t="inlineStr">
        <is>
          <t>GMP Regulations</t>
        </is>
      </c>
      <c r="M3" s="2" t="inlineStr">
        <is>
          <t>Product</t>
        </is>
      </c>
      <c r="N3" s="2" t="inlineStr">
        <is>
          <t>ข้อสอบเก่า 2561 ข้อ 18</t>
        </is>
      </c>
      <c r="O3" s="2" t="inlineStr">
        <is>
          <t>ข้อสอบเก่า</t>
        </is>
      </c>
      <c r="P3" s="8" t="inlineStr">
        <is>
          <t>2561</t>
        </is>
      </c>
      <c r="Q3" s="2" t="n"/>
      <c r="R3" s="2" t="n"/>
      <c r="S3" s="2" t="n"/>
      <c r="T3" s="2" t="n"/>
      <c r="U3" s="2" t="n"/>
    </row>
    <row r="4" ht="13.2" customHeight="1" s="49">
      <c r="A4" s="8" t="inlineStr">
        <is>
          <t>2</t>
        </is>
      </c>
      <c r="B4" s="2"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2" t="n"/>
      <c r="D4" s="2" t="inlineStr">
        <is>
          <t>25°C ± 2°C / 60% ± 5% RH</t>
        </is>
      </c>
      <c r="E4" s="2" t="inlineStr">
        <is>
          <t>30°C ± 2°C / 65% ± 5% RH</t>
        </is>
      </c>
      <c r="F4" s="2" t="inlineStr">
        <is>
          <t>40°C ± 2°C / 75% ± 5% RH</t>
        </is>
      </c>
      <c r="G4" s="2" t="inlineStr">
        <is>
          <t>30°C ± 2°C / 75% ± 5% RH</t>
        </is>
      </c>
      <c r="H4" s="2" t="inlineStr">
        <is>
          <t>25°C ± 2°C / 75% ± 5% RH</t>
        </is>
      </c>
      <c r="I4" s="8" t="inlineStr">
        <is>
          <t>4</t>
        </is>
      </c>
      <c r="J4" s="2" t="inlineStr">
        <is>
          <t>✅ คำตอบที่ถูกต้อง: ข้อ ง. 30°C ± 2°C / 75% ± 5% RH
💡 Background:
การทดสอบความคงตัวของยาในระยะยาว (Long-term Stability Testing) สำหรับขึ้นทะเบียนยาในประเทศไทย ต้องปฏิบัติตามแนวทาง ASEAN Guideline on Stability Study of Drug Product
🎯 ทำไมข้อนี้ถึงถูก:
ประเทศไทยและกลุ่มประเทศอาเซียนจัดอยู่ในเขตภูมิอากาศร้อนชื้นแบบวิกฤต (Climatic Zone IVb: Hot and Humid) สภาวะมาตรฐานในการทดสอบระยะยาวจึงกำหนดไว้ที่อุณหภูมิ 30°C ± 2°C และความชื้นสัมพัทธ์ 75% ± 5% RH ตลอดอายุการใช้งานที่ขอขึ้นทะเบียน
🔍 ข้ออื่นผิดเพราะอะไร:
• ข้อ ก. 25°C / 60% RH: เป็นสภาวะทดสอบสำหรับ Climatic Zone II (เขตอบอุ่น เช่น ยุโรป อเมริกา)
• ข้อ ข. 30°C / 65% RH: เป็นสภาวะทดสอบสำหรับ Climatic Zone IVa (ร้อนชื้นปานกลาง)
• ข้อ ค. 40°C / 75% RH: เป็นสภาวะเร่ง (Accelerated Stability Testing) ไม่ใช่สภาวะระยะยาว
• ข้อ จ. 2-8°C: เป็นสภาวะเก็บรักษาสำหรับยาที่ต้องแช่เย็น (Cold storage)
📖 Guideline อ้างอิง:
ASEAN Guideline on Stability Study of Drug Product &amp; ICH Q1A (R2) Stability Testing of New Drug Substances and Products
📌 จุดจำก่อนสอบ:
จำสภาวะทดสอบความคงตัวของไทย (Zone IVb) ให้แม่น: Long-term คือ 30°C/75% RH, Accelerated คือ 40°C/75% RH</t>
        </is>
      </c>
      <c r="K4" s="2" t="n"/>
      <c r="L4" s="2" t="inlineStr">
        <is>
          <t>Stability Testing</t>
        </is>
      </c>
      <c r="M4" s="2" t="inlineStr">
        <is>
          <t>Product</t>
        </is>
      </c>
      <c r="N4" s="2" t="inlineStr">
        <is>
          <t>ข้อสอบเก่า 2561 ข้อ 44</t>
        </is>
      </c>
      <c r="O4" s="2" t="inlineStr">
        <is>
          <t>ข้อสอบเก่า</t>
        </is>
      </c>
      <c r="P4" s="8" t="inlineStr">
        <is>
          <t>2561</t>
        </is>
      </c>
      <c r="Q4" s="2" t="n"/>
      <c r="R4" s="2" t="n"/>
      <c r="S4" s="2" t="n"/>
      <c r="T4" s="2" t="n"/>
      <c r="U4" s="2" t="n"/>
    </row>
    <row r="5" ht="13.2" customHeight="1" s="49">
      <c r="A5" s="8" t="inlineStr">
        <is>
          <t>3</t>
        </is>
      </c>
      <c r="B5" s="2" t="inlineStr">
        <is>
          <t>ข้อใดถูกต้องเกี่ยวกับการจัดเตรียมยาเคมีบำบัด (Cytotoxic preparation) เพื่อความปลอดภัยตามมาตรฐานสากล</t>
        </is>
      </c>
      <c r="C5" s="2" t="n"/>
      <c r="D5" s="2" t="inlineStr">
        <is>
          <t>ห้องเตรียมควรเป็น positive pressure เมื่อเทียบกับห้องภายนอก</t>
        </is>
      </c>
      <c r="E5" s="2" t="inlineStr">
        <is>
          <t>ลมเป่าควรเป็นแนว vertical ภายใน Biological Safety Cabinet</t>
        </is>
      </c>
      <c r="F5" s="2" t="inlineStr">
        <is>
          <t>ชุดคลุมปฏิบัติงานเมื่อใช้แล้วสามารถนำกลับมาใช้ซ้ำได้จนกว่าใยผ้าจะเสื่อม</t>
        </is>
      </c>
      <c r="G5" s="2" t="inlineStr">
        <is>
          <t>ภาชนะบรรจุควรทำความสะอาดด้วย alcohol 90%</t>
        </is>
      </c>
      <c r="H5" s="2" t="inlineStr">
        <is>
          <t>การเตรียมใน laminar air flow มีความปลอดภัยมากกว่าการเตรียมใน isolator</t>
        </is>
      </c>
      <c r="I5" s="8" t="inlineStr">
        <is>
          <t>2</t>
        </is>
      </c>
      <c r="J5" s="2" t="inlineStr">
        <is>
          <t>✅ คำตอบที่ถูกต้อง: ข้อ ข. ลมเป่าควรเป็นแนว vertical (แนวดิ่ง) ภายใน Biological Safety Cabinet
💡 Background:
การผสมเตรียมยาเคมีบำบัด (Cytotoxic / Chemotherapy reconstitution) เป็นสารอันตรายและก่อการกลายพันธุ์ ต้องเน้นความปลอดภัยของผู้ปฏิบัติงานและสิ่งแวดล้อมสูงสุดควบคู่กับการรักษาความสะอาดปราศจากเชื้อของผลิตภัณฑ์
🎯 ทำไมข้อนี้ถึงถูก:
ลมเป่าต้องเป็นแนวตั้ง (Vertical laminar airflow) ลงมาและถูกดูดกลับเข้าช่องกรอง โดยปฏิบัติงานในตู้ Biological Safety Cabinet (BSC Class II Type B2) หรือ Isolator เพื่อป้องกันไม่ให้ไอระเหยหรือละอองยาพัดเข้าหาใบหน้าและระบบทางเดินหายใจของผู้ปฏิบัติงาน
🔍 ข้ออื่นผิดเพราะอะไร:
• ข้อ ก. ห้องเตรียมควรเป็น positive pressure: ผิด ห้องเตรียมยาเคมีบำบัดต้องเป็น Negative pressure ต่อห้องภายนอก เพื่อกักกันไม่ให้ไอรั่วไหลสู่ภายนอก
• ข้อ ค. ชุดคลุมปฏิบัติงานนำกลับมาใช้ได้จนกว่าใยผ้าจะเสื่อม: ผิด ชุดคลุมป้องกันเคมีบำบัดเป็นชุดใช้ครั้งเดียวทิ้ง (Single-use, lint-free, impermeable)
• ข้อ ง. ภาชนะบรรจุทำความสะอาดด้วย alcohol 90%: ผิด แอลกอฮอล์ฆ่าเชื้อมาตรฐานคือ 70% v/v Isopropyl alcohol (IPA) หรือ Ethyl alcohol
• ข้อ จ. Laminar air flow ปลอดภัยกว่า Isolator: ผิด Isolator มีระบบปิดสมบูรณ์ (Glove box) ป้องกันผู้ปฏิบัติงานได้ปลอดภัยกว่า LAFW อย่างมาก
📖 Guideline อ้างอิง:
USP &lt;800&gt; Hazardous Drugs—Handling in Healthcare Settings &amp; ประกาศสภาเภสัชกรรม เรื่อง มาตรฐานการเตรียมยาเคมีบำบัดในโรงพยาบาล
📌 จุดจำก่อนสอบ:
Hazardous/Chemotherapy: Negative pressure room + BSC Class II Type B2 (Vertical airflow) ห้ามใช้ Horizontal laminar flow เด็ดขาด</t>
        </is>
      </c>
      <c r="K5" s="2" t="n"/>
      <c r="L5" s="2" t="inlineStr">
        <is>
          <t>Sterile Compounding &amp; Safety</t>
        </is>
      </c>
      <c r="M5" s="2" t="inlineStr">
        <is>
          <t>Product</t>
        </is>
      </c>
      <c r="N5" s="2" t="inlineStr">
        <is>
          <t>ข้อสอบเตรียมสอบเภสัช</t>
        </is>
      </c>
      <c r="O5" s="2" t="inlineStr">
        <is>
          <t>แบบฝึกหัด</t>
        </is>
      </c>
      <c r="P5" s="2" t="inlineStr">
        <is>
          <t>RxCU</t>
        </is>
      </c>
      <c r="Q5" s="2" t="n"/>
      <c r="R5" s="2" t="n"/>
      <c r="S5" s="2" t="n"/>
      <c r="T5" s="2" t="n"/>
      <c r="U5" s="2" t="n"/>
    </row>
    <row r="6" ht="13.2" customHeight="1" s="49">
      <c r="A6" s="8" t="inlineStr">
        <is>
          <t>4</t>
        </is>
      </c>
      <c r="B6" s="2" t="inlineStr">
        <is>
          <t>จากโครงสร้างทางเคมี L-dopa ถูกเปลี่ยนเป็น dopamine ในร่างกายด้วยปฏิกิริยาใด</t>
        </is>
      </c>
      <c r="C6" s="2" t="n"/>
      <c r="D6" s="2" t="inlineStr">
        <is>
          <t>Decarboxylation</t>
        </is>
      </c>
      <c r="E6" s="2" t="inlineStr">
        <is>
          <t>Demethylation</t>
        </is>
      </c>
      <c r="F6" s="2" t="inlineStr">
        <is>
          <t>Deamination</t>
        </is>
      </c>
      <c r="G6" s="2" t="inlineStr">
        <is>
          <t>Hydrolysis</t>
        </is>
      </c>
      <c r="H6" s="2" t="inlineStr">
        <is>
          <t>Oxidation</t>
        </is>
      </c>
      <c r="I6" s="8" t="inlineStr">
        <is>
          <t>1</t>
        </is>
      </c>
      <c r="J6" s="2" t="inlineStr">
        <is>
          <t>✅ คำตอบที่ถูกต้อง: ข้อ ก. Decarboxylation
💡 Background:
ในการสังเคราะห์สารสื่อประสาท catecholamines และกระบวนการเมแทบอลิซึมของยา L-dopa (Levodopa) ร่างกายใช้เอนไซม์ DOPA decarboxylase ในการเปลี่ยนรูปสารตั้งต้นเป็นตัวออกฤทธิ์
🎯 ทำไมข้อนี้ถึงถูก:
L-dopa (L-3,4-dihydroxyphenylalanine) มีหมู่ Carboxylic acid (-COOH) ที่ตำแหน่ง alpha เมื่อผ่านเอนไซม์ DOPA decarboxylase (ใช้ Pyridoxal-5-phosphate: Vitamin B6 เป็น cofactor) จะเกิดปฏิกิริยาตัดหมู่คาร์บอกซิลออกในรูป CO2 ได้เป็น Dopamine
🔍 ข้ออื่นผิดเพราะอะไร:
• ข้อ ข. Demethylation: การกำจัดหมู่เมทิล (-CH3)
• ข้อ ค. Deamination: การกำจัดหมู่อะมิโน (-NH2) เช่น การเปลี่ยน dopamine เป็น DOPAC โดยเอนไซม์ MAO
• ข้อ ง. Hydrolysis: ปฏิกิริยาการสลายตัวด้วยน้ำ เช่น การตัดหมู่ ester หรือ amide
• ข้อ จ. Oxidation: การให้อิเล็กตรอนหรือการเพิ่มออกซิเจน
📖 Guideline อ้างอิง:
Foye's Principles of Medicinal Chemistry &amp; Goodman &amp; Gilman's: The Pharmacological Basis of Therapeutics
📌 จุดจำก่อนสอบ:
L-dopa → Dopamine ใช้ปฏิกิริยา Decarboxylation (ตัด -COOH) เอนไซม์ DOPA decarboxylase (Aromatic L-amino acid decarboxylase)</t>
        </is>
      </c>
      <c r="K6" s="2" t="n"/>
      <c r="L6" s="2" t="inlineStr">
        <is>
          <t>Preformulation &amp; Medicinal Chemistry</t>
        </is>
      </c>
      <c r="M6" s="2" t="inlineStr">
        <is>
          <t>Product</t>
        </is>
      </c>
      <c r="N6" s="2" t="inlineStr">
        <is>
          <t>ข้อสอบเตรียมสอบเภสัช</t>
        </is>
      </c>
      <c r="O6" s="2" t="inlineStr">
        <is>
          <t>แบบฝึกหัด</t>
        </is>
      </c>
      <c r="P6" s="2" t="inlineStr">
        <is>
          <t>RxCU</t>
        </is>
      </c>
      <c r="Q6" s="2" t="n"/>
      <c r="R6" s="2" t="n"/>
      <c r="S6" s="2" t="n"/>
      <c r="T6" s="2" t="n"/>
      <c r="U6" s="2" t="n"/>
    </row>
    <row r="7" ht="13.2" customHeight="1" s="49">
      <c r="A7" s="8" t="inlineStr">
        <is>
          <t>5</t>
        </is>
      </c>
      <c r="B7" s="2"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2" t="n"/>
      <c r="D7" s="2" t="inlineStr">
        <is>
          <t>Accuracy</t>
        </is>
      </c>
      <c r="E7" s="2" t="inlineStr">
        <is>
          <t>Precision</t>
        </is>
      </c>
      <c r="F7" s="2" t="inlineStr">
        <is>
          <t>Specificity</t>
        </is>
      </c>
      <c r="G7" s="2" t="inlineStr">
        <is>
          <t>Limit of Detection (LOD)</t>
        </is>
      </c>
      <c r="H7" s="2" t="inlineStr">
        <is>
          <t>Limit of Quantitation (LOQ)</t>
        </is>
      </c>
      <c r="I7" s="8" t="inlineStr">
        <is>
          <t>4</t>
        </is>
      </c>
      <c r="J7" s="2" t="inlineStr">
        <is>
          <t>✅ คำตอบที่ถูกต้อง: ข้อ ง. Limit of Detection (LOD)
💡 Background:
ตามเกณฑ์ ICH Q2(R1) Validation of Analytical Procedures ได้แบ่งการตรวจสอบวิธีวิเคราะห์ออกเป็น 4 ประเภทหลัก: Identification, Testing for impurities (Quantitative), Limit tests for impurities, และ Assay
🎯 ทำไมข้อนี้ถึงถูก:
การตรวจวัดและหาปริมาณสารปนเปื้อน (Quantitative test for impurities) จำเป็นต้องประเมิน Accuracy, Precision (Repeatability &amp; Intermediate precision), Specificity, และ Limit of Quantitation (LOQ) เพื่อยืนยันว่าสามารถวัดค่าปริมาณต่ำสุดได้อย่างแม่นยำ ส่วน Limit of Detection (LOD) เป็นเพียงขีดจำกัดต่ำสุดที่ตรวจพบว่ามีสารอยู่ จึงบังคับเฉพาะการทดสอบแบบ Limit test ไม่จำเป็นสำหรับการวิเคราะห์เชิงปริมาณ (Quantitative)
🔍 ข้ออื่นผิดเพราะอะไร:
• ข้อ ก. Accuracy: จำเป็นต้องทำสำหรับการวิเคราะห์เชิงปริมาณสารปนเปื้อน
• ข้อ ข. Precision: จำเป็นต้องทำทั้ง Repeatability และ Intermediate precision
• ข้อ ค. Specificity: จำเป็นต้องทดสอบความจำเพาะว่าสารอื่น/excipients ไม่รบกวนสัญญาณ
• ข้อ จ. Limit of Quantitation (LOQ): จำเป็นอย่างยิ่งสำหรับการตรวจวิเคราะห์หาปริมาณสารปนเปื้อน
📖 Guideline อ้างอิง:
ICH Harmonised Tripartite Guideline: Validation of Analytical Procedures: Text and Methodology Q2(R1)
📌 จุดจำก่อนสอบ:
ICH Q2(R1) Impurities: ถ้าเป็น Quantitative ต้องทำ LOQ (ไม่ต้องทำ LOD), ถ้าเป็น Limit test ต้องทำ Specificity กับ LOD (ไม่ต้องทำ Accuracy/Precision/LOQ)</t>
        </is>
      </c>
      <c r="K7" s="2" t="n"/>
      <c r="L7" s="2" t="inlineStr">
        <is>
          <t>Method Validation &amp; Quality Control</t>
        </is>
      </c>
      <c r="M7" s="2" t="inlineStr">
        <is>
          <t>Product</t>
        </is>
      </c>
      <c r="N7" s="2" t="inlineStr">
        <is>
          <t>ข้อสอบเก่า 2562 / 2564</t>
        </is>
      </c>
      <c r="O7" s="2" t="inlineStr">
        <is>
          <t>ข้อสอบเก่า</t>
        </is>
      </c>
      <c r="P7" s="8" t="inlineStr">
        <is>
          <t>2562</t>
        </is>
      </c>
      <c r="Q7" s="2" t="n"/>
      <c r="R7" s="2" t="n"/>
      <c r="S7" s="2" t="n"/>
      <c r="T7" s="2" t="n"/>
      <c r="U7" s="2" t="n"/>
    </row>
    <row r="8" ht="13.2" customHeight="1" s="49">
      <c r="A8" s="8" t="inlineStr">
        <is>
          <t>6</t>
        </is>
      </c>
      <c r="B8" s="2"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2" t="n"/>
      <c r="D8" s="2" t="inlineStr">
        <is>
          <t>Wet granulation โดยใช้ starch paste เป็น binder</t>
        </is>
      </c>
      <c r="E8" s="2" t="inlineStr">
        <is>
          <t>Direct compression (การตอกตรง)</t>
        </is>
      </c>
      <c r="F8" s="2" t="inlineStr">
        <is>
          <t>Dry granulation ด้วยเครื่อง roller compactor</t>
        </is>
      </c>
      <c r="G8" s="2" t="inlineStr">
        <is>
          <t>Wet granulation ด้วย organic solvent</t>
        </is>
      </c>
      <c r="H8" s="2" t="inlineStr">
        <is>
          <t>Fluidized bed wet granulation</t>
        </is>
      </c>
      <c r="I8" s="8" t="inlineStr">
        <is>
          <t>2</t>
        </is>
      </c>
      <c r="J8" s="2"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และความคงตัวต่อความชื้น/น้ำ (Degradation pathway)
🎯 ทำไมข้อนี้ถึงถูก:
ตัวยา Donepezil เกิดปฏิกิริยา Hydrolysis เมื่อสัมผัสกับน้ำหรือความชื้นในสภาวะด่างและเป็นกลาง แต่ตัวยามีคุณสมบัติการไหลที่ดี (Good flowability) ดังนั้นวิธีที่ดีและเหมาะสมที่สุดคือ Direct compression (การตอกตรง) เพราะไม่ต้องสัมผัสน้ำหรือตัวทำละลายใดๆ จึงขจัดความเสี่ยงต่อการเกิด Hydrolysis ได้ 100%
🔍 ข้ออื่นผิดเพราะอะไร:
• ข้อ ก. Wet granulation ใช้ starch paste: มีน้ำเป็นตัวประสาน ทำให้ตัวยาเกิด Hydrolysis เสื่อมสลายทันที
• ข้อ ค. Dry granulation: แม้ไม่ใช้น้ำแต่มีขั้นตอนบดอัดซ้ำซ้อน ไม่จำเป็นสำหรับผงยาที่ไหลดีอยู่แล้ว
• ข้อ ง. Wet or dry granulation with starch paste: ห้ามใช้วิธีเปียกที่มีน้ำโดยเด็ดขาด
• ข้อ จ. Fluidized bed wet granulation: มีการพ่นละอองของเหลว ก่อให้เกิดการสลายตัวของยา
📖 Guideline อ้างอิง:
Aulton's Pharmaceutics: The Design and Manufacture of Medicines &amp; Handbook of Pharmaceutical Excipients
📌 จุดจำก่อนสอบ:
ถ้ายาไวต่อความชื้น/เกิด Hydrolysis + ผงยาไหลดี (Good flow) = เลือก Direct Compression เสมอ</t>
        </is>
      </c>
      <c r="K8" s="2" t="n"/>
      <c r="L8" s="2" t="inlineStr">
        <is>
          <t>Preformulation &amp; Formulation Design</t>
        </is>
      </c>
      <c r="M8" s="2" t="inlineStr">
        <is>
          <t>Product</t>
        </is>
      </c>
      <c r="N8" s="2" t="inlineStr">
        <is>
          <t>ข้อสอบเก่า 2561 ข้อ 30 / 2564 ข้อ 131</t>
        </is>
      </c>
      <c r="O8" s="2" t="inlineStr">
        <is>
          <t>ข้อสอบเก่า</t>
        </is>
      </c>
      <c r="P8" s="8" t="inlineStr">
        <is>
          <t>2561</t>
        </is>
      </c>
      <c r="Q8" s="2" t="n"/>
      <c r="R8" s="2" t="n"/>
      <c r="S8" s="2" t="n"/>
      <c r="T8" s="2" t="n"/>
      <c r="U8" s="2" t="n"/>
    </row>
    <row r="9" ht="13.2" customHeight="1" s="49">
      <c r="A9" s="8" t="inlineStr">
        <is>
          <t>7</t>
        </is>
      </c>
      <c r="B9" s="2"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2" t="n"/>
      <c r="D9" s="2" t="inlineStr">
        <is>
          <t>Newtonian flow</t>
        </is>
      </c>
      <c r="E9" s="2" t="inlineStr">
        <is>
          <t>Dilatant flow</t>
        </is>
      </c>
      <c r="F9" s="2" t="inlineStr">
        <is>
          <t>Pseudoplastic flow</t>
        </is>
      </c>
      <c r="G9" s="2" t="inlineStr">
        <is>
          <t>Plastic flow</t>
        </is>
      </c>
      <c r="H9" s="2" t="inlineStr">
        <is>
          <t>Rheopectic flow</t>
        </is>
      </c>
      <c r="I9" s="8" t="inlineStr">
        <is>
          <t>3</t>
        </is>
      </c>
      <c r="J9" s="2"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เป็นการไหลแบบ Non-Newtonian flow ซึ่งความหนืดจะแปรเปลี่ยนตามอัตราเฉือน (Shear rate) และระยะเวลาที่กระทำ
🎯 ทำไมข้อนี้ถึงถูก:
Methylcellulose มีพฤติกรรมการไหลแบบ Pseudoplastic flow (Shear-thinning) เมื่อตั้งทิ้งไว้โมเลกุลสายยาวจะพันกันเป็นร่างแห มีความหนืดสูง แต่เมื่อได้รับแรงเฉือนหรือการเขย่า โมเลกุลจะจัดเรียงตัวตามทิศทางการไหล ทำให้แรงต้านลดลงและความหนืดลดลง เรียกว่า Thixotropy ซึ่งเป็นคุณสมบัติในอุดมคติของยาน้ำแขวนตะกอน (Suspension)
🔍 ข้ออื่นผิดเพราะอะไร:
• ข้อ ก. Newtonian: ความหนืดคงที่เสมอ ไม่ขึ้นกับแรงเฉือน เช่น น้ำ, สารละลายแอลกอฮอล์
• ข้อ ข. Dilatant: ยิ่งกวน/เขย่ายิ่งหนืดขึ้น (Shear-thickening) เช่น สารแขวนลอยแป้งความเข้มข้นสูง
• ข้อ ง. Plastic: ต้องมีแรงเค้นเฉือนเริ่มต้น (Yield value) ก่อนจึงจะเริ่มไหล เช่น ครีม, ขี้ผึ้งเข้มข้น
• ข้อ จ. Rheopectic: ยิ่งกวนความหนืดยิ่งเพิ่มขึ้นตามเวลา เป็นปรากฏการณ์ตรงข้ามกับ Thixotropy
📖 Guideline อ้างอิง:
Martin's Physical Pharmacy and Pharmaceutical Sciences (Rheology Chapter)
📌 จุดจำก่อนสอบ:
สารกลุ่มโพลิเมอร์ (Methylcellulose, CMC, Carbopol) = Pseudoplastic flow (เขย่าแล้วเหลว หยุดเขย่าแล้วข้นหนืด Thixotropic recovery)</t>
        </is>
      </c>
      <c r="K9" s="2" t="n"/>
      <c r="L9" s="2" t="inlineStr">
        <is>
          <t>Preformulation &amp; Rheology</t>
        </is>
      </c>
      <c r="M9" s="2" t="inlineStr">
        <is>
          <t>Product</t>
        </is>
      </c>
      <c r="N9" s="2" t="inlineStr">
        <is>
          <t>ข้อสอบเตรียมสอบเภสัช</t>
        </is>
      </c>
      <c r="O9" s="2" t="inlineStr">
        <is>
          <t>แบบฝึกหัด</t>
        </is>
      </c>
      <c r="P9" s="2" t="inlineStr">
        <is>
          <t>RxCU</t>
        </is>
      </c>
      <c r="Q9" s="2" t="n"/>
      <c r="R9" s="2" t="n"/>
      <c r="S9" s="2" t="n"/>
      <c r="T9" s="2" t="n"/>
      <c r="U9" s="2" t="n"/>
    </row>
    <row r="10" ht="13.2" customHeight="1" s="49">
      <c r="A10" s="8" t="inlineStr">
        <is>
          <t>8</t>
        </is>
      </c>
      <c r="B10" s="2"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2" t="n"/>
      <c r="D10" s="2" t="inlineStr">
        <is>
          <t>Hydroxypropyl methylcellulose (HPMC)</t>
        </is>
      </c>
      <c r="E10" s="2" t="inlineStr">
        <is>
          <t>Ethyl cellulose (EC)</t>
        </is>
      </c>
      <c r="F10" s="2" t="inlineStr">
        <is>
          <t>Polyethylene glycol (PEG)</t>
        </is>
      </c>
      <c r="G10" s="2" t="inlineStr">
        <is>
          <t>Hydroxypropyl methylcellulose phthalate (HPMCP)</t>
        </is>
      </c>
      <c r="H10" s="2" t="inlineStr">
        <is>
          <t>Povidone (PVP)</t>
        </is>
      </c>
      <c r="I10" s="8" t="inlineStr">
        <is>
          <t>4</t>
        </is>
      </c>
      <c r="J10" s="2"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แต่แตกตัวเป็นไอออนและละลายได้ดีในทางเดินอาหารส่วนลำไส้เล็ก (pH &gt; 5.5-6.8)
🎯 ทำไมข้อนี้ถึงถูก:
HPMCP (Hydroxypropyl methylcellulose phthalate) และกลุ่มที่มีหมู่ Carboxylic acid / Phthalate ester (เช่น CAP, Eudragit L, Eudragit S) ไม่ละลายในสภาวะกรดของกระเพาะอาหาร แต่จะละลายเมื่อเข้าสู่ลำไส้เล็ก จึงใช้เป็นพอลิเมอร์สำหรับเคลือบ Enteric coat
🔍 ข้ออื่นผิดเพราะอะไร:
• ข้อ ก. Hydroxypropyl methylcellulose (HPMC): ละลายได้ในน้ำทุกช่วง pH ใช้เคลือบฟิล์มธรรมดา (Film-coated immediate release)
• ข้อ ข. Ethyl cellulose (EC): ไม่ละลายน้ำในทุกช่วง pH นิยมใช้เคลือบเพื่อควบคุมการปลดปล่อย (Sustained-release)
• ข้อ ค. Polyethylene glycol (PEG): ละลายน้ำได้ดี นิยมใช้เป็น Plasticizer หรือ Pore former
• ข้อ จ. Povidone (PVP): ละลายน้ำได้ดี ใช้เป็น Binder หรือ Film-former ทั่วไป
📖 Guideline อ้างอิง:
Handbook of Pharmaceutical Excipients &amp; USP Monograph on Enteric-Coated Tablet Standards
📌 จุดจำก่อนสอบ:
Enteric coating polymers จะมีคำว่า "Phthalate" หรือ "Acrylate copolymer ชนิด L/S" (CAP, HPMCP, Eudragit L/S, PVAP) เสมอ</t>
        </is>
      </c>
      <c r="K10" s="2" t="n"/>
      <c r="L10" s="2" t="inlineStr">
        <is>
          <t>Preformulation &amp; Polymer Coating</t>
        </is>
      </c>
      <c r="M10" s="2" t="inlineStr">
        <is>
          <t>Product</t>
        </is>
      </c>
      <c r="N10" s="2" t="inlineStr">
        <is>
          <t>ข้อสอบเก่า 2562 / 2566</t>
        </is>
      </c>
      <c r="O10" s="2" t="inlineStr">
        <is>
          <t>ข้อสอบเก่า</t>
        </is>
      </c>
      <c r="P10" s="8" t="inlineStr">
        <is>
          <t>2562</t>
        </is>
      </c>
      <c r="Q10" s="2" t="n"/>
      <c r="R10" s="2" t="n"/>
      <c r="S10" s="2" t="n"/>
      <c r="T10" s="2" t="n"/>
      <c r="U10" s="2" t="n"/>
    </row>
    <row r="11" ht="13.2" customHeight="1" s="49">
      <c r="A11" s="8" t="inlineStr">
        <is>
          <t>9</t>
        </is>
      </c>
      <c r="B11" s="2"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2" t="n"/>
      <c r="D11" s="2" t="inlineStr">
        <is>
          <t>Croscarmellose sodium</t>
        </is>
      </c>
      <c r="E11" s="2" t="inlineStr">
        <is>
          <t>Talcum</t>
        </is>
      </c>
      <c r="F11" s="2" t="inlineStr">
        <is>
          <t>Povidone K30</t>
        </is>
      </c>
      <c r="G11" s="2" t="inlineStr">
        <is>
          <t>Gelatin</t>
        </is>
      </c>
      <c r="H11" s="2" t="inlineStr">
        <is>
          <t>Methyl cellulose</t>
        </is>
      </c>
      <c r="I11" s="8" t="inlineStr">
        <is>
          <t>1</t>
        </is>
      </c>
      <c r="J11" s="2" t="inlineStr">
        <is>
          <t>✅ คำตอบที่ถูกต้อง: ข้อ ก. Croscarmellose sodium
💡 Background:
สารช่วยแตกตัว (Disintegrants) ทำหน้าที่เร่งให้เม็ดยาแตกตัวออกเป็นอนุภาคย่อยเมื่อสัมผัสกับของเหลวในทางเดินอาหาร โดยกลไกการดูดซับน้ำแล้วพองตัว (Swelling) หรือเกิดแรงดันรูพรุน (Capillary action / Wicking)
🎯 ทำไมข้อนี้ถึงถูก:
Croscarmellose sodium เป็นสารช่วยแตกตัวประสิทธิภาพสูงพิเศษ (Superdisintegrant) ชนิด Cross-linked sodium carboxymethylcellulose สามารถดูดซับน้ำและพองตัวได้รวดเร็วถึง 4-8 เท่าโดยไม่เกิดเจลหนืดกีดขวางการแตกตัว
🔍 ข้ออื่นผิดเพราะอะไร:
• ข้อ ข. Talcum: ทำหน้าที่เป็นสารช่วยไหล (Glidant) และสารหล่อลื่น (Lubricant)
• ข้อ ค. Povidone K30: ทำหน้าที่เป็นสารยึดเกาะ (Binder) ในกระบวนการทำแกรนูล
• ข้อ ง. Gelatin: ทำหน้าที่เป็น Binder หรือใช้ทำเปลือกแคปซูล
• ข้อ จ. Methyl cellulose: ทำหน้าที่เป็น Suspending agent หรือ Binder
📖 Guideline อ้างอิง:
Handbook of Pharmaceutical Excipients &amp; Ansel's Pharmaceutical Dosage Forms and Drug Delivery Systems
📌 จุดจำก่อนสอบ:
Superdisintegrants มี 3 กลุ่มหลักที่ออกสอบบ่อย: Croscarmellose sodium (Ac-Di-Sol), Sodium starch glycolate (Explotab), และ Crospovidone (Kollidon CL)</t>
        </is>
      </c>
      <c r="K11" s="2" t="n"/>
      <c r="L11" s="2" t="inlineStr">
        <is>
          <t>Preformulation &amp; Excipients</t>
        </is>
      </c>
      <c r="M11" s="2" t="inlineStr">
        <is>
          <t>Product</t>
        </is>
      </c>
      <c r="N11" s="2" t="inlineStr">
        <is>
          <t>ข้อสอบเก่า 2561 ข้อ 108 / 2567 ข้อ 15</t>
        </is>
      </c>
      <c r="O11" s="2" t="inlineStr">
        <is>
          <t>ข้อสอบเก่า</t>
        </is>
      </c>
      <c r="P11" s="8" t="inlineStr">
        <is>
          <t>2561</t>
        </is>
      </c>
      <c r="Q11" s="2" t="n"/>
      <c r="R11" s="2" t="n"/>
      <c r="S11" s="2" t="n"/>
      <c r="T11" s="2" t="n"/>
      <c r="U11" s="2" t="n"/>
    </row>
    <row r="12" ht="13.2" customHeight="1" s="49">
      <c r="A12" s="8" t="inlineStr">
        <is>
          <t>10</t>
        </is>
      </c>
      <c r="B12" s="2"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2" t="n"/>
      <c r="D12" s="2" t="inlineStr">
        <is>
          <t>Grade A ทั้งในจุดสัมผัสยาและสภาพแวดล้อมพื้นหลัง</t>
        </is>
      </c>
      <c r="E12" s="2" t="inlineStr">
        <is>
          <t>Grade D สำหรับทั้งกระบวนการเตรียมและบรรจุ</t>
        </is>
      </c>
      <c r="F12" s="2" t="inlineStr">
        <is>
          <t>Grade C สำหรับทั้งกระบวนการเตรียมและบรรจุ</t>
        </is>
      </c>
      <c r="G12" s="2" t="inlineStr">
        <is>
          <t>Grade A ในจุดสัมผัสยา โดยมีสภาพแวดล้อมพื้นหลังเป็น Grade B</t>
        </is>
      </c>
      <c r="H12" s="2" t="inlineStr">
        <is>
          <t>Grade B ในจุดสัมผัสยา โดยมีสภาพแวดล้อมพื้นหลังเป็น Grade C</t>
        </is>
      </c>
      <c r="I12" s="8" t="inlineStr">
        <is>
          <t>4</t>
        </is>
      </c>
      <c r="J12" s="2" t="inlineStr">
        <is>
          <t>✅ คำตอบที่ถูกต้อง: ข้อ ง. Grade A ในจุดสัมผัสยา โดยมีสภาพแวดล้อมพื้นหลังเป็น Grade B
💡 Background:
ตามหลักเกณฑ์ GMP PIC/S Annex 1 Manufacture of Sterile Medicinal Products ยาฉีดที่เตรียมด้วยกระบวนการปลอดเชื้อ (Aseptic processing) โดยไม่ผ่านการทำให้ปราศจากเชื้อในภาชนะบรรจุขั้นสุดท้าย (Non-terminally sterilized products เช่น Insulin, วัคซีนชีววัตถุ) ต้องควบคุมระดับความสะอาดของพื้นที่อย่างเข้มงวด
🎯 ทำไมข้อนี้ถึงถูก:
Insulin เป็นยาชีววัตถุที่ไวต่อความร้อน ไม่สามารถทำ Terminal heat sterilization ได้ กระบวนการบรรจุ (Aseptic filling) ต้องทำภายใต้สภาวะ Laminar airflow Grade A (จุดวิกฤตที่เปิดสัมผัสยา) โดยมีพื้นที่รองรับหรือพื้นหลัง (Background) เป็นห้องสะอาดระดับ Grade B
🔍 ข้ออื่นผิดเพราะอะไร:
• ข้อ ก. Grade A ในพื้นหลัง Grade A: สิ้นเปลืองพลังงานและเกินความจำเป็นตามเกณฑ์มาตรฐาน GMP
• ข้อ ข. Grade D: เป็นพื้นที่สะอาดระดับต่ำสำหรับเตรียมวัตถุดิบหรือล้างภาชนะ
• ข้อ ค. Grade C: เป็นพื้นที่เตรียมสารละลายสำหรับยาที่จะนำไปผ่าน Terminal sterilization
• ข้อ จ. Grade C ในพื้นหลัง Grade D: ไม่เพียงพอสำหรับยาฉีดชนิด Aseptic preparation
📖 Guideline อ้างอิง:
PIC/S GMP Guide Annex 1 (Manufacture of Sterile Medicinal Products) &amp; WHO Good Manufacturing Practices for Sterile Pharmaceutical Products
📌 จุดจำก่อนสอบ:
Aseptic preparation &amp; filling = Grade A (Critical zone) ใน background Grade B เสมอ!</t>
        </is>
      </c>
      <c r="K12" s="2" t="n"/>
      <c r="L12" s="2" t="inlineStr">
        <is>
          <t>GMP PIC/S &amp; Sterile Manufacturing</t>
        </is>
      </c>
      <c r="M12" s="2" t="inlineStr">
        <is>
          <t>Product</t>
        </is>
      </c>
      <c r="N12" s="2" t="inlineStr">
        <is>
          <t>ข้อสอบเก่า 2566 Day 2 ข้อ 97</t>
        </is>
      </c>
      <c r="O12" s="2" t="inlineStr">
        <is>
          <t>ข้อสอบเก่า</t>
        </is>
      </c>
      <c r="P12" s="8" t="inlineStr">
        <is>
          <t>2566</t>
        </is>
      </c>
      <c r="Q12" s="2" t="n"/>
      <c r="R12" s="2" t="n"/>
      <c r="S12" s="2" t="n"/>
      <c r="T12" s="2" t="n"/>
      <c r="U12" s="2" t="n"/>
    </row>
    <row r="13" ht="13.2" customHeight="1" s="49">
      <c r="A13" s="8" t="inlineStr">
        <is>
          <t>11</t>
        </is>
      </c>
      <c r="B13" s="2"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2" t="n"/>
      <c r="D13" s="2" t="inlineStr">
        <is>
          <t>ผลิตในอาคารเดียวกันได้โดยใช้วิธีสลับรอบการผลิต (Campaign production)</t>
        </is>
      </c>
      <c r="E13" s="2" t="inlineStr">
        <is>
          <t>แยกอาคารผลิตแต่สามารถเชื่อมต่อระบบปรับอากาศ (HVAC) และระบบน้ำร่วมกันได้</t>
        </is>
      </c>
      <c r="F13" s="2" t="inlineStr">
        <is>
          <t>ต้องแยกอาคารผลิตและแยกระบบสาธารณูปโภค (HVAC/Water) โดยเด็ดขาด</t>
        </is>
      </c>
      <c r="G13" s="2" t="inlineStr">
        <is>
          <t>สามารถผลิตในห้องร่วมกับยาอื่นได้หากติดตั้ง HEPA filter ประจำเครื่องจักร</t>
        </is>
      </c>
      <c r="H13" s="2" t="inlineStr">
        <is>
          <t>ผลิตร่วมกับผลิตภัณฑ์อื่นได้หากผ่านการทดสอบ Cleaning validation อย่างเข้มงวด</t>
        </is>
      </c>
      <c r="I13" s="8" t="inlineStr">
        <is>
          <t>3</t>
        </is>
      </c>
      <c r="J13" s="2"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และกลุ่มบีตา-แลกแทม (Beta-lactams) เป็นสารที่มีความไวสูงในการกระตุ้นให้เกิดอาการแพ้อย่างรุนแรง (Severe hypersensitivity and Anaphylactic shock) ได้ แม้จะปนเปื้อนในปริมาณเพียงเล็กน้อยระดับ trace amount
🎯 ทำไมข้อนี้ถึงถูก:
ตามข้อกำหนด GMP PIC/S โรงงานที่มีการผลิตยา Penicillin ต้องผลิตในสถานที่เฉพาะ (Dedicated and self-contained facility) โดยต้องแยกอาคารผลิต (Separate building) และแยกระบบสาธารณูปโภค (Dedicated air handling units: HVAC และระบบน้ำ) แยกขาดจากผลิตภัณฑ์ยาอื่นโดยเด็ดขาด เพื่อกำจัดการปนเปื้อนข้าม (Cross-contamination)
🔍 ข้ออื่นผิดเพราะอะไร:
• ข้อ ก. ผลิตในอาคารเดียวกันได้โดยใช้วิธีสลับรอบการผลิต (Campaign production): ผิดอย่างยิ่ง ห้ามใช้พื้นที่ร่วมกับยาอื่นแม้จะสลับเวลาก็ตาม
• ข้อ ข. แยกอาคารผลิตแต่สามารถเชื่อมต่อระบบปรับอากาศ (HVAC) และระบบน้ำร่วมกันได้: ผิด อากาศอาจพัดพาสปอร์หรือละอองยาไปปนเปื้อนยาอื่นได้
• ข้อ ง. ผลิตร่วมกันได้หากมี HEPA filter ในเครื่องตอกยา: ไม่เพียงพอต่อการควบคุมความเสี่ยง
• ข้อ จ. ไม่ต้องแยกสถานที่หากทำ Cleaning validation ผ่าน: ผิด ยา Penicillin เป็นข้อยกเว้นเด็ดขาดที่ไม่อนุญาตให้ใช้มาตรการทำความสะอาดทดแทนการแยกอาคาร
📖 Guideline อ้างอิง:
PIC/S Guide to Good Manufacturing Practice: Chapter 3 Premises and Equipment &amp; Chapter 5 Production (Dedicated facilities for sensitising materials)
📌 จุดจำก่อนสอบ:
Penicillin, Beta-lactam, Cytotoxic, Cephalosporin = ต้องใช้ Dedicated facility (แยกอาคาร + แยกระบบ HVAC อิสระเด็ดขาด)</t>
        </is>
      </c>
      <c r="K13" s="2" t="n"/>
      <c r="L13" s="2" t="inlineStr">
        <is>
          <t>GMP Facility Design &amp; Cross-Contamination</t>
        </is>
      </c>
      <c r="M13" s="2" t="inlineStr">
        <is>
          <t>Product</t>
        </is>
      </c>
      <c r="N13" s="2" t="inlineStr">
        <is>
          <t>ข้อสอบเก่า 2566 Day 2 ข้อ 76</t>
        </is>
      </c>
      <c r="O13" s="2" t="inlineStr">
        <is>
          <t>ข้อสอบเก่า</t>
        </is>
      </c>
      <c r="P13" s="8" t="inlineStr">
        <is>
          <t>2566</t>
        </is>
      </c>
      <c r="Q13" s="2" t="n"/>
      <c r="R13" s="2" t="n"/>
      <c r="S13" s="2" t="n"/>
      <c r="T13" s="2" t="n"/>
      <c r="U13" s="2" t="n"/>
    </row>
    <row r="14" ht="13.2" customHeight="1" s="49">
      <c r="A14" s="35" t="n">
        <v>12</v>
      </c>
      <c r="B14" s="34" t="inlineStr">
        <is>
          <t>จากตำรับน้ำตาเทียม (จำไม่ได้) หากไม่มี Hydroxypropyl-guar สามารถใช้สารในข้อใดทำน้าที่แทนได้</t>
        </is>
      </c>
      <c r="C14" s="35" t="n"/>
      <c r="D14" s="34" t="inlineStr">
        <is>
          <t>ethyl cellulose</t>
        </is>
      </c>
      <c r="E14" s="34" t="inlineStr">
        <is>
          <t>Cellulose acetate</t>
        </is>
      </c>
      <c r="F14" s="34" t="inlineStr">
        <is>
          <t>Polysorbate 80</t>
        </is>
      </c>
      <c r="G14" s="34" t="inlineStr">
        <is>
          <t>Sorbitol</t>
        </is>
      </c>
      <c r="H14" s="34" t="inlineStr">
        <is>
          <t>PVA</t>
        </is>
      </c>
      <c r="I14" s="35" t="n">
        <v>1</v>
      </c>
      <c r="J14" s="34" t="inlineStr">
        <is>
          <t>✅ คำตอบที่ถูกต้อง: ข้อ ก. ethyl cellulose
💡 Background:
คำถามข้อสอบจริงใบประกอบวิชาชีพ PLE-CC 1 (Product) ปี 2567 ข้อ 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4" s="35" t="n"/>
      <c r="L14" s="34" t="inlineStr">
        <is>
          <t>Pharmaceutical Technology General</t>
        </is>
      </c>
      <c r="M14" s="35" t="inlineStr">
        <is>
          <t>Product</t>
        </is>
      </c>
      <c r="N14" s="34" t="inlineStr">
        <is>
          <t>ข้อสอบจริง Product ปี 2567 ข้อ 6</t>
        </is>
      </c>
      <c r="O14" s="35" t="inlineStr">
        <is>
          <t>ข้อสอบจริง</t>
        </is>
      </c>
      <c r="P14" s="35" t="inlineStr">
        <is>
          <t>ปี 2567</t>
        </is>
      </c>
      <c r="Q14" s="2" t="n"/>
      <c r="R14" s="2" t="n"/>
      <c r="S14" s="2" t="n"/>
      <c r="T14" s="2" t="n"/>
      <c r="U14" s="2" t="n"/>
    </row>
    <row r="15" ht="13.2" customHeight="1" s="49">
      <c r="A15" s="35" t="n">
        <v>13</v>
      </c>
      <c r="B15" s="34" t="inlineStr">
        <is>
          <t>Ferrous Sulfate \ 7H2O หาน้ำในตำรับต้องใช้วิธีทดสอบใด</t>
        </is>
      </c>
      <c r="C15" s="35" t="n"/>
      <c r="D15" s="34" t="inlineStr">
        <is>
          <t>KARL FISHER</t>
        </is>
      </c>
      <c r="E15" s="34" t="inlineStr">
        <is>
          <t>Loss on drying</t>
        </is>
      </c>
      <c r="F15" s="34" t="n"/>
      <c r="G15" s="34" t="n"/>
      <c r="H15" s="34" t="n"/>
      <c r="I15" s="35" t="n">
        <v>1</v>
      </c>
      <c r="J15" s="34" t="inlineStr">
        <is>
          <t>✅ คำตอบที่ถูกต้อง: ข้อ ก. KARL FISHER
💡 Background:
คำถามข้อสอบจริงใบประกอบวิชาชีพ PLE-CC 1 (Product) ปี 2567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5" s="35" t="n"/>
      <c r="L15" s="34" t="inlineStr">
        <is>
          <t>Pharmaceutical Technology General</t>
        </is>
      </c>
      <c r="M15" s="35" t="inlineStr">
        <is>
          <t>Product</t>
        </is>
      </c>
      <c r="N15" s="34" t="inlineStr">
        <is>
          <t>ข้อสอบจริง Product ปี 2567 ข้อ 7</t>
        </is>
      </c>
      <c r="O15" s="35" t="inlineStr">
        <is>
          <t>ข้อสอบจริง</t>
        </is>
      </c>
      <c r="P15" s="35" t="inlineStr">
        <is>
          <t>ปี 2567</t>
        </is>
      </c>
      <c r="Q15" s="2" t="n"/>
      <c r="R15" s="2" t="n"/>
      <c r="S15" s="2" t="n"/>
      <c r="T15" s="2" t="n"/>
      <c r="U15" s="2" t="n"/>
    </row>
    <row r="16" ht="13.2" customHeight="1" s="49">
      <c r="A16" s="35" t="n">
        <v>14</v>
      </c>
      <c r="B16" s="34" t="inlineStr">
        <is>
          <t>จากการศึกษา cohort study เกี่ยกับการใช้ ACEI ลดคามดันกับอาการไอ [แนบรูป: ข้อสอบ Product ปี 2567 รหัสรูปภาพ image2] จงา relative risk ของอาการไอกับการใช้ยา ACEIs</t>
        </is>
      </c>
      <c r="C16" s="35" t="inlineStr">
        <is>
          <t>[แนบรูป: ข้อสอบ Product ปี 2567 รหัสรูปภาพ image2]</t>
        </is>
      </c>
      <c r="D16" s="34" t="inlineStr">
        <is>
          <t>3.59</t>
        </is>
      </c>
      <c r="E16" s="34" t="inlineStr">
        <is>
          <t>3.33</t>
        </is>
      </c>
      <c r="F16" s="34" t="inlineStr">
        <is>
          <t>0.28</t>
        </is>
      </c>
      <c r="G16" s="34" t="inlineStr">
        <is>
          <t>2.69</t>
        </is>
      </c>
      <c r="H16" s="34" t="inlineStr">
        <is>
          <t>0.3</t>
        </is>
      </c>
      <c r="I16" s="35" t="n">
        <v>1</v>
      </c>
      <c r="J16" s="34" t="inlineStr">
        <is>
          <t>✅ คำตอบที่ถูกต้อง: ข้อ ก. 3.59
💡 Background:
คำถามข้อสอบจริงใบประกอบวิชาชีพ PLE-CC 1 (Product) ปี 2567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6" s="35" t="n"/>
      <c r="L16" s="34" t="inlineStr">
        <is>
          <t>Pharmaceutical Technology General</t>
        </is>
      </c>
      <c r="M16" s="35" t="inlineStr">
        <is>
          <t>Product</t>
        </is>
      </c>
      <c r="N16" s="34" t="inlineStr">
        <is>
          <t>ข้อสอบจริง Product ปี 2567 ข้อ 9</t>
        </is>
      </c>
      <c r="O16" s="35" t="inlineStr">
        <is>
          <t>ข้อสอบจริง</t>
        </is>
      </c>
      <c r="P16" s="35" t="inlineStr">
        <is>
          <t>ปี 2567</t>
        </is>
      </c>
      <c r="Q16" s="2" t="n"/>
      <c r="R16" s="2" t="n"/>
      <c r="S16" s="2" t="n"/>
      <c r="T16" s="2" t="n"/>
      <c r="U16" s="2" t="n"/>
    </row>
    <row r="17" ht="13.2" customHeight="1" s="49">
      <c r="A17" s="35" t="n">
        <v>15</v>
      </c>
      <c r="B17" s="34" t="inlineStr">
        <is>
          <t>ข้อใดเป็นการเพิ่มความยืดหยุ่นใน nicotine gum</t>
        </is>
      </c>
      <c r="C17" s="35" t="n"/>
      <c r="D17" s="34" t="inlineStr">
        <is>
          <t>Sodium sulfate</t>
        </is>
      </c>
      <c r="E17" s="34" t="inlineStr">
        <is>
          <t>Glycerin</t>
        </is>
      </c>
      <c r="F17" s="34" t="inlineStr">
        <is>
          <t>Sorbitol</t>
        </is>
      </c>
      <c r="G17" s="34" t="inlineStr">
        <is>
          <t>Aspartame</t>
        </is>
      </c>
      <c r="H17" s="34" t="inlineStr">
        <is>
          <t>Polacrilex (cation exchange resin)</t>
        </is>
      </c>
      <c r="I17" s="35" t="n">
        <v>1</v>
      </c>
      <c r="J17" s="34" t="inlineStr">
        <is>
          <t>✅ คำตอบที่ถูกต้อง: ข้อ ก. Sodium sulfate
💡 Background:
คำถามข้อสอบจริงใบประกอบวิชาชีพ PLE-CC 1 (Product) ปี 2567 ข้อ 16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7" s="35" t="n"/>
      <c r="L17" s="34" t="inlineStr">
        <is>
          <t>Pharmaceutical Technology General</t>
        </is>
      </c>
      <c r="M17" s="35" t="inlineStr">
        <is>
          <t>Product</t>
        </is>
      </c>
      <c r="N17" s="34" t="inlineStr">
        <is>
          <t>ข้อสอบจริง Product ปี 2567 ข้อ 16</t>
        </is>
      </c>
      <c r="O17" s="35" t="inlineStr">
        <is>
          <t>ข้อสอบจริง</t>
        </is>
      </c>
      <c r="P17" s="35" t="inlineStr">
        <is>
          <t>ปี 2567</t>
        </is>
      </c>
      <c r="Q17" s="2" t="n"/>
      <c r="R17" s="2" t="n"/>
      <c r="S17" s="2" t="n"/>
      <c r="T17" s="2" t="n"/>
      <c r="U17" s="2" t="n"/>
    </row>
    <row r="18" ht="409.6" customHeight="1" s="49">
      <c r="A18" s="35" t="n">
        <v>16</v>
      </c>
      <c r="B18" s="34" t="inlineStr">
        <is>
          <t>แพทย์สอบถามเกี่ยกับการใช้ยา methimazole ในหญิงตั้งครรภ์ ถ้าไปสืบค้นโดยใช้ Micromedex, comp ถามว่าเป็นแหล่งข้อมูลแบบใด</t>
        </is>
      </c>
      <c r="C18" s="35" t="n"/>
      <c r="D18" s="34" t="inlineStr">
        <is>
          <t>Secondary resources</t>
        </is>
      </c>
      <c r="E18" s="34" t="inlineStr">
        <is>
          <t>Primary resources</t>
        </is>
      </c>
      <c r="F18" s="34" t="inlineStr">
        <is>
          <t>Secondary และ tertiary</t>
        </is>
      </c>
      <c r="G18" s="34" t="inlineStr">
        <is>
          <t>Tertiary resources</t>
        </is>
      </c>
      <c r="H18" s="34" t="inlineStr">
        <is>
          <t>Primary และ secondary</t>
        </is>
      </c>
      <c r="I18" s="35" t="n">
        <v>1</v>
      </c>
      <c r="J18" s="34" t="inlineStr">
        <is>
          <t>✅ คำตอบที่ถูกต้อง: ข้อ ก. Secondary resources
💡 Background:
คำถามข้อสอบจริงใบประกอบวิชาชีพ PLE-CC 1 (Product) ปี 2567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8" s="35" t="n"/>
      <c r="L18" s="34" t="inlineStr">
        <is>
          <t>Pharmaceutical Technology General</t>
        </is>
      </c>
      <c r="M18" s="35" t="inlineStr">
        <is>
          <t>Product</t>
        </is>
      </c>
      <c r="N18" s="34" t="inlineStr">
        <is>
          <t>ข้อสอบจริง Product ปี 2567 ข้อ 20</t>
        </is>
      </c>
      <c r="O18" s="35" t="inlineStr">
        <is>
          <t>ข้อสอบจริง</t>
        </is>
      </c>
      <c r="P18" s="35" t="inlineStr">
        <is>
          <t>ปี 2567</t>
        </is>
      </c>
    </row>
    <row r="19" ht="409.6" customHeight="1" s="49">
      <c r="A19" s="35" t="n">
        <v>17</v>
      </c>
      <c r="B19" s="34" t="inlineStr">
        <is>
          <t>ถ้าอยากป้องกันไม่ให้ความชื้นออกจากผิว (occlusive) ต้องเติมสารใด</t>
        </is>
      </c>
      <c r="C19" s="35" t="n"/>
      <c r="D19" s="34" t="inlineStr">
        <is>
          <t>Glycerin</t>
        </is>
      </c>
      <c r="E19" s="34" t="inlineStr">
        <is>
          <t>Sorbitol</t>
        </is>
      </c>
      <c r="F19" s="34" t="inlineStr">
        <is>
          <t>White paraffin</t>
        </is>
      </c>
      <c r="G19" s="34" t="inlineStr">
        <is>
          <t>hyaluronic acid</t>
        </is>
      </c>
      <c r="H19" s="34" t="inlineStr">
        <is>
          <t>niacinamide</t>
        </is>
      </c>
      <c r="I19" s="35" t="n">
        <v>1</v>
      </c>
      <c r="J19" s="34" t="inlineStr">
        <is>
          <t>✅ คำตอบที่ถูกต้อง: ข้อ ก. Glycerin
💡 Background:
คำถามข้อสอบจริงใบประกอบวิชาชีพ PLE-CC 1 (Product) ปี 2567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9" s="35" t="n"/>
      <c r="L19" s="34" t="inlineStr">
        <is>
          <t>Pharmaceutical Technology General</t>
        </is>
      </c>
      <c r="M19" s="35" t="inlineStr">
        <is>
          <t>Product</t>
        </is>
      </c>
      <c r="N19" s="34" t="inlineStr">
        <is>
          <t>ข้อสอบจริง Product ปี 2567 ข้อ 26</t>
        </is>
      </c>
      <c r="O19" s="35" t="inlineStr">
        <is>
          <t>ข้อสอบจริง</t>
        </is>
      </c>
      <c r="P19" s="35" t="inlineStr">
        <is>
          <t>ปี 2567</t>
        </is>
      </c>
    </row>
    <row r="20" ht="409.6" customHeight="1" s="49">
      <c r="A20" s="35" t="n">
        <v>18</v>
      </c>
      <c r="B20" s="34" t="inlineStr">
        <is>
          <t>หากต้องการให้ยาปลดปล่อยทันทีในกระเพาะอาารและลำไส้เล็ก (Immediate release) ต้องใช้สารในข้อใดเป็นสารเคลือบ</t>
        </is>
      </c>
      <c r="C20" s="35" t="n"/>
      <c r="D20" s="34" t="inlineStr">
        <is>
          <t>Cellulose acetate</t>
        </is>
      </c>
      <c r="E20" s="34" t="inlineStr">
        <is>
          <t>Phthalate</t>
        </is>
      </c>
      <c r="F20" s="34" t="inlineStr">
        <is>
          <t>Shellac</t>
        </is>
      </c>
      <c r="G20" s="34" t="inlineStr">
        <is>
          <t>ethyl cellulose</t>
        </is>
      </c>
      <c r="H20" s="34" t="inlineStr">
        <is>
          <t>PVA</t>
        </is>
      </c>
      <c r="I20" s="35" t="n">
        <v>1</v>
      </c>
      <c r="J20" s="34" t="inlineStr">
        <is>
          <t>✅ คำตอบที่ถูกต้อง: ข้อ ก. Cellulose acetate
💡 Background:
คำถามข้อสอบจริงใบประกอบวิชาชีพ PLE-CC 1 (Product) ปี 2567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0" s="35" t="n"/>
      <c r="L20" s="34" t="inlineStr">
        <is>
          <t>Pharmaceutical Technology General</t>
        </is>
      </c>
      <c r="M20" s="35" t="inlineStr">
        <is>
          <t>Product</t>
        </is>
      </c>
      <c r="N20" s="34" t="inlineStr">
        <is>
          <t>ข้อสอบจริง Product ปี 2567 ข้อ 28</t>
        </is>
      </c>
      <c r="O20" s="35" t="inlineStr">
        <is>
          <t>ข้อสอบจริง</t>
        </is>
      </c>
      <c r="P20" s="35" t="inlineStr">
        <is>
          <t>ปี 2567</t>
        </is>
      </c>
    </row>
    <row r="21" ht="409.6" customHeight="1" s="49">
      <c r="A21" s="35" t="n">
        <v>19</v>
      </c>
      <c r="B21" s="34" t="inlineStr">
        <is>
          <t>ชายอายุ 28 ปี มาขอซื้อยา tramadol เพื่อบรรเทาอาการปวดของโรคประจำตัว และต้องการพกติดตัวไปต่างประเทศ เภสัชกรจึงจ่ายยาให้ไป 30 เม็ด พร้อมเขียนข้อบ่งใช้วิธีบริหารยาและข้อควรระวัง จากสถานการณ์ดังกล่าวข้อใดถูกต้อง</t>
        </is>
      </c>
      <c r="C21" s="35" t="n"/>
      <c r="D21" s="34" t="inlineStr">
        <is>
          <t>สามารถขายได้ ไม่ผิดกฎมาย ผิดจรรยาบรรณ</t>
        </is>
      </c>
      <c r="E21" s="34" t="inlineStr">
        <is>
          <t>ไม่สามารถขายได้ ผิดกฎมาย ผิดจรรยาบรรณ</t>
        </is>
      </c>
      <c r="F21" s="34" t="inlineStr">
        <is>
          <t>สามารถขายได้ ไม่ผิดกฎมาย ไม่ผิดจรรยาบรรณ</t>
        </is>
      </c>
      <c r="G21" s="34" t="inlineStr">
        <is>
          <t>ไม่สามารถขายได้ ผิดกฎมาย ไม่ผิดจรรยาบรรณ</t>
        </is>
      </c>
      <c r="H21" s="34" t="inlineStr">
        <is>
          <t>ไม่สามารถขายได้ ไม่ผิดกฎมาย ผิดจรรยาบรรณ # ข้อสอบจริง PLE CC 1 (Product) ปี 2567 # --- #</t>
        </is>
      </c>
      <c r="I21" s="35" t="n">
        <v>1</v>
      </c>
      <c r="J21" s="34" t="inlineStr">
        <is>
          <t>✅ คำตอบที่ถูกต้อง: ข้อ ก. สามารถขายได้ ไม่ผิดกฎมาย ผิดจรรยาบรรณ
💡 Background:
คำถามข้อสอบจริงใบประกอบวิชาชีพ PLE-CC 1 (Product) ปี 2567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1" s="35" t="n"/>
      <c r="L21" s="34" t="inlineStr">
        <is>
          <t>Pharmaceutical Technology General</t>
        </is>
      </c>
      <c r="M21" s="35" t="inlineStr">
        <is>
          <t>Product</t>
        </is>
      </c>
      <c r="N21" s="34" t="inlineStr">
        <is>
          <t>ข้อสอบจริง Product ปี 2567 ข้อ 38</t>
        </is>
      </c>
      <c r="O21" s="35" t="inlineStr">
        <is>
          <t>ข้อสอบจริง</t>
        </is>
      </c>
      <c r="P21" s="35" t="inlineStr">
        <is>
          <t>ปี 2567</t>
        </is>
      </c>
    </row>
    <row r="22" ht="409.6" customHeight="1" s="49">
      <c r="A22" s="35" t="n">
        <v>20</v>
      </c>
      <c r="B22" s="34" t="inlineStr">
        <is>
          <t>(ปี 2566, Day 2 ข้อ 41\) (เรื่อง: ยาที่ห้ามขายแบบ self-service) ยาใดห้ามขายในส่วนบริการตนเองในร้านยา</t>
        </is>
      </c>
      <c r="C22" s="35" t="n"/>
      <c r="D22" s="34" t="inlineStr">
        <is>
          <t>Niclosamide</t>
        </is>
      </c>
      <c r="E22" s="34" t="inlineStr">
        <is>
          <t>CPM</t>
        </is>
      </c>
      <c r="F22" s="34" t="inlineStr">
        <is>
          <t>Paracetamol</t>
        </is>
      </c>
      <c r="G22" s="34" t="n"/>
      <c r="H22" s="34" t="n"/>
      <c r="I22" s="35" t="n">
        <v>1</v>
      </c>
      <c r="J22" s="34" t="inlineStr">
        <is>
          <t>✅ คำตอบที่ถูกต้อง: ข้อ ก. Niclosamide
💡 Background:
คำถามข้อสอบจริงใบประกอบวิชาชีพ PLE-CC 1 (Product) ปี 2566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2" s="35" t="n"/>
      <c r="L22" s="34" t="inlineStr">
        <is>
          <t>Pharmaceutical Technology General</t>
        </is>
      </c>
      <c r="M22" s="35" t="inlineStr">
        <is>
          <t>Product</t>
        </is>
      </c>
      <c r="N22" s="34" t="inlineStr">
        <is>
          <t>ข้อสอบจริง Product ปี 2566 ข้อ 14</t>
        </is>
      </c>
      <c r="O22" s="35" t="inlineStr">
        <is>
          <t>ข้อสอบจริง</t>
        </is>
      </c>
      <c r="P22" s="35" t="inlineStr">
        <is>
          <t>ปี 2566</t>
        </is>
      </c>
    </row>
    <row r="23" ht="409.6" customHeight="1" s="49">
      <c r="A23" s="35" t="n">
        <v>21</v>
      </c>
      <c r="B23" s="34" t="inlineStr">
        <is>
          <t>(ปี 2566, Day 2 ข้อ 44\) (เรื่อง: บรรจุภัณฑ์ Albendazole ที่ไวความชื้นมาก) บรรจุภัณฑ์ของ albendazole ที่ไวต่อความชื้นมากๆ ควรเป็นอะไร</t>
        </is>
      </c>
      <c r="C23" s="35" t="n"/>
      <c r="D23" s="34" t="inlineStr">
        <is>
          <t>ขวดพลาสติกใส่ซองกันชื้น</t>
        </is>
      </c>
      <c r="E23" s="34" t="inlineStr">
        <is>
          <t>ขวดแก้วสีชาใส่ซองกันชื้น</t>
        </is>
      </c>
      <c r="F23" s="34" t="inlineStr">
        <is>
          <t>ขวดแก้วใส่ซองกันชื้น</t>
        </is>
      </c>
      <c r="G23" s="34" t="inlineStr">
        <is>
          <t>แผงด้านนึงเป็น aluminium foil อีกด้านใส เป็นPEมั้ง</t>
        </is>
      </c>
      <c r="H23" s="34" t="inlineStr">
        <is>
          <t>แผงทั้งสองด้านเป็น aluminium foil</t>
        </is>
      </c>
      <c r="I23" s="35" t="n">
        <v>1</v>
      </c>
      <c r="J23" s="34" t="inlineStr">
        <is>
          <t>✅ คำตอบที่ถูกต้อง: ข้อ ก. ขวดพลาสติกใส่ซองกันชื้น
💡 Background:
คำถามข้อสอบจริงใบประกอบวิชาชีพ PLE-CC 1 (Product) ปี 2566 ข้อ 16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3" s="35" t="n"/>
      <c r="L23" s="34" t="inlineStr">
        <is>
          <t>Preformulation &amp; Good Manufacturing Practice</t>
        </is>
      </c>
      <c r="M23" s="35" t="inlineStr">
        <is>
          <t>Product</t>
        </is>
      </c>
      <c r="N23" s="34" t="inlineStr">
        <is>
          <t>ข้อสอบจริง Product ปี 2566 ข้อ 16</t>
        </is>
      </c>
      <c r="O23" s="35" t="inlineStr">
        <is>
          <t>ข้อสอบจริง</t>
        </is>
      </c>
      <c r="P23" s="35" t="inlineStr">
        <is>
          <t>ปี 2566</t>
        </is>
      </c>
    </row>
    <row r="24" ht="409.6" customHeight="1" s="49">
      <c r="A24" s="35" t="n">
        <v>22</v>
      </c>
      <c r="B24" s="34" t="inlineStr">
        <is>
          <t>(ปี 2566, Day 2 ข้อ 49\) (เรื่อง: White Petrolatum เป็น Base ชนิดใด) ตำรับมี White petrolatum ถามว่าเป็น base ชนิดใด</t>
        </is>
      </c>
      <c r="C24" s="35" t="n"/>
      <c r="D24" s="34" t="inlineStr">
        <is>
          <t>Hydrophilic base</t>
        </is>
      </c>
      <c r="E24" s="34" t="inlineStr">
        <is>
          <t>Absorbtion base</t>
        </is>
      </c>
      <c r="F24" s="34" t="inlineStr">
        <is>
          <t>Oleaginous base</t>
        </is>
      </c>
      <c r="G24" s="34" t="n"/>
      <c r="H24" s="34" t="n"/>
      <c r="I24" s="35" t="n">
        <v>1</v>
      </c>
      <c r="J24" s="34" t="inlineStr">
        <is>
          <t>✅ คำตอบที่ถูกต้อง: ข้อ ก. Hydrophilic base
💡 Background:
คำถามข้อสอบจริงใบประกอบวิชาชีพ PLE-CC 1 (Product) ปี 2566 ข้อ 19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4" s="35" t="n"/>
      <c r="L24" s="34" t="inlineStr">
        <is>
          <t>Pharmaceutical Technology General</t>
        </is>
      </c>
      <c r="M24" s="35" t="inlineStr">
        <is>
          <t>Product</t>
        </is>
      </c>
      <c r="N24" s="34" t="inlineStr">
        <is>
          <t>ข้อสอบจริง Product ปี 2566 ข้อ 19</t>
        </is>
      </c>
      <c r="O24" s="35" t="inlineStr">
        <is>
          <t>ข้อสอบจริง</t>
        </is>
      </c>
      <c r="P24" s="35" t="inlineStr">
        <is>
          <t>ปี 2566</t>
        </is>
      </c>
    </row>
    <row r="25" ht="409.6" customHeight="1" s="49">
      <c r="A25" s="35" t="n">
        <v>23</v>
      </c>
      <c r="B25" s="34" t="inlineStr">
        <is>
          <t>(ปี 2566, Day 2 ข้อ 76\) (เรื่อง: PIC/S GMP - สถานที่ผลิต Penicillin) ถ้าสถานที่ผลิตยาหนึ่งมี Penicillin ต้องจัดการสถานที่อย่างไรตาม PIC/S GMP</t>
        </is>
      </c>
      <c r="C25" s="35" t="n"/>
      <c r="D25" s="34" t="inlineStr">
        <is>
          <t>ผลิตที่เดียวกะนได้</t>
        </is>
      </c>
      <c r="E25" s="34" t="inlineStr">
        <is>
          <t>แยกตึกแต่ใช้ utility ร่วมกันได้</t>
        </is>
      </c>
      <c r="F25" s="34" t="inlineStr">
        <is>
          <t>แยกตึกและแยก utility</t>
        </is>
      </c>
      <c r="G25" s="34" t="inlineStr">
        <is>
          <t>ตั้งสถานที่ให้ห่างกัน 10 โล</t>
        </is>
      </c>
      <c r="H25" s="34" t="n"/>
      <c r="I25" s="35" t="n">
        <v>1</v>
      </c>
      <c r="J25" s="34" t="inlineStr">
        <is>
          <t>✅ คำตอบที่ถูกต้อง: ข้อ ก. ผลิตที่เดียวกะนได้
💡 Background:
คำถามข้อสอบจริงใบประกอบวิชาชีพ PLE-CC 1 (Product) ปี 2566 ข้อ 26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5" s="35" t="n"/>
      <c r="L25" s="34" t="inlineStr">
        <is>
          <t>Preformulation &amp; Good Manufacturing Practice</t>
        </is>
      </c>
      <c r="M25" s="35" t="inlineStr">
        <is>
          <t>Product</t>
        </is>
      </c>
      <c r="N25" s="34" t="inlineStr">
        <is>
          <t>ข้อสอบจริง Product ปี 2566 ข้อ 26</t>
        </is>
      </c>
      <c r="O25" s="35" t="inlineStr">
        <is>
          <t>ข้อสอบจริง</t>
        </is>
      </c>
      <c r="P25" s="35" t="inlineStr">
        <is>
          <t>ปี 2566</t>
        </is>
      </c>
    </row>
    <row r="26" ht="409.6" customHeight="1" s="49">
      <c r="A26" s="35" t="n">
        <v>24</v>
      </c>
      <c r="B26" s="34" t="inlineStr">
        <is>
          <t>(ปี 2566, Day 2 ข้อ 77\) (เรื่อง: สารก่อฟิล์มในตำรับ) ให้สูตรตำรับมา ถามว่าข้อไหนเป็นสารก่อฟิล์ม</t>
        </is>
      </c>
      <c r="C26" s="35" t="n"/>
      <c r="D26" s="34" t="inlineStr">
        <is>
          <t>Hypromellose</t>
        </is>
      </c>
      <c r="E26" s="34" t="inlineStr">
        <is>
          <t>PEG</t>
        </is>
      </c>
      <c r="F26" s="34" t="n"/>
      <c r="G26" s="34" t="n"/>
      <c r="H26" s="34" t="n"/>
      <c r="I26" s="35" t="n">
        <v>1</v>
      </c>
      <c r="J26" s="34" t="inlineStr">
        <is>
          <t>✅ คำตอบที่ถูกต้อง: ข้อ ก. Hypromellose
💡 Background:
คำถามข้อสอบจริงใบประกอบวิชาชีพ PLE-CC 1 (Product) ปี 2566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6" s="35" t="n"/>
      <c r="L26" s="34" t="inlineStr">
        <is>
          <t>Pharmaceutical Technology General</t>
        </is>
      </c>
      <c r="M26" s="35" t="inlineStr">
        <is>
          <t>Product</t>
        </is>
      </c>
      <c r="N26" s="34" t="inlineStr">
        <is>
          <t>ข้อสอบจริง Product ปี 2566 ข้อ 27</t>
        </is>
      </c>
      <c r="O26" s="35" t="inlineStr">
        <is>
          <t>ข้อสอบจริง</t>
        </is>
      </c>
      <c r="P26" s="35" t="inlineStr">
        <is>
          <t>ปี 2566</t>
        </is>
      </c>
    </row>
    <row r="27" ht="409.6" customHeight="1" s="49">
      <c r="A27" s="35" t="n">
        <v>25</v>
      </c>
      <c r="B27" s="34" t="inlineStr">
        <is>
          <t>(ปี 2566, Day 2 ข้อ 82\) (เรื่อง: ยาอมแก้เจ็บคอ - ตัวช่วยลดเจ็บคอ) ตำรับยาอมแก้เจ็บคอมี Benzyl alcohol, Cresol, และยาชาลงท้ายด้วย "-caine" ตัวใดช่วยลดเจ็บคอโดยตรง</t>
        </is>
      </c>
      <c r="C27" s="35" t="n"/>
      <c r="D27" s="34" t="inlineStr">
        <is>
          <t>Benzyl alcohol</t>
        </is>
      </c>
      <c r="E27" s="34" t="inlineStr">
        <is>
          <t>-Cresol</t>
        </is>
      </c>
      <c r="F27" s="34" t="inlineStr">
        <is>
          <t>-caine</t>
        </is>
      </c>
      <c r="G27" s="34" t="n"/>
      <c r="H27" s="34" t="n"/>
      <c r="I27" s="35" t="n">
        <v>1</v>
      </c>
      <c r="J27" s="34" t="inlineStr">
        <is>
          <t>✅ คำตอบที่ถูกต้อง: ข้อ ก. Benzyl alcohol
💡 Background:
คำถามข้อสอบจริงใบประกอบวิชาชีพ PLE-CC 1 (Product) ปี 2566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7" s="35" t="n"/>
      <c r="L27" s="34" t="inlineStr">
        <is>
          <t>Pharmaceutical Technology General</t>
        </is>
      </c>
      <c r="M27" s="35" t="inlineStr">
        <is>
          <t>Product</t>
        </is>
      </c>
      <c r="N27" s="34" t="inlineStr">
        <is>
          <t>ข้อสอบจริง Product ปี 2566 ข้อ 32</t>
        </is>
      </c>
      <c r="O27" s="35" t="inlineStr">
        <is>
          <t>ข้อสอบจริง</t>
        </is>
      </c>
      <c r="P27" s="35" t="inlineStr">
        <is>
          <t>ปี 2566</t>
        </is>
      </c>
    </row>
    <row r="28" ht="409.6" customHeight="1" s="49">
      <c r="A28" s="35" t="n">
        <v>26</v>
      </c>
      <c r="B28" s="34" t="inlineStr">
        <is>
          <t>(ปี 2566, Day 2 ข้อ 96\) (เรื่อง: สภาวะทดสอบ Stability แบบเร่ง - ประเทศไทย) ในประเทศไทย ถ้าจะทดสอบ stability ของยาในสภาวะเร่ง ต้องทำที่ condition ใด</t>
        </is>
      </c>
      <c r="C28" s="35" t="n"/>
      <c r="D28" s="34" t="inlineStr">
        <is>
          <t>25 ± 2, 65%RH ± 5</t>
        </is>
      </c>
      <c r="E28" s="34" t="inlineStr">
        <is>
          <t>30 ± 2, 65%RH ± 5</t>
        </is>
      </c>
      <c r="F28" s="34" t="inlineStr">
        <is>
          <t>30 ± 2, 75%RH ± 5</t>
        </is>
      </c>
      <c r="G28" s="34" t="inlineStr">
        <is>
          <t>40 ± 2, 65%RH ± 5</t>
        </is>
      </c>
      <c r="H28" s="34" t="inlineStr">
        <is>
          <t>40 ± 2, 75%RH ± 5</t>
        </is>
      </c>
      <c r="I28" s="35" t="n">
        <v>4</v>
      </c>
      <c r="J28" s="34" t="inlineStr">
        <is>
          <t>✅ คำตอบที่ถูกต้อง: ข้อ ง. 40 ± 2, 65%RH ± 5
💡 Background:
คำถามข้อสอบจริงใบประกอบวิชาชีพ PLE-CC 1 (Product) ปี 2566 ข้อ 40
🎯 ทำไมข้อนี้ถึงถูก:
ข้อ ง.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28" s="35" t="n"/>
      <c r="L28" s="34" t="inlineStr">
        <is>
          <t>Preformulation &amp; Good Manufacturing Practice</t>
        </is>
      </c>
      <c r="M28" s="35" t="inlineStr">
        <is>
          <t>Product</t>
        </is>
      </c>
      <c r="N28" s="34" t="inlineStr">
        <is>
          <t>ข้อสอบจริง Product ปี 2566 ข้อ 40</t>
        </is>
      </c>
      <c r="O28" s="35" t="inlineStr">
        <is>
          <t>ข้อสอบจริง</t>
        </is>
      </c>
      <c r="P28" s="35" t="inlineStr">
        <is>
          <t>ปี 2566</t>
        </is>
      </c>
    </row>
    <row r="29" ht="409.6" customHeight="1" s="49">
      <c r="A29" s="35" t="n">
        <v>27</v>
      </c>
      <c r="B29" s="34" t="inlineStr">
        <is>
          <t>(ปี 2566, Day 2 ข้อ 99\) (เรื่อง: เครื่องผสมสำหรับยาไวแสง/ความชื้น/ความร้อน) ยาไวต่อแสง ความชื้น ความร้อนมากๆ ผสมด้วยเครื่องใดดี</t>
        </is>
      </c>
      <c r="C29" s="35" t="n"/>
      <c r="D29" s="34" t="inlineStr">
        <is>
          <t>High-shear mixer</t>
        </is>
      </c>
      <c r="E29" s="34" t="inlineStr">
        <is>
          <t>Planetary mixer</t>
        </is>
      </c>
      <c r="F29" s="34" t="inlineStr">
        <is>
          <t>Cubic mixer</t>
        </is>
      </c>
      <c r="G29" s="34" t="n"/>
      <c r="H29" s="34" t="n"/>
      <c r="I29" s="35" t="n">
        <v>3</v>
      </c>
      <c r="J29" s="34" t="inlineStr">
        <is>
          <t>✅ คำตอบที่ถูกต้อง: ข้อ ค. Cubic mixer เหตุผล: Cubic (bin/cube) mixer เป็นระบบปิดที่สามารถต่อตรงกับถังบรรจุ ลดการสัมผัสสิ่งแวดล้อมภายนอก (แสง/ความชื้น/ความร้อนจากแรงเฉือน) มากกว่า High-shear หรือ Planetary mixer ซึ่งเป็นระบบเปิดและเกิดความร้อนจากการผสมมากกว่า
💡 Background:
คำถามข้อสอบจริงใบประกอบวิชาชีพ PLE-CC 1 (Product) ปี 2566 ข้อ 43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29" s="35" t="n"/>
      <c r="L29" s="34" t="inlineStr">
        <is>
          <t>Pharmaceutical Technology General</t>
        </is>
      </c>
      <c r="M29" s="35" t="inlineStr">
        <is>
          <t>Product</t>
        </is>
      </c>
      <c r="N29" s="34" t="inlineStr">
        <is>
          <t>ข้อสอบจริง Product ปี 2566 ข้อ 43</t>
        </is>
      </c>
      <c r="O29" s="35" t="inlineStr">
        <is>
          <t>ข้อสอบจริง</t>
        </is>
      </c>
      <c r="P29" s="35" t="inlineStr">
        <is>
          <t>ปี 2566</t>
        </is>
      </c>
    </row>
    <row r="30" ht="409.6" customHeight="1" s="49">
      <c r="A30" s="35" t="n">
        <v>28</v>
      </c>
      <c r="B30" s="34" t="inlineStr">
        <is>
          <t>(ปี 2566, Day 2 ข้อ 100\) (เรื่อง: ความหมายของเลข PEG 400\) PEG 400 เลข 400 หมายถึงอะไร</t>
        </is>
      </c>
      <c r="C30" s="35" t="n"/>
      <c r="D30" s="34" t="inlineStr">
        <is>
          <t>MW</t>
        </is>
      </c>
      <c r="E30" s="34" t="inlineStr">
        <is>
          <t>จำนวน monomer</t>
        </is>
      </c>
      <c r="F30" s="34" t="n"/>
      <c r="G30" s="34" t="n"/>
      <c r="H30" s="34" t="n"/>
      <c r="I30" s="35" t="n">
        <v>1</v>
      </c>
      <c r="J30" s="34" t="inlineStr">
        <is>
          <t>✅ คำตอบที่ถูกต้อง: ข้อ ก. MW
💡 Background:
คำถามข้อสอบจริงใบประกอบวิชาชีพ PLE-CC 1 (Product) ปี 2566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0" s="35" t="n"/>
      <c r="L30" s="34" t="inlineStr">
        <is>
          <t>Pharmaceutical Technology General</t>
        </is>
      </c>
      <c r="M30" s="35" t="inlineStr">
        <is>
          <t>Product</t>
        </is>
      </c>
      <c r="N30" s="34" t="inlineStr">
        <is>
          <t>ข้อสอบจริง Product ปี 2566 ข้อ 44</t>
        </is>
      </c>
      <c r="O30" s="35" t="inlineStr">
        <is>
          <t>ข้อสอบจริง</t>
        </is>
      </c>
      <c r="P30" s="35" t="inlineStr">
        <is>
          <t>ปี 2566</t>
        </is>
      </c>
    </row>
    <row r="31" ht="409.6" customHeight="1" s="49">
      <c r="A31" s="35" t="n">
        <v>29</v>
      </c>
      <c r="B31" s="34" t="inlineStr">
        <is>
          <t>ถ้าจะทำตำรับยาน้ำ methimazole ข้อใดเป็น wetting agent ที่เหมาะสมที่สุด</t>
        </is>
      </c>
      <c r="C31" s="35" t="n"/>
      <c r="D31" s="34" t="inlineStr">
        <is>
          <t>Purified water</t>
        </is>
      </c>
      <c r="E31" s="34" t="inlineStr">
        <is>
          <t>Glycerin</t>
        </is>
      </c>
      <c r="F31" s="34" t="inlineStr">
        <is>
          <t>Mineral oil</t>
        </is>
      </c>
      <c r="G31" s="34" t="inlineStr">
        <is>
          <t>Benzyl alcohol</t>
        </is>
      </c>
      <c r="H31" s="34" t="inlineStr">
        <is>
          <t>Alcohol</t>
        </is>
      </c>
      <c r="I31" s="35" t="n">
        <v>1</v>
      </c>
      <c r="J31" s="34" t="inlineStr">
        <is>
          <t>✅ คำตอบที่ถูกต้อง: ข้อ ก. Purified water
💡 Background:
คำถามข้อสอบจริงใบประกอบวิชาชีพ PLE-CC 1 (Product) ปี 2565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1" s="35" t="n"/>
      <c r="L31" s="34" t="inlineStr">
        <is>
          <t>Pharmaceutical Technology General</t>
        </is>
      </c>
      <c r="M31" s="35" t="inlineStr">
        <is>
          <t>Product</t>
        </is>
      </c>
      <c r="N31" s="34" t="inlineStr">
        <is>
          <t>ข้อสอบจริง Product ปี 2565 ข้อ 26</t>
        </is>
      </c>
      <c r="O31" s="35" t="inlineStr">
        <is>
          <t>ข้อสอบจริง</t>
        </is>
      </c>
      <c r="P31" s="35" t="inlineStr">
        <is>
          <t>ปี 2565</t>
        </is>
      </c>
    </row>
    <row r="32" ht="409.6" customHeight="1" s="49">
      <c r="A32" s="35" t="n">
        <v>30</v>
      </c>
      <c r="B32" s="34" t="inlineStr">
        <is>
          <t>ขั้นตอนสุดท้ายของการรองรับรุ่นการผลิตของวัคซีนคืออะไร</t>
        </is>
      </c>
      <c r="C32" s="35" t="n"/>
      <c r="D32" s="34" t="inlineStr">
        <is>
          <t>ไม่ต้องมี ถ้าได้ขึ้นทะเบียนยา</t>
        </is>
      </c>
      <c r="E32" s="34" t="inlineStr">
        <is>
          <t>ต้องผ่านการตรวจสอบ QC ของบริษัทยา</t>
        </is>
      </c>
      <c r="F32" s="34" t="inlineStr">
        <is>
          <t>ต้องผ่านการตรวจสอบกรมควบคุมโรค</t>
        </is>
      </c>
      <c r="G32" s="34" t="inlineStr">
        <is>
          <t>ต้องผ่านการตรวจสอบอ.ย.</t>
        </is>
      </c>
      <c r="H32" s="34" t="inlineStr">
        <is>
          <t>ต้องผ่านการตรวจสอบชีววัตถุ ของกรมวิทยาศาสตร์การแพทย์</t>
        </is>
      </c>
      <c r="I32" s="35" t="n">
        <v>1</v>
      </c>
      <c r="J32" s="34" t="inlineStr">
        <is>
          <t>✅ คำตอบที่ถูกต้อง: ข้อ ก. ไม่ต้องมี ถ้าได้ขึ้นทะเบียนยา
💡 Background:
คำถามข้อสอบจริงใบประกอบวิชาชีพ PLE-CC 1 (Product) ปี 2565 ข้อ 56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2" s="35" t="n"/>
      <c r="L32" s="34" t="inlineStr">
        <is>
          <t>Pharmaceutical Technology General</t>
        </is>
      </c>
      <c r="M32" s="35" t="inlineStr">
        <is>
          <t>Product</t>
        </is>
      </c>
      <c r="N32" s="34" t="inlineStr">
        <is>
          <t>ข้อสอบจริง Product ปี 2565 ข้อ 56</t>
        </is>
      </c>
      <c r="O32" s="35" t="inlineStr">
        <is>
          <t>ข้อสอบจริง</t>
        </is>
      </c>
      <c r="P32" s="35" t="inlineStr">
        <is>
          <t>ปี 2565</t>
        </is>
      </c>
    </row>
    <row r="33" ht="409.6" customHeight="1" s="49">
      <c r="A33" s="35" t="n">
        <v>31</v>
      </c>
      <c r="B33" s="34" t="inlineStr">
        <is>
          <t>สารช่วยในข้อใดช่วยให้ผงยา tiotropium bromide เปียกง่ายเมื่อผงยาสัมผัสกับของเหลวในทางเดินหายใจ</t>
        </is>
      </c>
      <c r="C33" s="35" t="n"/>
      <c r="D33" s="34" t="inlineStr">
        <is>
          <t>Lecithin</t>
        </is>
      </c>
      <c r="E33" s="34" t="inlineStr">
        <is>
          <t>citric acid</t>
        </is>
      </c>
      <c r="F33" s="34" t="inlineStr">
        <is>
          <t>Alginic acid</t>
        </is>
      </c>
      <c r="G33" s="34" t="inlineStr">
        <is>
          <t>Calcium stearate</t>
        </is>
      </c>
      <c r="H33" s="34" t="inlineStr">
        <is>
          <t>titanium oxide</t>
        </is>
      </c>
      <c r="I33" s="35" t="n">
        <v>1</v>
      </c>
      <c r="J33" s="34" t="inlineStr">
        <is>
          <t>✅ คำตอบที่ถูกต้อง: ข้อ ก. Lecithin
💡 Background:
คำถามข้อสอบจริงใบประกอบวิชาชีพ PLE-CC 1 (Product) ปี 2565 ข้อ 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3" s="35" t="n"/>
      <c r="L33" s="34" t="inlineStr">
        <is>
          <t>Pharmaceutical Technology General</t>
        </is>
      </c>
      <c r="M33" s="35" t="inlineStr">
        <is>
          <t>Product</t>
        </is>
      </c>
      <c r="N33" s="34" t="inlineStr">
        <is>
          <t>ข้อสอบจริง Product ปี 2565 ข้อ 63</t>
        </is>
      </c>
      <c r="O33" s="35" t="inlineStr">
        <is>
          <t>ข้อสอบจริง</t>
        </is>
      </c>
      <c r="P33" s="35" t="inlineStr">
        <is>
          <t>ปี 2565</t>
        </is>
      </c>
    </row>
    <row r="34" ht="409.6" customHeight="1" s="49">
      <c r="A34" s="35" t="n">
        <v>32</v>
      </c>
      <c r="B34" s="34" t="inlineStr">
        <is>
          <t>โรงงานผลิตเม็ดยาตั้งค่าความแข็งเม็ดยาไว้ที่ 8-9 โจทย์ให้ตารางผลทดสอบมา 6 เม็ด มี 3 เม็ดที่ค่าต่ำกว่า 8 ทั้งนี้น้ำหนักผงยามีความสม่ำเสมอ สาเหตุที่ทำให้เกิดเหตุการณ์นี้</t>
        </is>
      </c>
      <c r="C34" s="35" t="n"/>
      <c r="D34" s="34" t="inlineStr">
        <is>
          <t>ความแรงในการตอกน้อยเกินไป</t>
        </is>
      </c>
      <c r="E34" s="34" t="inlineStr">
        <is>
          <t>ความแรงในการตอกมากเกินไป</t>
        </is>
      </c>
      <c r="F34" s="34" t="inlineStr">
        <is>
          <t>สารยึดเกาะไม่สม่ำเสมอ</t>
        </is>
      </c>
      <c r="G34" s="34" t="inlineStr">
        <is>
          <t>สารช่วยไหลน้อยเกินไป</t>
        </is>
      </c>
      <c r="H34" s="34" t="inlineStr">
        <is>
          <t>ความเร็วในการตอกน้อยเกินไป</t>
        </is>
      </c>
      <c r="I34" s="35" t="n">
        <v>1</v>
      </c>
      <c r="J34" s="34" t="inlineStr">
        <is>
          <t>✅ คำตอบที่ถูกต้อง: ข้อ ก. ความแรงในการตอกน้อยเกินไป
💡 Background:
คำถามข้อสอบจริงใบประกอบวิชาชีพ PLE-CC 1 (Product) ปี 2565 ข้อ 85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4" s="35" t="n"/>
      <c r="L34" s="34" t="inlineStr">
        <is>
          <t>Pharmaceutical Technology General</t>
        </is>
      </c>
      <c r="M34" s="35" t="inlineStr">
        <is>
          <t>Product</t>
        </is>
      </c>
      <c r="N34" s="34" t="inlineStr">
        <is>
          <t>ข้อสอบจริง Product ปี 2565 ข้อ 85</t>
        </is>
      </c>
      <c r="O34" s="35" t="inlineStr">
        <is>
          <t>ข้อสอบจริง</t>
        </is>
      </c>
      <c r="P34" s="35" t="inlineStr">
        <is>
          <t>ปี 2565</t>
        </is>
      </c>
    </row>
    <row r="35" ht="409.6" customHeight="1" s="49">
      <c r="A35" s="35" t="n">
        <v>33</v>
      </c>
      <c r="B35" s="34" t="inlineStr">
        <is>
          <t>ต้องการเตรียม D1OW 500 ml จาก DSW กับ D50W จะเตรียมอย่างไร</t>
        </is>
      </c>
      <c r="C35" s="35" t="n"/>
      <c r="D35" s="34" t="inlineStr">
        <is>
          <t>D5W 445 ml+ D50W 55ml</t>
        </is>
      </c>
      <c r="E35" s="34" t="inlineStr">
        <is>
          <t>D5W 495 ml+ D50W 5 ml</t>
        </is>
      </c>
      <c r="F35" s="34" t="inlineStr">
        <is>
          <t>[NEED_REVIEW]</t>
        </is>
      </c>
      <c r="G35" s="34" t="inlineStr">
        <is>
          <t>[NEED_REVIEW]</t>
        </is>
      </c>
      <c r="H35" s="34" t="inlineStr">
        <is>
          <t>[NEED_REVIEW]</t>
        </is>
      </c>
      <c r="I35" s="35" t="n">
        <v>1</v>
      </c>
      <c r="J35" s="34" t="inlineStr">
        <is>
          <t>✅ คำตอบที่ถูกต้อง: ข้อ ก. D5W 445 ml+ D50W 55ml
💡 Background:
คำถามข้อสอบจริงใบประกอบวิชาชีพ PLE-CC 1 (Product) ปี 2565 ข้อ 90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5" s="35" t="n"/>
      <c r="L35" s="34" t="inlineStr">
        <is>
          <t>Pharmaceutical Technology General</t>
        </is>
      </c>
      <c r="M35" s="35" t="inlineStr">
        <is>
          <t>Product</t>
        </is>
      </c>
      <c r="N35" s="34" t="inlineStr">
        <is>
          <t>ข้อสอบจริง Product ปี 2565 ข้อ 90</t>
        </is>
      </c>
      <c r="O35" s="35" t="inlineStr">
        <is>
          <t>ข้อสอบจริง</t>
        </is>
      </c>
      <c r="P35" s="35" t="inlineStr">
        <is>
          <t>ปี 2565</t>
        </is>
      </c>
    </row>
    <row r="36" ht="409.6" customHeight="1" s="49">
      <c r="A36" s="35" t="n">
        <v>34</v>
      </c>
      <c r="B36" s="34" t="inlineStr">
        <is>
          <t>หัวข้อการทดสอบที่มีทดสอบเฉพาะการควบคุมคุณภาพแผ่นแปะ cutaneous patch ตาม USP คืออะไร Assay</t>
        </is>
      </c>
      <c r="C36" s="35" t="n"/>
      <c r="D36" s="34" t="n"/>
      <c r="E36" s="34" t="inlineStr">
        <is>
          <t>Identification</t>
        </is>
      </c>
      <c r="F36" s="34" t="inlineStr">
        <is>
          <t>Description</t>
        </is>
      </c>
      <c r="G36" s="34" t="n"/>
      <c r="H36" s="34" t="n"/>
      <c r="I36" s="35" t="n">
        <v>1</v>
      </c>
      <c r="J36" s="34" t="inlineStr">
        <is>
          <t>✅ คำตอบที่ถูกต้อง: ข้อ ก. 
💡 Background:
คำถามข้อสอบจริงใบประกอบวิชาชีพ PLE-CC 1 (Product) ปี 2565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6" s="35" t="n"/>
      <c r="L36" s="34" t="inlineStr">
        <is>
          <t>Pharmaceutical Technology General</t>
        </is>
      </c>
      <c r="M36" s="35" t="inlineStr">
        <is>
          <t>Product</t>
        </is>
      </c>
      <c r="N36" s="34" t="inlineStr">
        <is>
          <t>ข้อสอบจริง Product ปี 2565 ข้อ 9</t>
        </is>
      </c>
      <c r="O36" s="35" t="inlineStr">
        <is>
          <t>ข้อสอบจริง</t>
        </is>
      </c>
      <c r="P36" s="35" t="inlineStr">
        <is>
          <t>ปี 2565</t>
        </is>
      </c>
    </row>
    <row r="37" ht="409.6" customHeight="1" s="49">
      <c r="A37" s="35" t="n">
        <v>35</v>
      </c>
      <c r="B37" s="34" t="inlineStr">
        <is>
          <t>อะไรใน sterile IV mixture set ที่เกิดปัญหามากที่สุดกับ nitroglycerin n. Polyethylene</t>
        </is>
      </c>
      <c r="C37" s="35" t="n"/>
      <c r="D37" s="34" t="n"/>
      <c r="E37" s="34" t="inlineStr">
        <is>
          <t>Polypropylene</t>
        </is>
      </c>
      <c r="F37" s="34" t="inlineStr">
        <is>
          <t>Teflon</t>
        </is>
      </c>
      <c r="G37" s="34" t="inlineStr">
        <is>
          <t>PVC</t>
        </is>
      </c>
      <c r="H37" s="34" t="inlineStr">
        <is>
          <t>Polystyrene</t>
        </is>
      </c>
      <c r="I37" s="35" t="n">
        <v>1</v>
      </c>
      <c r="J37" s="34" t="inlineStr">
        <is>
          <t>✅ คำตอบที่ถูกต้อง: ข้อ ก. 
💡 Background:
คำถามข้อสอบจริงใบประกอบวิชาชีพ PLE-CC 1 (Product) ปี 2565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7" s="35" t="n"/>
      <c r="L37" s="34" t="inlineStr">
        <is>
          <t>Pharmaceutical Technology General</t>
        </is>
      </c>
      <c r="M37" s="35" t="inlineStr">
        <is>
          <t>Product</t>
        </is>
      </c>
      <c r="N37" s="34" t="inlineStr">
        <is>
          <t>ข้อสอบจริง Product ปี 2565 ข้อ 27</t>
        </is>
      </c>
      <c r="O37" s="35" t="inlineStr">
        <is>
          <t>ข้อสอบจริง</t>
        </is>
      </c>
      <c r="P37" s="35" t="inlineStr">
        <is>
          <t>ปี 2565</t>
        </is>
      </c>
    </row>
    <row r="38" ht="409.6" customHeight="1" s="49">
      <c r="A38" s="35" t="n">
        <v>36</v>
      </c>
      <c r="B38" s="34" t="inlineStr">
        <is>
          <t>ยากลุ่ม PP's ออกฤทธิ์โดยไปจับกับ target ด้วยพันธะใด</t>
        </is>
      </c>
      <c r="C38" s="35" t="n"/>
      <c r="D38" s="34" t="inlineStr">
        <is>
          <t>lonic</t>
        </is>
      </c>
      <c r="E38" s="34" t="inlineStr">
        <is>
          <t>Disulfide bond</t>
        </is>
      </c>
      <c r="F38" s="34" t="inlineStr">
        <is>
          <t>H bond</t>
        </is>
      </c>
      <c r="G38" s="34" t="inlineStr">
        <is>
          <t>[NEED_REVIEW]</t>
        </is>
      </c>
      <c r="H38" s="34" t="inlineStr">
        <is>
          <t>[NEED_REVIEW]</t>
        </is>
      </c>
      <c r="I38" s="35" t="n">
        <v>1</v>
      </c>
      <c r="J38" s="34" t="inlineStr">
        <is>
          <t>✅ คำตอบที่ถูกต้อง: ข้อ ก. lonic
💡 Background:
คำถามข้อสอบจริงใบประกอบวิชาชีพ PLE-CC 1 (Product) ปี 2565 ข้อ 30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8" s="35" t="n"/>
      <c r="L38" s="34" t="inlineStr">
        <is>
          <t>Pharmaceutical Technology General</t>
        </is>
      </c>
      <c r="M38" s="35" t="inlineStr">
        <is>
          <t>Product</t>
        </is>
      </c>
      <c r="N38" s="34" t="inlineStr">
        <is>
          <t>ข้อสอบจริง Product ปี 2565 ข้อ 30</t>
        </is>
      </c>
      <c r="O38" s="35" t="inlineStr">
        <is>
          <t>ข้อสอบจริง</t>
        </is>
      </c>
      <c r="P38" s="35" t="inlineStr">
        <is>
          <t>ปี 2565</t>
        </is>
      </c>
    </row>
    <row r="39" ht="409.6" customHeight="1" s="49">
      <c r="A39" s="35" t="n">
        <v>37</v>
      </c>
      <c r="B39" s="34" t="inlineStr">
        <is>
          <t>ถ้าจะทดสอบวงนี้ต้องใช้วิธีใดในการทดสอบ [แนบรูป: ข้อสอบ Product ปี 2565 รหัสรูปภาพ image21]</t>
        </is>
      </c>
      <c r="C39" s="35" t="inlineStr">
        <is>
          <t>[แนบรูป: ข้อสอบ Product ปี 2565 รหัสรูปภาพ image21]</t>
        </is>
      </c>
      <c r="D39" s="34" t="inlineStr">
        <is>
          <t>Liebermann-burchard</t>
        </is>
      </c>
      <c r="E39" s="34" t="inlineStr">
        <is>
          <t>Dragendorff</t>
        </is>
      </c>
      <c r="F39" s="34" t="inlineStr">
        <is>
          <t>Foam test</t>
        </is>
      </c>
      <c r="G39" s="34" t="inlineStr">
        <is>
          <t>[NEED_REVIEW]</t>
        </is>
      </c>
      <c r="H39" s="34" t="inlineStr">
        <is>
          <t>[NEED_REVIEW]</t>
        </is>
      </c>
      <c r="I39" s="35" t="n">
        <v>1</v>
      </c>
      <c r="J39" s="34" t="inlineStr">
        <is>
          <t>✅ คำตอบที่ถูกต้อง: ข้อ ก. Liebermann-burchard
💡 Background:
คำถามข้อสอบจริงใบประกอบวิชาชีพ PLE-CC 1 (Product) ปี 2565 ข้อ 71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39" s="35" t="n"/>
      <c r="L39" s="34" t="inlineStr">
        <is>
          <t>Pharmaceutical Technology General</t>
        </is>
      </c>
      <c r="M39" s="35" t="inlineStr">
        <is>
          <t>Product</t>
        </is>
      </c>
      <c r="N39" s="34" t="inlineStr">
        <is>
          <t>ข้อสอบจริง Product ปี 2565 ข้อ 71</t>
        </is>
      </c>
      <c r="O39" s="35" t="inlineStr">
        <is>
          <t>ข้อสอบจริง</t>
        </is>
      </c>
      <c r="P39" s="35" t="inlineStr">
        <is>
          <t>ปี 2565</t>
        </is>
      </c>
    </row>
    <row r="40" ht="409.6" customHeight="1" s="49">
      <c r="A40" s="35" t="n">
        <v>38</v>
      </c>
      <c r="B40" s="34" t="inlineStr">
        <is>
          <t>จากกราฟ ข้อใดถูก [แนบรูป: ข้อสอบ Product ปี 2565 รหัสรูปภาพ image24]</t>
        </is>
      </c>
      <c r="C40" s="35" t="inlineStr">
        <is>
          <t>[แนบรูป: ข้อสอบ Product ปี 2565 รหัสรูปภาพ image24]</t>
        </is>
      </c>
      <c r="D40" s="34" t="inlineStr">
        <is>
          <t>เป็นกราฟของ solubility</t>
        </is>
      </c>
      <c r="E40" s="34" t="inlineStr">
        <is>
          <t>การสลายตัวแบบ zero order</t>
        </is>
      </c>
      <c r="F40" s="34" t="inlineStr">
        <is>
          <t>ที่ pH 4 มีการสลายตัวมากสุด</t>
        </is>
      </c>
      <c r="G40" s="34" t="inlineStr">
        <is>
          <t>การสลายตัวเมื่อ pH มากกว่า 4 อาศัย base catalyst</t>
        </is>
      </c>
      <c r="H40" s="34" t="inlineStr">
        <is>
          <t>[NEED_REVIEW]</t>
        </is>
      </c>
      <c r="I40" s="35" t="n">
        <v>1</v>
      </c>
      <c r="J40" s="34" t="inlineStr">
        <is>
          <t>✅ คำตอบที่ถูกต้อง: ข้อ ก. เป็นกราฟของ solubility
💡 Background:
คำถามข้อสอบจริงใบประกอบวิชาชีพ PLE-CC 1 (Product) ปี 2565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0" s="35" t="n"/>
      <c r="L40" s="34" t="inlineStr">
        <is>
          <t>Pharmaceutical Technology General</t>
        </is>
      </c>
      <c r="M40" s="35" t="inlineStr">
        <is>
          <t>Product</t>
        </is>
      </c>
      <c r="N40" s="34" t="inlineStr">
        <is>
          <t>ข้อสอบจริง Product ปี 2565 ข้อ 74</t>
        </is>
      </c>
      <c r="O40" s="35" t="inlineStr">
        <is>
          <t>ข้อสอบจริง</t>
        </is>
      </c>
      <c r="P40" s="35" t="inlineStr">
        <is>
          <t>ปี 2565</t>
        </is>
      </c>
    </row>
    <row r="41" ht="409.6" customHeight="1" s="49">
      <c r="A41" s="35" t="n">
        <v>39</v>
      </c>
      <c r="B41" s="34" t="inlineStr">
        <is>
          <t>ให้สูตรตำรับ Aluminum hydroxide paste eq. to Aluminum hydroxide 4 g, glycerol,sorbitol, methyl hydroxybenzoate, propyl hydroxybenzoate purified water as. to 100 ml ข้อใดกล่าวถูกต้อง</t>
        </is>
      </c>
      <c r="C41" s="35" t="n"/>
      <c r="D41" s="34" t="inlineStr">
        <is>
          <t>ใช้ sorbitol กับ glycerol แทน เพราะมีความหวานมากกว่า</t>
        </is>
      </c>
      <c r="E41" s="34" t="inlineStr">
        <is>
          <t>ตำรับนี้ไม่มี flavoring agent</t>
        </is>
      </c>
      <c r="F41" s="34" t="inlineStr">
        <is>
          <t>Methyl cellulose เป็นสารให้ความหนืดที่ไม่มีประจุ</t>
        </is>
      </c>
      <c r="G41" s="34" t="inlineStr">
        <is>
          <t>methyl paraben และ propyl paraben เป็น antioxidants ป้องกันการเสื่อมสลาย</t>
        </is>
      </c>
      <c r="H41" s="34" t="inlineStr">
        <is>
          <t>[NEED_REVIEW]</t>
        </is>
      </c>
      <c r="I41" s="35" t="n">
        <v>1</v>
      </c>
      <c r="J41" s="34" t="inlineStr">
        <is>
          <t>✅ คำตอบที่ถูกต้อง: ข้อ ก. ใช้ sorbitol กับ glycerol แทน เพราะมีความหวานมากกว่า
💡 Background:
คำถามข้อสอบจริงใบประกอบวิชาชีพ PLE-CC 1 (Product) ปี 2565 ข้อ 79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1" s="35" t="n"/>
      <c r="L41" s="34" t="inlineStr">
        <is>
          <t>Pharmaceutical Technology General</t>
        </is>
      </c>
      <c r="M41" s="35" t="inlineStr">
        <is>
          <t>Product</t>
        </is>
      </c>
      <c r="N41" s="34" t="inlineStr">
        <is>
          <t>ข้อสอบจริง Product ปี 2565 ข้อ 79</t>
        </is>
      </c>
      <c r="O41" s="35" t="inlineStr">
        <is>
          <t>ข้อสอบจริง</t>
        </is>
      </c>
      <c r="P41" s="35" t="inlineStr">
        <is>
          <t>ปี 2565</t>
        </is>
      </c>
    </row>
    <row r="42" ht="409.6" customHeight="1" s="49">
      <c r="A42" s="35" t="n">
        <v>40</v>
      </c>
      <c r="B42" s="34" t="inlineStr">
        <is>
          <t>ตอบ ง. Cetearyl palmitate คำอธิบาย : เป็น Stiffening agent เมื่อลองพิจารณาข้ออื่น</t>
        </is>
      </c>
      <c r="C42" s="35" t="n"/>
      <c r="D42" s="34" t="inlineStr">
        <is>
          <t>glycerin = Humectant</t>
        </is>
      </c>
      <c r="E42" s="34" t="inlineStr">
        <is>
          <t>Propylene glycol = Co-solvent, humectant</t>
        </is>
      </c>
      <c r="F42" s="34" t="inlineStr">
        <is>
          <t>SLS = Surfactant</t>
        </is>
      </c>
      <c r="G42" s="34" t="inlineStr">
        <is>
          <t>Mineral oil = Emollient</t>
        </is>
      </c>
      <c r="H42" s="34" t="n"/>
      <c r="I42" s="35" t="n">
        <v>4</v>
      </c>
      <c r="J42" s="34" t="inlineStr">
        <is>
          <t>✅ คำตอบที่ถูกต้อง: ข้อ ง. Mineral oil = Emollient
💡 Background:
คำถามข้อสอบจริงใบประกอบวิชาชีพ PLE-CC 1 (Product) ปี 2565 ข้อ 39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2" s="35" t="n"/>
      <c r="L42" s="34" t="inlineStr">
        <is>
          <t>Pharmaceutical Technology General</t>
        </is>
      </c>
      <c r="M42" s="35" t="inlineStr">
        <is>
          <t>Product</t>
        </is>
      </c>
      <c r="N42" s="34" t="inlineStr">
        <is>
          <t>ข้อสอบจริง Product ปี 2565 ข้อ 39</t>
        </is>
      </c>
      <c r="O42" s="35" t="inlineStr">
        <is>
          <t>ข้อสอบจริง</t>
        </is>
      </c>
      <c r="P42" s="35" t="inlineStr">
        <is>
          <t>ปี 2565</t>
        </is>
      </c>
    </row>
    <row r="43" ht="409.6" customHeight="1" s="49">
      <c r="A43" s="35" t="n">
        <v>41</v>
      </c>
      <c r="B43" s="34" t="inlineStr">
        <is>
          <t>หากผู้ป่วยได้รับยา aminophylline IV วัดระดับยาในเลือดได้ 68 mcg/ml ถ้า aminophylline มี half life 7 ชั่วโมง จะมีระดับยาเท่าไรเมื่อเวลาผ่านไป 28 ชั่วโมง</t>
        </is>
      </c>
      <c r="C43" s="35" t="inlineStr">
        <is>
          <t>[แนบรูป: ข้อสอบ Product ปี 2564 รหัสรูปภาพ image68]</t>
        </is>
      </c>
      <c r="D43" s="34" t="inlineStr">
        <is>
          <t>2.125</t>
        </is>
      </c>
      <c r="E43" s="34" t="inlineStr">
        <is>
          <t>4.25</t>
        </is>
      </c>
      <c r="F43" s="34" t="inlineStr">
        <is>
          <t>8.5</t>
        </is>
      </c>
      <c r="G43" s="34" t="inlineStr">
        <is>
          <t>17</t>
        </is>
      </c>
      <c r="H43" s="34" t="inlineStr">
        <is>
          <t>34</t>
        </is>
      </c>
      <c r="I43" s="35" t="n">
        <v>1</v>
      </c>
      <c r="J43" s="34" t="inlineStr">
        <is>
          <t>✅ คำตอบที่ถูกต้อง: ข้อ ก. 2.125
💡 Background:
คำถามข้อสอบจริงใบประกอบวิชาชีพ PLE-CC 1 (Product) ปี 2564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3" s="35" t="n"/>
      <c r="L43" s="34" t="inlineStr">
        <is>
          <t>Pharmaceutical Technology General</t>
        </is>
      </c>
      <c r="M43" s="35" t="inlineStr">
        <is>
          <t>Product</t>
        </is>
      </c>
      <c r="N43" s="34" t="inlineStr">
        <is>
          <t>ข้อสอบจริง Product ปี 2564 ข้อ 1</t>
        </is>
      </c>
      <c r="O43" s="35" t="inlineStr">
        <is>
          <t>ข้อสอบจริง</t>
        </is>
      </c>
      <c r="P43" s="35" t="inlineStr">
        <is>
          <t>ปี 2564</t>
        </is>
      </c>
    </row>
    <row r="44" ht="409.6" customHeight="1" s="49">
      <c r="A44" s="35" t="n">
        <v>42</v>
      </c>
      <c r="B44" s="34" t="inlineStr">
        <is>
          <t>เครื่องมือใดใช้ในการวัดขนาดอนุภาคของยาผง Dry powder for inhalation</t>
        </is>
      </c>
      <c r="C44" s="35" t="n"/>
      <c r="D44" s="34" t="inlineStr">
        <is>
          <t>Zn determination   ใช้วิเคราะห์ปริมาณธาตุสังกะสี ไม่เกี่ยวกับการวัดขนาดอนุภาค</t>
        </is>
      </c>
      <c r="E44" s="34" t="inlineStr">
        <is>
          <t>Cascade impactor</t>
        </is>
      </c>
      <c r="F44" s="34" t="inlineStr">
        <is>
          <t>Light microscopy  วัดขนาดหรือรูปร่างอนุภาคได้ แต่ไม่วัด aerodynamic particle size ซึ่งเป็นค่าที่สำคัญสำหรับยาสูดพ่น</t>
        </is>
      </c>
      <c r="G44" s="34" t="inlineStr">
        <is>
          <t>Scanning electron microscope (SEM)  ใช้ดูรูปร่างและพื้นผิวของอนุภาคที่กำลังขยายสูง แต่ไม่ใช้วัดการกระจายขนาดเชิงอากาศพลศาสตร์</t>
        </is>
      </c>
      <c r="H44" s="34" t="inlineStr">
        <is>
          <t>Meter valve  เป็นชิ้นส่วนของ Metered Dose Inhaler (MDI)</t>
        </is>
      </c>
      <c r="I44" s="35" t="n">
        <v>1</v>
      </c>
      <c r="J44" s="34" t="inlineStr">
        <is>
          <t>✅ คำตอบที่ถูกต้อง: ข้อ ก. Zn determination   ใช้วิเคราะห์ปริมาณธาตุสังกะสี ไม่เกี่ยวกับการวัดขนาดอนุภาค
💡 Background:
คำถามข้อสอบจริงใบประกอบวิชาชีพ PLE-CC 1 (Product) ปี 2564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4" s="35" t="n"/>
      <c r="L44" s="34" t="inlineStr">
        <is>
          <t>Pharmaceutical Technology General</t>
        </is>
      </c>
      <c r="M44" s="35" t="inlineStr">
        <is>
          <t>Product</t>
        </is>
      </c>
      <c r="N44" s="34" t="inlineStr">
        <is>
          <t>ข้อสอบจริง Product ปี 2564 ข้อ 3</t>
        </is>
      </c>
      <c r="O44" s="35" t="inlineStr">
        <is>
          <t>ข้อสอบจริง</t>
        </is>
      </c>
      <c r="P44" s="35" t="inlineStr">
        <is>
          <t>ปี 2564</t>
        </is>
      </c>
    </row>
    <row r="45" ht="409.6" customHeight="1" s="49">
      <c r="A45" s="35" t="n">
        <v>43</v>
      </c>
      <c r="B45" s="34" t="inlineStr">
        <is>
          <t>สารในข้อใดใช้ทํา cavity ของ blister pack เพื่อป้องกันความชื้น</t>
        </is>
      </c>
      <c r="C45" s="35" t="n"/>
      <c r="D45" s="34" t="inlineStr">
        <is>
          <t>Polyvinyl Chloride (PVC)  ใช้ทำ blister pack ได้ แต่กันความชื้นไม่ดี</t>
        </is>
      </c>
      <c r="E45" s="34" t="inlineStr">
        <is>
          <t>Polypropylene (PP) ทนความร้อนดี แต่คุณสมบัติกันความชื้นไม่เด่นเท่า PCTFE</t>
        </is>
      </c>
      <c r="F45" s="34" t="inlineStr">
        <is>
          <t>Polyvinylidene Chloride (PVDC)  กันความชื้นดี และมักใช้ เคลือบบน PVC เพื่อเพิ่ม barrier แต่ไม่ใช่วัสดุหลักของ cavity ในคำถามนี้</t>
        </is>
      </c>
      <c r="G45" s="34" t="inlineStr">
        <is>
          <t>Polyethylene (PE)  ใช้ทำบรรจุภัณฑ์ทั่วไป ไม่ใช่วัสดุหลักสำหรับ blister ที่ต้องการป้องกันความชื้นสูง</t>
        </is>
      </c>
      <c r="H45" s="34" t="inlineStr">
        <is>
          <t>Polychlorotrifluoroethylene</t>
        </is>
      </c>
      <c r="I45" s="35" t="n">
        <v>1</v>
      </c>
      <c r="J45" s="34" t="inlineStr">
        <is>
          <t>✅ คำตอบที่ถูกต้อง: ข้อ ก. Polyvinyl Chloride (PVC)  ใช้ทำ blister pack ได้ แต่กันความชื้นไม่ดี
💡 Background:
คำถามข้อสอบจริงใบประกอบวิชาชีพ PLE-CC 1 (Product) ปี 2564 ข้อ 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45" s="35" t="n"/>
      <c r="L45" s="34" t="inlineStr">
        <is>
          <t>Preformulation &amp; Good Manufacturing Practice</t>
        </is>
      </c>
      <c r="M45" s="35" t="inlineStr">
        <is>
          <t>Product</t>
        </is>
      </c>
      <c r="N45" s="34" t="inlineStr">
        <is>
          <t>ข้อสอบจริง Product ปี 2564 ข้อ 9</t>
        </is>
      </c>
      <c r="O45" s="35" t="inlineStr">
        <is>
          <t>ข้อสอบจริง</t>
        </is>
      </c>
      <c r="P45" s="35" t="inlineStr">
        <is>
          <t>ปี 2564</t>
        </is>
      </c>
    </row>
    <row r="46" ht="409.6" customHeight="1" s="49">
      <c r="A46" s="35" t="n">
        <v>44</v>
      </c>
      <c r="B46" s="34" t="inlineStr">
        <is>
          <t>ยาจากบริษัทใดที่มีคุณสมบัติสลายตัวเมื่อชื้น และเกิด hydrolysis ง่ายสุด บริษัท A ขนาดอนุภาค 0.05 mm บริษัท B ขนาดอนุภาค 20,000.00 nm บริษัท C ขนาดอนุภาค 12 μm บริษัท D ขนาดอนุภาค 0.01 cm บริษัท F ขนาดอนุภาค 92,000,000.00 pm</t>
        </is>
      </c>
      <c r="C46" s="35" t="n"/>
      <c r="D46" s="34" t="inlineStr">
        <is>
          <t>A</t>
        </is>
      </c>
      <c r="E46" s="34" t="inlineStr">
        <is>
          <t>B</t>
        </is>
      </c>
      <c r="F46" s="34" t="inlineStr">
        <is>
          <t>C</t>
        </is>
      </c>
      <c r="G46" s="34" t="inlineStr">
        <is>
          <t>D</t>
        </is>
      </c>
      <c r="H46" s="34" t="inlineStr">
        <is>
          <t>E</t>
        </is>
      </c>
      <c r="I46" s="35" t="n">
        <v>1</v>
      </c>
      <c r="J46" s="34" t="inlineStr">
        <is>
          <t>✅ คำตอบที่ถูกต้อง: ข้อ ก. A
💡 Background:
คำถามข้อสอบจริงใบประกอบวิชาชีพ PLE-CC 1 (Product) ปี 2564 ข้อ 13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6" s="35" t="n"/>
      <c r="L46" s="34" t="inlineStr">
        <is>
          <t>Pharmaceutical Technology General</t>
        </is>
      </c>
      <c r="M46" s="35" t="inlineStr">
        <is>
          <t>Product</t>
        </is>
      </c>
      <c r="N46" s="34" t="inlineStr">
        <is>
          <t>ข้อสอบจริง Product ปี 2564 ข้อ 13</t>
        </is>
      </c>
      <c r="O46" s="35" t="inlineStr">
        <is>
          <t>ข้อสอบจริง</t>
        </is>
      </c>
      <c r="P46" s="35" t="inlineStr">
        <is>
          <t>ปี 2564</t>
        </is>
      </c>
    </row>
    <row r="47" ht="409.6" customHeight="1" s="49">
      <c r="A47" s="35" t="n">
        <v>45</v>
      </c>
      <c r="B47" s="34" t="inlineStr">
        <is>
          <t>ให้สูตรตํารับมา ถามว่า Bentonite ทําหน้าที่อะไรในตํารับ</t>
        </is>
      </c>
      <c r="C47" s="35" t="n"/>
      <c r="D47" s="34" t="inlineStr">
        <is>
          <t>Suspending agent</t>
        </is>
      </c>
      <c r="E47" s="34" t="inlineStr">
        <is>
          <t>Chelating agent</t>
        </is>
      </c>
      <c r="F47" s="34" t="inlineStr">
        <is>
          <t>Adsorbent</t>
        </is>
      </c>
      <c r="G47" s="34" t="inlineStr">
        <is>
          <t>Emulsifier</t>
        </is>
      </c>
      <c r="H47" s="34" t="inlineStr">
        <is>
          <t>Antioxidant</t>
        </is>
      </c>
      <c r="I47" s="35" t="n">
        <v>1</v>
      </c>
      <c r="J47" s="34" t="inlineStr">
        <is>
          <t>✅ คำตอบที่ถูกต้อง: ข้อ ก. Suspending agent
💡 Background:
คำถามข้อสอบจริงใบประกอบวิชาชีพ PLE-CC 1 (Product) ปี 2564 ข้อ 26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7" s="35" t="n"/>
      <c r="L47" s="34" t="inlineStr">
        <is>
          <t>Pharmaceutical Technology General</t>
        </is>
      </c>
      <c r="M47" s="35" t="inlineStr">
        <is>
          <t>Product</t>
        </is>
      </c>
      <c r="N47" s="34" t="inlineStr">
        <is>
          <t>ข้อสอบจริง Product ปี 2564 ข้อ 26</t>
        </is>
      </c>
      <c r="O47" s="35" t="inlineStr">
        <is>
          <t>ข้อสอบจริง</t>
        </is>
      </c>
      <c r="P47" s="35" t="inlineStr">
        <is>
          <t>ปี 2564</t>
        </is>
      </c>
    </row>
    <row r="48" ht="409.6" customHeight="1" s="49">
      <c r="A48" s="35" t="n">
        <v>46</v>
      </c>
      <c r="B48" s="34" t="inlineStr">
        <is>
          <t>Nystatin 100,000 Unit/ml Sig. ½ tsp qid 4 days ผลิตภัณฑ์ในท้องตลาดพบว่า มี Nystatin 100,000 Unit/ml ปริมาตร 12 mL/ขวด ผู้ป่วยรายนี้ต้องใช้กี่ขวด</t>
        </is>
      </c>
      <c r="C48" s="35" t="n"/>
      <c r="D48" s="34" t="inlineStr">
        <is>
          <t>1 ขวด</t>
        </is>
      </c>
      <c r="E48" s="34" t="inlineStr">
        <is>
          <t>2 ขวด</t>
        </is>
      </c>
      <c r="F48" s="34" t="inlineStr">
        <is>
          <t>4 ขวด</t>
        </is>
      </c>
      <c r="G48" s="34" t="inlineStr">
        <is>
          <t>8 ขวด</t>
        </is>
      </c>
      <c r="H48" s="34" t="inlineStr">
        <is>
          <t>16 ขวด</t>
        </is>
      </c>
      <c r="I48" s="35" t="n">
        <v>1</v>
      </c>
      <c r="J48" s="34" t="inlineStr">
        <is>
          <t>✅ คำตอบที่ถูกต้อง: ข้อ ก. 1 ขวด
💡 Background:
คำถามข้อสอบจริงใบประกอบวิชาชีพ PLE-CC 1 (Product) ปี 2564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8" s="35" t="n"/>
      <c r="L48" s="34" t="inlineStr">
        <is>
          <t>Pharmaceutical Technology General</t>
        </is>
      </c>
      <c r="M48" s="35" t="inlineStr">
        <is>
          <t>Product</t>
        </is>
      </c>
      <c r="N48" s="34" t="inlineStr">
        <is>
          <t>ข้อสอบจริง Product ปี 2564 ข้อ 27</t>
        </is>
      </c>
      <c r="O48" s="35" t="inlineStr">
        <is>
          <t>ข้อสอบจริง</t>
        </is>
      </c>
      <c r="P48" s="35" t="inlineStr">
        <is>
          <t>ปี 2564</t>
        </is>
      </c>
    </row>
    <row r="49" ht="409.6" customHeight="1" s="49">
      <c r="A49" s="35" t="n">
        <v>47</v>
      </c>
      <c r="B49" s="34" t="inlineStr">
        <is>
          <t>ต้องใช้ Terramycin กี่มิลลิกรัม</t>
        </is>
      </c>
      <c r="C49" s="35" t="n"/>
      <c r="D49" s="34" t="inlineStr">
        <is>
          <t>18 mg</t>
        </is>
      </c>
      <c r="E49" s="34" t="inlineStr">
        <is>
          <t>0.18 mg</t>
        </is>
      </c>
      <c r="F49" s="34" t="inlineStr">
        <is>
          <t>180 mg</t>
        </is>
      </c>
      <c r="G49" s="34" t="inlineStr">
        <is>
          <t>200 mg</t>
        </is>
      </c>
      <c r="H49" s="34" t="inlineStr">
        <is>
          <t>[NEED_REVIEW]</t>
        </is>
      </c>
      <c r="I49" s="35" t="n">
        <v>1</v>
      </c>
      <c r="J49" s="34" t="inlineStr">
        <is>
          <t>✅ คำตอบที่ถูกต้อง: ข้อ ก. 18 mg
💡 Background:
คำถามข้อสอบจริงใบประกอบวิชาชีพ PLE-CC 1 (Product) ปี 2564 ข้อ 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49" s="35" t="n"/>
      <c r="L49" s="34" t="inlineStr">
        <is>
          <t>Pharmaceutical Technology General</t>
        </is>
      </c>
      <c r="M49" s="35" t="inlineStr">
        <is>
          <t>Product</t>
        </is>
      </c>
      <c r="N49" s="34" t="inlineStr">
        <is>
          <t>ข้อสอบจริง Product ปี 2564 ข้อ 41</t>
        </is>
      </c>
      <c r="O49" s="35" t="inlineStr">
        <is>
          <t>ข้อสอบจริง</t>
        </is>
      </c>
      <c r="P49" s="35" t="inlineStr">
        <is>
          <t>ปี 2564</t>
        </is>
      </c>
    </row>
    <row r="50" ht="409.6" customHeight="1" s="49">
      <c r="A50" s="35" t="n">
        <v>48</v>
      </c>
      <c r="B50" s="34" t="inlineStr">
        <is>
          <t>แพทย์สั่งจ่ายยา calcitriol solution ให้ผู้ป่วย 20 ng/kg ผู้ป่วยน้ำหนัก 50 kg จ่าย 3 ครั้งต่อ สัปดาห์ เป็นเวลา 2 สัปดาห์ หากยามีความแรง 2 ไมโครกรัมต่อมิลลิลิตร ผู้ป่วยได้รับยาทั้งหมดเท่าไหร่</t>
        </is>
      </c>
      <c r="C50" s="35" t="n"/>
      <c r="D50" s="34" t="inlineStr">
        <is>
          <t>1.5 ml</t>
        </is>
      </c>
      <c r="E50" s="34" t="inlineStr">
        <is>
          <t>3 ml</t>
        </is>
      </c>
      <c r="F50" s="34" t="inlineStr">
        <is>
          <t>15 ml</t>
        </is>
      </c>
      <c r="G50" s="34" t="inlineStr">
        <is>
          <t>30 ml</t>
        </is>
      </c>
      <c r="H50" s="34" t="inlineStr">
        <is>
          <t>300 ml</t>
        </is>
      </c>
      <c r="I50" s="35" t="n">
        <v>1</v>
      </c>
      <c r="J50" s="34" t="inlineStr">
        <is>
          <t>✅ คำตอบที่ถูกต้อง: ข้อ ก. 1.5 ml
💡 Background:
คำถามข้อสอบจริงใบประกอบวิชาชีพ PLE-CC 1 (Product) ปี 2564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0" s="35" t="n"/>
      <c r="L50" s="34" t="inlineStr">
        <is>
          <t>Pharmaceutical Technology General</t>
        </is>
      </c>
      <c r="M50" s="35" t="inlineStr">
        <is>
          <t>Product</t>
        </is>
      </c>
      <c r="N50" s="34" t="inlineStr">
        <is>
          <t>ข้อสอบจริง Product ปี 2564 ข้อ 43</t>
        </is>
      </c>
      <c r="O50" s="35" t="inlineStr">
        <is>
          <t>ข้อสอบจริง</t>
        </is>
      </c>
      <c r="P50" s="35" t="inlineStr">
        <is>
          <t>ปี 2564</t>
        </is>
      </c>
    </row>
    <row r="51" ht="409.6" customHeight="1" s="49">
      <c r="A51" s="35" t="n">
        <v>49</v>
      </c>
      <c r="B51" s="34" t="inlineStr">
        <is>
          <t>propellant ที่นิยมใน MDI</t>
        </is>
      </c>
      <c r="C51" s="35" t="inlineStr">
        <is>
          <t>[แนบรูป: ข้อสอบ Product ปี 2564 รหัสรูปภาพ image77]</t>
        </is>
      </c>
      <c r="D51" s="34" t="inlineStr">
        <is>
          <t>N2O</t>
        </is>
      </c>
      <c r="E51" s="34" t="inlineStr">
        <is>
          <t>Propane</t>
        </is>
      </c>
      <c r="F51" s="34" t="inlineStr">
        <is>
          <t>Hydrocarbon</t>
        </is>
      </c>
      <c r="G51" s="34" t="inlineStr">
        <is>
          <t>Hydrofluoroalkane</t>
        </is>
      </c>
      <c r="H51" s="34" t="inlineStr">
        <is>
          <t>Hydrofluorocarbon</t>
        </is>
      </c>
      <c r="I51" s="35" t="n">
        <v>1</v>
      </c>
      <c r="J51" s="34" t="inlineStr">
        <is>
          <t>✅ คำตอบที่ถูกต้อง: ข้อ ก. N2O
💡 Background:
คำถามข้อสอบจริงใบประกอบวิชาชีพ PLE-CC 1 (Product) ปี 2564 ข้อ 48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1" s="35" t="n"/>
      <c r="L51" s="34" t="inlineStr">
        <is>
          <t>Pharmaceutical Technology General</t>
        </is>
      </c>
      <c r="M51" s="35" t="inlineStr">
        <is>
          <t>Product</t>
        </is>
      </c>
      <c r="N51" s="34" t="inlineStr">
        <is>
          <t>ข้อสอบจริง Product ปี 2564 ข้อ 48</t>
        </is>
      </c>
      <c r="O51" s="35" t="inlineStr">
        <is>
          <t>ข้อสอบจริง</t>
        </is>
      </c>
      <c r="P51" s="35" t="inlineStr">
        <is>
          <t>ปี 2564</t>
        </is>
      </c>
    </row>
    <row r="52" ht="409.6" customHeight="1" s="49">
      <c r="A52" s="35" t="n">
        <v>50</v>
      </c>
      <c r="B52" s="34" t="inlineStr">
        <is>
          <t>Ringer's ผสมกับ ceftriaxone จะเกิดอะไรขึ้น</t>
        </is>
      </c>
      <c r="C52" s="35" t="n"/>
      <c r="D52" s="34" t="inlineStr">
        <is>
          <t>ตกตะกอน</t>
        </is>
      </c>
      <c r="E52" s="34" t="inlineStr">
        <is>
          <t>pH เปลี่ยน</t>
        </is>
      </c>
      <c r="F52" s="34" t="inlineStr">
        <is>
          <t>เกิดกลิ่นไม่พึงประสงค์</t>
        </is>
      </c>
      <c r="G52" s="34" t="inlineStr">
        <is>
          <t>เกิดฟอง</t>
        </is>
      </c>
      <c r="H52" s="34" t="inlineStr">
        <is>
          <t>หนืดขึ้น</t>
        </is>
      </c>
      <c r="I52" s="35" t="n">
        <v>1</v>
      </c>
      <c r="J52" s="34" t="inlineStr">
        <is>
          <t>✅ คำตอบที่ถูกต้อง: ข้อ ก. ตกตะกอน
💡 Background:
คำถามข้อสอบจริงใบประกอบวิชาชีพ PLE-CC 1 (Product) ปี 2564 ข้อ 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2" s="35" t="n"/>
      <c r="L52" s="34" t="inlineStr">
        <is>
          <t>Pharmaceutical Technology General</t>
        </is>
      </c>
      <c r="M52" s="35" t="inlineStr">
        <is>
          <t>Product</t>
        </is>
      </c>
      <c r="N52" s="34" t="inlineStr">
        <is>
          <t>ข้อสอบจริง Product ปี 2564 ข้อ 55</t>
        </is>
      </c>
      <c r="O52" s="35" t="inlineStr">
        <is>
          <t>ข้อสอบจริง</t>
        </is>
      </c>
      <c r="P52" s="35" t="inlineStr">
        <is>
          <t>ปี 2564</t>
        </is>
      </c>
    </row>
    <row r="53" ht="409.6" customHeight="1" s="49">
      <c r="A53" s="35" t="n">
        <v>51</v>
      </c>
      <c r="B53" s="34" t="inlineStr">
        <is>
          <t>ทำ calcium effervescent ข้อใดถูกต้อง</t>
        </is>
      </c>
      <c r="C53" s="35" t="n"/>
      <c r="D53" s="34" t="inlineStr">
        <is>
          <t>Moisture content ไมเกิน 50%</t>
        </is>
      </c>
      <c r="E53" s="34" t="inlineStr">
        <is>
          <t>มี sodium bicarb \+ ascorbic acid</t>
        </is>
      </c>
      <c r="F53" s="34" t="inlineStr">
        <is>
          <t>มี low key resisted content</t>
        </is>
      </c>
      <c r="G53" s="34" t="inlineStr">
        <is>
          <t>- ตอบ ไม่มีคำตอบ choice ไม่ครบ</t>
        </is>
      </c>
      <c r="H53" s="34" t="n"/>
      <c r="I53" s="35" t="n">
        <v>3</v>
      </c>
      <c r="J53" s="34" t="inlineStr">
        <is>
          <t>✅ คำตอบที่ถูกต้อง: ข้อ ค. มี low key resisted content
💡 Background:
คำถามข้อสอบจริงใบประกอบวิชาชีพ PLE-CC 1 (Product) ปี 2564 ข้อ 56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3" s="35" t="n"/>
      <c r="L53" s="34" t="inlineStr">
        <is>
          <t>Pharmaceutical Technology General</t>
        </is>
      </c>
      <c r="M53" s="35" t="inlineStr">
        <is>
          <t>Product</t>
        </is>
      </c>
      <c r="N53" s="34" t="inlineStr">
        <is>
          <t>ข้อสอบจริง Product ปี 2564 ข้อ 56</t>
        </is>
      </c>
      <c r="O53" s="35" t="inlineStr">
        <is>
          <t>ข้อสอบจริง</t>
        </is>
      </c>
      <c r="P53" s="35" t="inlineStr">
        <is>
          <t>ปี 2564</t>
        </is>
      </c>
    </row>
    <row r="54" ht="409.6" customHeight="1" s="49">
      <c r="A54" s="35" t="n">
        <v>52</v>
      </c>
      <c r="B54" s="34" t="inlineStr">
        <is>
          <t>จากสูตรตำรับนี้ bentonite ทำหน้าที่อะไร Calamine 15 g Zn oxide 5 g Bentonite 3 g Sodium citrate 0.3 g Glycerin 5 ml Purified water 100 ml</t>
        </is>
      </c>
      <c r="C54" s="35" t="n"/>
      <c r="D54" s="34" t="inlineStr">
        <is>
          <t>Suspending agent</t>
        </is>
      </c>
      <c r="E54" s="34" t="inlineStr">
        <is>
          <t>Antioxidant</t>
        </is>
      </c>
      <c r="F54" s="34" t="inlineStr">
        <is>
          <t>Chelating agent</t>
        </is>
      </c>
      <c r="G54" s="34" t="inlineStr">
        <is>
          <t>Coloring agent</t>
        </is>
      </c>
      <c r="H54" s="34" t="inlineStr">
        <is>
          <t>Emulsifying agent</t>
        </is>
      </c>
      <c r="I54" s="35" t="n">
        <v>1</v>
      </c>
      <c r="J54" s="34" t="inlineStr">
        <is>
          <t>✅ คำตอบที่ถูกต้อง: ข้อ ก. Suspending agent
💡 Background:
คำถามข้อสอบจริงใบประกอบวิชาชีพ PLE-CC 1 (Product) ปี 2564 ข้อ 60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4" s="35" t="n"/>
      <c r="L54" s="34" t="inlineStr">
        <is>
          <t>Pharmaceutical Technology General</t>
        </is>
      </c>
      <c r="M54" s="35" t="inlineStr">
        <is>
          <t>Product</t>
        </is>
      </c>
      <c r="N54" s="34" t="inlineStr">
        <is>
          <t>ข้อสอบจริง Product ปี 2564 ข้อ 60</t>
        </is>
      </c>
      <c r="O54" s="35" t="inlineStr">
        <is>
          <t>ข้อสอบจริง</t>
        </is>
      </c>
      <c r="P54" s="35" t="inlineStr">
        <is>
          <t>ปี 2564</t>
        </is>
      </c>
    </row>
    <row r="55" ht="409.6" customHeight="1" s="49">
      <c r="A55" s="35" t="n">
        <v>53</v>
      </c>
      <c r="B55" s="34" t="inlineStr">
        <is>
          <t>หากยาเคลือบมีปัญหา bridging of logo จะมีวิธีแก้ปัญหาอย่างไร</t>
        </is>
      </c>
      <c r="C55" s="35" t="n"/>
      <c r="D55" s="34" t="inlineStr">
        <is>
          <t>เพิ่ม talcum ❌ ช่วยลดการติด (anti-tacking) ไม่แก้ bridging</t>
        </is>
      </c>
      <c r="E55" s="34" t="inlineStr">
        <is>
          <t>ทำให้ตัวอักษรลึกขึ้น</t>
        </is>
      </c>
      <c r="F55" s="34" t="inlineStr">
        <is>
          <t>เพิ่ม plasticizer ❌ ช่วยให้ฟิล์มยืดหยุ่น ไม่ได้แก้ปัญหาโลโก้ถูกปิด</t>
        </is>
      </c>
      <c r="G55" s="34" t="inlineStr">
        <is>
          <t>เพิ่ม opacifier ❌ เปลี่ยนความทึบแสง ไม่เกี่ยวกับ bridging</t>
        </is>
      </c>
      <c r="H55" s="34" t="inlineStr">
        <is>
          <t>เพิ่มอุณหภูมิของหม้อเคลือบ ❌ อาจช่วยให้แห้งเร็วขึ้น แต่ไม่ใช่วิธีหลักในการแก้ bridging</t>
        </is>
      </c>
      <c r="I55" s="35" t="n">
        <v>1</v>
      </c>
      <c r="J55" s="34" t="inlineStr">
        <is>
          <t>✅ คำตอบที่ถูกต้อง: ข้อ ก. เพิ่ม talcum ❌ ช่วยลดการติด (anti-tacking) ไม่แก้ bridging
💡 Background:
คำถามข้อสอบจริงใบประกอบวิชาชีพ PLE-CC 1 (Product) ปี 2564 ข้อ 68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5" s="35" t="n"/>
      <c r="L55" s="34" t="inlineStr">
        <is>
          <t>Pharmaceutical Technology General</t>
        </is>
      </c>
      <c r="M55" s="35" t="inlineStr">
        <is>
          <t>Product</t>
        </is>
      </c>
      <c r="N55" s="34" t="inlineStr">
        <is>
          <t>ข้อสอบจริง Product ปี 2564 ข้อ 68</t>
        </is>
      </c>
      <c r="O55" s="35" t="inlineStr">
        <is>
          <t>ข้อสอบจริง</t>
        </is>
      </c>
      <c r="P55" s="35" t="inlineStr">
        <is>
          <t>ปี 2564</t>
        </is>
      </c>
    </row>
    <row r="56" ht="409.6" customHeight="1" s="49">
      <c r="A56" s="35" t="n">
        <v>54</v>
      </c>
      <c r="B56" s="34" t="inlineStr">
        <is>
          <t>FeSO4 มีมวลโมเลกุล 152 ต้องการเตรียมสารความเข้มข้น 0.2 Molar ปริมาตร 1 ลิตร ต้องใช้ FeSO4 กี่กรัม</t>
        </is>
      </c>
      <c r="C56" s="35" t="n"/>
      <c r="D56" s="34" t="inlineStr">
        <is>
          <t>304</t>
        </is>
      </c>
      <c r="E56" s="34" t="inlineStr">
        <is>
          <t>152</t>
        </is>
      </c>
      <c r="F56" s="34" t="inlineStr">
        <is>
          <t>28.83</t>
        </is>
      </c>
      <c r="G56" s="34" t="inlineStr">
        <is>
          <t>30.4</t>
        </is>
      </c>
      <c r="H56" s="34" t="inlineStr">
        <is>
          <t>15.2</t>
        </is>
      </c>
      <c r="I56" s="35" t="n">
        <v>1</v>
      </c>
      <c r="J56" s="34" t="inlineStr">
        <is>
          <t>✅ คำตอบที่ถูกต้อง: ข้อ ก. 304
💡 Background:
คำถามข้อสอบจริงใบประกอบวิชาชีพ PLE-CC 1 (Product) ปี 2564 ข้อ 76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6" s="35" t="n"/>
      <c r="L56" s="34" t="inlineStr">
        <is>
          <t>Pharmaceutical Technology General</t>
        </is>
      </c>
      <c r="M56" s="35" t="inlineStr">
        <is>
          <t>Product</t>
        </is>
      </c>
      <c r="N56" s="34" t="inlineStr">
        <is>
          <t>ข้อสอบจริง Product ปี 2564 ข้อ 76</t>
        </is>
      </c>
      <c r="O56" s="35" t="inlineStr">
        <is>
          <t>ข้อสอบจริง</t>
        </is>
      </c>
      <c r="P56" s="35" t="inlineStr">
        <is>
          <t>ปี 2564</t>
        </is>
      </c>
    </row>
    <row r="57" ht="409.6" customHeight="1" s="49">
      <c r="A57" s="35" t="n">
        <v>55</v>
      </c>
      <c r="B57" s="34" t="inlineStr">
        <is>
          <t>ยา X ปริมาณ 150 mg มีปริมาณตัวยาสาคัญ 142 mg มีปริมาณน้ำ 4.72% จะมี %label amount ของตัวยาที่ไม่มีน้ำเท่าไหร่</t>
        </is>
      </c>
      <c r="C57" s="35" t="inlineStr">
        <is>
          <t>[แนบรูป: ข้อสอบ Product ปี 2564 รหัสรูปภาพ image86]</t>
        </is>
      </c>
      <c r="D57" s="34" t="inlineStr">
        <is>
          <t>90.4</t>
        </is>
      </c>
      <c r="E57" s="34" t="inlineStr">
        <is>
          <t>94.7</t>
        </is>
      </c>
      <c r="F57" s="34" t="inlineStr">
        <is>
          <t>95.7</t>
        </is>
      </c>
      <c r="G57" s="34" t="inlineStr">
        <is>
          <t>98.9</t>
        </is>
      </c>
      <c r="H57" s="34" t="inlineStr">
        <is>
          <t>100.5</t>
        </is>
      </c>
      <c r="I57" s="35" t="n">
        <v>1</v>
      </c>
      <c r="J57" s="34" t="inlineStr">
        <is>
          <t>✅ คำตอบที่ถูกต้อง: ข้อ ก. 90.4
💡 Background:
คำถามข้อสอบจริงใบประกอบวิชาชีพ PLE-CC 1 (Product) ปี 2564 ข้อ 94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7" s="35" t="n"/>
      <c r="L57" s="34" t="inlineStr">
        <is>
          <t>Pharmaceutical Technology General</t>
        </is>
      </c>
      <c r="M57" s="35" t="inlineStr">
        <is>
          <t>Product</t>
        </is>
      </c>
      <c r="N57" s="34" t="inlineStr">
        <is>
          <t>ข้อสอบจริง Product ปี 2564 ข้อ 94</t>
        </is>
      </c>
      <c r="O57" s="35" t="inlineStr">
        <is>
          <t>ข้อสอบจริง</t>
        </is>
      </c>
      <c r="P57" s="35" t="inlineStr">
        <is>
          <t>ปี 2564</t>
        </is>
      </c>
    </row>
    <row r="58" ht="409.6" customHeight="1" s="49">
      <c r="A58" s="35" t="n">
        <v>56</v>
      </c>
      <c r="B58" s="34" t="inlineStr">
        <is>
          <t>ข้อใดเป็น preservatives ในตำรับนี้</t>
        </is>
      </c>
      <c r="C58" s="35" t="n"/>
      <c r="D58" s="34" t="inlineStr">
        <is>
          <t>Dexamethasone ❌ → ตัวยาสำคัญ (corticosteroid)</t>
        </is>
      </c>
      <c r="E58" s="34" t="inlineStr">
        <is>
          <t>Benzyl alcohol ✅ → Preservative</t>
        </is>
      </c>
      <c r="F58" s="34" t="inlineStr">
        <is>
          <t>Sodium chloride ❌ → ปรับความเป็น isotonic</t>
        </is>
      </c>
      <c r="G58" s="34" t="inlineStr">
        <is>
          <t>Sodium hydroxide ❌ → ปรับ pH</t>
        </is>
      </c>
      <c r="H58" s="34" t="inlineStr">
        <is>
          <t>Polysorbate 80 ❌ → Surfactant / Emulsifier / Solubilizer</t>
        </is>
      </c>
      <c r="I58" s="35" t="n">
        <v>1</v>
      </c>
      <c r="J58" s="34" t="inlineStr">
        <is>
          <t>✅ คำตอบที่ถูกต้อง: ข้อ ก. Dexamethasone ❌ → ตัวยาสำคัญ (corticosteroid)
💡 Background:
คำถามข้อสอบจริงใบประกอบวิชาชีพ PLE-CC 1 (Product) ปี 2564 ข้อ 104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8" s="35" t="n"/>
      <c r="L58" s="34" t="inlineStr">
        <is>
          <t>Pharmaceutical Technology General</t>
        </is>
      </c>
      <c r="M58" s="35" t="inlineStr">
        <is>
          <t>Product</t>
        </is>
      </c>
      <c r="N58" s="34" t="inlineStr">
        <is>
          <t>ข้อสอบจริง Product ปี 2564 ข้อ 104</t>
        </is>
      </c>
      <c r="O58" s="35" t="inlineStr">
        <is>
          <t>ข้อสอบจริง</t>
        </is>
      </c>
      <c r="P58" s="35" t="inlineStr">
        <is>
          <t>ปี 2564</t>
        </is>
      </c>
    </row>
    <row r="59" ht="409.6" customHeight="1" s="49">
      <c r="A59" s="35" t="n">
        <v>57</v>
      </c>
      <c r="B59" s="34" t="inlineStr">
        <is>
          <t>ครีม betamethasone valerate 0.1% คิด %label amout ได้ 100 ถ้าในครีม 1 g จะมียาเท่าไร</t>
        </is>
      </c>
      <c r="C59" s="35" t="n"/>
      <c r="D59" s="34" t="inlineStr">
        <is>
          <t>betamethasone 1 mg</t>
        </is>
      </c>
      <c r="E59" s="34" t="inlineStr">
        <is>
          <t>betamethasone 10 mg</t>
        </is>
      </c>
      <c r="F59" s="34" t="inlineStr">
        <is>
          <t>betamethasone valerate 0.1 mg</t>
        </is>
      </c>
      <c r="G59" s="34" t="inlineStr">
        <is>
          <t>betamethasone valerate 1 mg</t>
        </is>
      </c>
      <c r="H59" s="34" t="inlineStr">
        <is>
          <t>betamethasone valerate 10 mg</t>
        </is>
      </c>
      <c r="I59" s="35" t="n">
        <v>1</v>
      </c>
      <c r="J59" s="34" t="inlineStr">
        <is>
          <t>✅ คำตอบที่ถูกต้อง: ข้อ ก. betamethasone 1 mg
💡 Background:
คำถามข้อสอบจริงใบประกอบวิชาชีพ PLE-CC 1 (Product) ปี 2564 ข้อ 106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59" s="35" t="n"/>
      <c r="L59" s="34" t="inlineStr">
        <is>
          <t>Pharmaceutical Technology General</t>
        </is>
      </c>
      <c r="M59" s="35" t="inlineStr">
        <is>
          <t>Product</t>
        </is>
      </c>
      <c r="N59" s="34" t="inlineStr">
        <is>
          <t>ข้อสอบจริง Product ปี 2564 ข้อ 106</t>
        </is>
      </c>
      <c r="O59" s="35" t="inlineStr">
        <is>
          <t>ข้อสอบจริง</t>
        </is>
      </c>
      <c r="P59" s="35" t="inlineStr">
        <is>
          <t>ปี 2564</t>
        </is>
      </c>
    </row>
    <row r="60" ht="409.6" customHeight="1" s="49">
      <c r="A60" s="35" t="n">
        <v>58</v>
      </c>
      <c r="B60" s="34" t="inlineStr">
        <is>
          <t>จะหา corticosteroids systemic equivalency ได้จากหนังสือใด</t>
        </is>
      </c>
      <c r="C60" s="35" t="n"/>
      <c r="D60" s="34" t="inlineStr">
        <is>
          <t>Drug information handbook</t>
        </is>
      </c>
      <c r="E60" s="34" t="inlineStr">
        <is>
          <t>British Formula (BNF) ❌ เน้นแนวทางการใช้ยาและการสั่งใช้ ไม่ใช่แหล่งหลักของตารางนี้</t>
        </is>
      </c>
      <c r="F60" s="34" t="inlineStr">
        <is>
          <t>Martindale ❌ ข้อมูลยาละเอียด แต่ไม่ใช่แหล่งที่นิยมเปิดหาตาราง equivalency</t>
        </is>
      </c>
      <c r="G60" s="34" t="inlineStr">
        <is>
          <t>USP ❌ มาตรฐานคุณภาพยา ไม่ใช่ข้อมูลทางคลินิก</t>
        </is>
      </c>
      <c r="H60" s="34" t="inlineStr">
        <is>
          <t>MIMS ❌ เน้นข้อมูลผลิตภัณฑ์และข้อบ่งใช้</t>
        </is>
      </c>
      <c r="I60" s="35" t="n">
        <v>1</v>
      </c>
      <c r="J60" s="34" t="inlineStr">
        <is>
          <t>✅ คำตอบที่ถูกต้อง: ข้อ ก. Drug information handbook
💡 Background:
คำถามข้อสอบจริงใบประกอบวิชาชีพ PLE-CC 1 (Product) ปี 2564 ข้อ 122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0" s="35" t="n"/>
      <c r="L60" s="34" t="inlineStr">
        <is>
          <t>Pharmaceutical Technology General</t>
        </is>
      </c>
      <c r="M60" s="35" t="inlineStr">
        <is>
          <t>Product</t>
        </is>
      </c>
      <c r="N60" s="34" t="inlineStr">
        <is>
          <t>ข้อสอบจริง Product ปี 2564 ข้อ 122</t>
        </is>
      </c>
      <c r="O60" s="35" t="inlineStr">
        <is>
          <t>ข้อสอบจริง</t>
        </is>
      </c>
      <c r="P60" s="35" t="inlineStr">
        <is>
          <t>ปี 2564</t>
        </is>
      </c>
    </row>
    <row r="61" ht="409.6" customHeight="1" s="49">
      <c r="A61" s="35" t="n">
        <v>59</v>
      </c>
      <c r="B61" s="34" t="inlineStr">
        <is>
          <t>ต้องการค้นข้อมูลเกี่ยวกับยาที่เป็นปัจจุบันควรค้นจากฐานข้อมูลใดดีที่สุด</t>
        </is>
      </c>
      <c r="C61" s="35" t="n"/>
      <c r="D61" s="34" t="inlineStr">
        <is>
          <t>Drug Information Handbook ❌ เป็นตำราอ้างอิง ใช้ง่าย แต่ไม่ได้อัปเดตเร็วเท่างานวิจัย</t>
        </is>
      </c>
      <c r="E61" s="34" t="inlineStr">
        <is>
          <t>Drug Facts and Comparisons ❌ เน้นข้อมูลเปรียบเทียบยา ไม่ใช่ฐานข้อมูลงานวิจัยล่าสุด</t>
        </is>
      </c>
      <c r="F61" s="34" t="inlineStr">
        <is>
          <t>AHFS (American Hospital Formulary Service) ❌ เป็นแหล่งข้อมูลยาแบบ monograph แต่ไม่ใช่ฐานข้อมูลงานวิจัยล่าสุด</t>
        </is>
      </c>
      <c r="G61" s="34" t="inlineStr">
        <is>
          <t>PubMed ✅ ฐานข้อมูลบทความวิจัยทางการแพทย์ที่ทันสมัย</t>
        </is>
      </c>
      <c r="H61" s="34" t="inlineStr">
        <is>
          <t>Pharmacotherapy Handbook ❌ ตำราเรียนด้านการรักษา</t>
        </is>
      </c>
      <c r="I61" s="35" t="n">
        <v>1</v>
      </c>
      <c r="J61" s="34" t="inlineStr">
        <is>
          <t>✅ คำตอบที่ถูกต้อง: ข้อ ก. Drug Information Handbook ❌ เป็นตำราอ้างอิง ใช้ง่าย แต่ไม่ได้อัปเดตเร็วเท่างานวิจัย
💡 Background:
คำถามข้อสอบจริงใบประกอบวิชาชีพ PLE-CC 1 (Product) ปี 2564 ข้อ 128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1" s="35" t="n"/>
      <c r="L61" s="34" t="inlineStr">
        <is>
          <t>Pharmaceutical Technology General</t>
        </is>
      </c>
      <c r="M61" s="35" t="inlineStr">
        <is>
          <t>Product</t>
        </is>
      </c>
      <c r="N61" s="34" t="inlineStr">
        <is>
          <t>ข้อสอบจริง Product ปี 2564 ข้อ 128</t>
        </is>
      </c>
      <c r="O61" s="35" t="inlineStr">
        <is>
          <t>ข้อสอบจริง</t>
        </is>
      </c>
      <c r="P61" s="35" t="inlineStr">
        <is>
          <t>ปี 2564</t>
        </is>
      </c>
    </row>
    <row r="62" ht="409.6" customHeight="1" s="49">
      <c r="A62" s="35" t="n">
        <v>60</v>
      </c>
      <c r="B62" s="34" t="inlineStr">
        <is>
          <t>ข้อใดไม่ใช่คุณสมบัติในการออกแบบ Ideal inhale corticosteroid</t>
        </is>
      </c>
      <c r="C62" s="35" t="n"/>
      <c r="D62" s="34" t="inlineStr">
        <is>
          <t>High lipophilicity</t>
        </is>
      </c>
      <c r="E62" s="34" t="inlineStr">
        <is>
          <t>High affinity steroid receptor</t>
        </is>
      </c>
      <c r="F62" s="34" t="inlineStr">
        <is>
          <t>High systemic absorption</t>
        </is>
      </c>
      <c r="G62" s="34" t="inlineStr">
        <is>
          <t>Topical action</t>
        </is>
      </c>
      <c r="H62" s="34" t="inlineStr">
        <is>
          <t>Less side effect</t>
        </is>
      </c>
      <c r="I62" s="35" t="n">
        <v>1</v>
      </c>
      <c r="J62" s="34" t="inlineStr">
        <is>
          <t>✅ คำตอบที่ถูกต้อง: ข้อ ก. High lipophilicity
💡 Background:
คำถามข้อสอบจริงใบประกอบวิชาชีพ PLE-CC 1 (Product) ปี 2564 ข้อ 133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2" s="35" t="n"/>
      <c r="L62" s="34" t="inlineStr">
        <is>
          <t>Pharmaceutical Technology General</t>
        </is>
      </c>
      <c r="M62" s="35" t="inlineStr">
        <is>
          <t>Product</t>
        </is>
      </c>
      <c r="N62" s="34" t="inlineStr">
        <is>
          <t>ข้อสอบจริง Product ปี 2564 ข้อ 133</t>
        </is>
      </c>
      <c r="O62" s="35" t="inlineStr">
        <is>
          <t>ข้อสอบจริง</t>
        </is>
      </c>
      <c r="P62" s="35" t="inlineStr">
        <is>
          <t>ปี 2564</t>
        </is>
      </c>
    </row>
    <row r="63" ht="409.6" customHeight="1" s="49">
      <c r="A63" s="35" t="n">
        <v>61</v>
      </c>
      <c r="B63" s="34" t="inlineStr">
        <is>
          <t>ยาเปลี่ยนสีจากปฏิกิริยา oxidation ควรเติมสารใด</t>
        </is>
      </c>
      <c r="C63" s="35" t="n"/>
      <c r="D63" s="34" t="inlineStr">
        <is>
          <t>PEG ❌ Cosolvent / base</t>
        </is>
      </c>
      <c r="E63" s="34" t="inlineStr">
        <is>
          <t>Glycerin ❌ Humectant / cosolvent</t>
        </is>
      </c>
      <c r="F63" s="34" t="inlineStr">
        <is>
          <t>Sodium metabisulfite ✅ Antioxidant</t>
        </is>
      </c>
      <c r="G63" s="34" t="inlineStr">
        <is>
          <t>Benzalkonium chloride ❌ Preservative</t>
        </is>
      </c>
      <c r="H63" s="34" t="inlineStr">
        <is>
          <t>Cyclodextrin ❌ ช่วยเพิ่มการละลายและความคงตัวของยา ไม่ใช่ antioxidant</t>
        </is>
      </c>
      <c r="I63" s="35" t="n">
        <v>1</v>
      </c>
      <c r="J63" s="34" t="inlineStr">
        <is>
          <t>✅ คำตอบที่ถูกต้อง: ข้อ ก. PEG ❌ Cosolvent / base
💡 Background:
คำถามข้อสอบจริงใบประกอบวิชาชีพ PLE-CC 1 (Product) ปี 2564 ข้อ 141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3" s="35" t="n"/>
      <c r="L63" s="34" t="inlineStr">
        <is>
          <t>Pharmaceutical Technology General</t>
        </is>
      </c>
      <c r="M63" s="35" t="inlineStr">
        <is>
          <t>Product</t>
        </is>
      </c>
      <c r="N63" s="34" t="inlineStr">
        <is>
          <t>ข้อสอบจริง Product ปี 2564 ข้อ 141</t>
        </is>
      </c>
      <c r="O63" s="35" t="inlineStr">
        <is>
          <t>ข้อสอบจริง</t>
        </is>
      </c>
      <c r="P63" s="35" t="inlineStr">
        <is>
          <t>ปี 2564</t>
        </is>
      </c>
    </row>
    <row r="64" ht="409.6" customHeight="1" s="49">
      <c r="A64" s="35" t="n">
        <v>62</v>
      </c>
      <c r="B64" s="34" t="inlineStr">
        <is>
          <t>เตรียม atenolol 0.2% 50 ml ต้องใช้ atenolol (25 mg/tab) กี่เม็ด</t>
        </is>
      </c>
      <c r="C64" s="35" t="n"/>
      <c r="D64" s="34" t="inlineStr">
        <is>
          <t>2</t>
        </is>
      </c>
      <c r="E64" s="34" t="inlineStr">
        <is>
          <t>3</t>
        </is>
      </c>
      <c r="F64" s="34" t="inlineStr">
        <is>
          <t>4</t>
        </is>
      </c>
      <c r="G64" s="34" t="inlineStr">
        <is>
          <t>5</t>
        </is>
      </c>
      <c r="H64" s="34" t="inlineStr">
        <is>
          <t>6</t>
        </is>
      </c>
      <c r="I64" s="35" t="n">
        <v>1</v>
      </c>
      <c r="J64" s="34" t="inlineStr">
        <is>
          <t>✅ คำตอบที่ถูกต้อง: ข้อ ก. 2
💡 Background:
คำถามข้อสอบจริงใบประกอบวิชาชีพ PLE-CC 1 (Product) ปี 2564 ข้อ 142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4" s="35" t="n"/>
      <c r="L64" s="34" t="inlineStr">
        <is>
          <t>Pharmaceutical Technology General</t>
        </is>
      </c>
      <c r="M64" s="35" t="inlineStr">
        <is>
          <t>Product</t>
        </is>
      </c>
      <c r="N64" s="34" t="inlineStr">
        <is>
          <t>ข้อสอบจริง Product ปี 2564 ข้อ 142</t>
        </is>
      </c>
      <c r="O64" s="35" t="inlineStr">
        <is>
          <t>ข้อสอบจริง</t>
        </is>
      </c>
      <c r="P64" s="35" t="inlineStr">
        <is>
          <t>ปี 2564</t>
        </is>
      </c>
    </row>
    <row r="65" ht="409.6" customHeight="1" s="49">
      <c r="A65" s="35" t="n">
        <v>63</v>
      </c>
      <c r="B65" s="34" t="inlineStr">
        <is>
          <t>ข้อใดคือวิธีแก้ไขปัญหาสารนอนก้นเร็วของตำรับยาน้ำแขวนตะกอน</t>
        </is>
      </c>
      <c r="C65" s="35" t="n"/>
      <c r="D65" s="34" t="inlineStr">
        <is>
          <t>เพิ่มความหนืด ✅ ลดอัตราการตกตะกอน</t>
        </is>
      </c>
      <c r="E65" s="34" t="inlineStr">
        <is>
          <t>เพิ่มขนาดอนุภาค ❌ อนุภาคใหญ่ตกเร็วขึ้น</t>
        </is>
      </c>
      <c r="F65" s="34" t="inlineStr">
        <is>
          <t>เพิ่มสารช่วยเปียก ❌ ช่วยให้ผงกระจายตัว ไม่ได้ลดการตกตะกอนโดยตรง</t>
        </is>
      </c>
      <c r="G65" s="34" t="inlineStr">
        <is>
          <t>เพิ่มอุณหภูมิของตำรับ ❌ ความหนืดลดลง ทำให้ตกเร็วขึ้น</t>
        </is>
      </c>
      <c r="H65" s="34" t="inlineStr">
        <is>
          <t>ทำให้ความหนาแน่นของ 2 วัฏภาคต่างกันมาก ๆ ❌ ยิ่งต่างกันมาก ยิ่งตกเร็ว</t>
        </is>
      </c>
      <c r="I65" s="35" t="n">
        <v>1</v>
      </c>
      <c r="J65" s="34" t="inlineStr">
        <is>
          <t>✅ คำตอบที่ถูกต้อง: ข้อ ก. เพิ่มความหนืด ✅ ลดอัตราการตกตะกอน
💡 Background:
คำถามข้อสอบจริงใบประกอบวิชาชีพ PLE-CC 1 (Product) ปี 2564 ข้อ 155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5" s="35" t="n"/>
      <c r="L65" s="34" t="inlineStr">
        <is>
          <t>Pharmaceutical Technology General</t>
        </is>
      </c>
      <c r="M65" s="35" t="inlineStr">
        <is>
          <t>Product</t>
        </is>
      </c>
      <c r="N65" s="34" t="inlineStr">
        <is>
          <t>ข้อสอบจริง Product ปี 2564 ข้อ 155</t>
        </is>
      </c>
      <c r="O65" s="35" t="inlineStr">
        <is>
          <t>ข้อสอบจริง</t>
        </is>
      </c>
      <c r="P65" s="35" t="inlineStr">
        <is>
          <t>ปี 2564</t>
        </is>
      </c>
    </row>
    <row r="66" ht="409.6" customHeight="1" s="49">
      <c r="A66" s="35" t="n">
        <v>64</v>
      </c>
      <c r="B66" s="34" t="inlineStr">
        <is>
          <t>ในการผลิตยาต้านวัณโรค การควบคุมคุณภาพตาม USP กำหนดว่าห้ามพบเชื้อใด</t>
        </is>
      </c>
      <c r="C66" s="35" t="n"/>
      <c r="D66" s="34" t="inlineStr">
        <is>
          <t>E. coli</t>
        </is>
      </c>
      <c r="E66" s="34" t="inlineStr">
        <is>
          <t>Candida albican</t>
        </is>
      </c>
      <c r="F66" s="34" t="inlineStr">
        <is>
          <t>Bacillus subtilis</t>
        </is>
      </c>
      <c r="G66" s="34" t="inlineStr">
        <is>
          <t>Aspergillus niger</t>
        </is>
      </c>
      <c r="H66" s="34" t="inlineStr">
        <is>
          <t>Enterobacter spp.</t>
        </is>
      </c>
      <c r="I66" s="35" t="n">
        <v>1</v>
      </c>
      <c r="J66" s="34" t="inlineStr">
        <is>
          <t>✅ คำตอบที่ถูกต้อง: ข้อ ก. E. coli
💡 Background:
คำถามข้อสอบจริงใบประกอบวิชาชีพ PLE-CC 1 (Product) ปี 2564 ข้อ 163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6" s="35" t="n"/>
      <c r="L66" s="34" t="inlineStr">
        <is>
          <t>Pharmaceutical Technology General</t>
        </is>
      </c>
      <c r="M66" s="35" t="inlineStr">
        <is>
          <t>Product</t>
        </is>
      </c>
      <c r="N66" s="34" t="inlineStr">
        <is>
          <t>ข้อสอบจริง Product ปี 2564 ข้อ 163</t>
        </is>
      </c>
      <c r="O66" s="35" t="inlineStr">
        <is>
          <t>ข้อสอบจริง</t>
        </is>
      </c>
      <c r="P66" s="35" t="inlineStr">
        <is>
          <t>ปี 2564</t>
        </is>
      </c>
    </row>
    <row r="67" ht="409.6" customHeight="1" s="49">
      <c r="A67" s="35" t="n">
        <v>65</v>
      </c>
      <c r="B67" s="34" t="inlineStr">
        <is>
          <t>ในขั้นตอน method validation ควรทดสอบใดเป็นอันดับแรก</t>
        </is>
      </c>
      <c r="C67" s="35" t="n"/>
      <c r="D67" s="34" t="inlineStr">
        <is>
          <t>Accuracy</t>
        </is>
      </c>
      <c r="E67" s="34" t="inlineStr">
        <is>
          <t>Precisions</t>
        </is>
      </c>
      <c r="F67" s="34" t="inlineStr">
        <is>
          <t>Specificity</t>
        </is>
      </c>
      <c r="G67" s="34" t="inlineStr">
        <is>
          <t>Linearity</t>
        </is>
      </c>
      <c r="H67" s="34" t="inlineStr">
        <is>
          <t>Range</t>
        </is>
      </c>
      <c r="I67" s="35" t="n">
        <v>1</v>
      </c>
      <c r="J67" s="34" t="inlineStr">
        <is>
          <t>✅ คำตอบที่ถูกต้อง: ข้อ ก. Accuracy
💡 Background:
คำถามข้อสอบจริงใบประกอบวิชาชีพ PLE-CC 1 (Product) ปี 2564 ข้อ 168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67" s="35" t="n"/>
      <c r="L67" s="34" t="inlineStr">
        <is>
          <t>Preformulation &amp; Good Manufacturing Practice</t>
        </is>
      </c>
      <c r="M67" s="35" t="inlineStr">
        <is>
          <t>Product</t>
        </is>
      </c>
      <c r="N67" s="34" t="inlineStr">
        <is>
          <t>ข้อสอบจริง Product ปี 2564 ข้อ 168</t>
        </is>
      </c>
      <c r="O67" s="35" t="inlineStr">
        <is>
          <t>ข้อสอบจริง</t>
        </is>
      </c>
      <c r="P67" s="35" t="inlineStr">
        <is>
          <t>ปี 2564</t>
        </is>
      </c>
    </row>
    <row r="68" ht="409.6" customHeight="1" s="49">
      <c r="A68" s="35" t="n">
        <v>66</v>
      </c>
      <c r="B68" s="34" t="inlineStr">
        <is>
          <t>พืชที่ประกอบด้วย sulfur-containing compound หลายชนิด ข้อใดน่าจะเกิด herb-drug interaction กับกลุ่มยาต้านเกล็ดเลือดมากที่สุด?</t>
        </is>
      </c>
      <c r="C68" s="35" t="n"/>
      <c r="D68" s="34" t="inlineStr">
        <is>
          <t>ขิง ❌ มีฤทธิ์ต้านเกล็ดเลือดได้เล็กน้อย แต่ไม่เด่นด้าน sulfur compound</t>
        </is>
      </c>
      <c r="E68" s="34" t="inlineStr">
        <is>
          <t>แปะก๊วย ❌ มีผลต่อ platelet ได้ แต่สารสำคัญเป็น flavonoids/terpenoids</t>
        </is>
      </c>
      <c r="F68" s="34" t="inlineStr">
        <is>
          <t>กระเทียม ✅ มี sulfur compounds → antiplatelet effect</t>
        </is>
      </c>
      <c r="G68" s="34" t="inlineStr">
        <is>
          <t>ชุมเห็ดเทศ ❌ ใช้เป็นยาระบาย</t>
        </is>
      </c>
      <c r="H68" s="34" t="inlineStr">
        <is>
          <t>คาโมมายล์ ❌ มีฤทธิ์สงบ/ต้านอักเสบ ไม่ใช่ sulfur compound สถานการณ์: ผู้ป่วยชาย อายุ 55 ปี ถูกวินิจฉัยเป็น CHF (ภาวะหัวใจล้มเหลว) เมื่อ 6 เดือนที่แล้ว ได้รับการรักษาด้วยยา enalapril โดยมีการปฏิบัติตัว และใช้ยาตามแพทย์สั่งอย่างสม่ำเสมอ คุมอาการได้ดี</t>
        </is>
      </c>
      <c r="I68" s="35" t="n">
        <v>1</v>
      </c>
      <c r="J68" s="34" t="inlineStr">
        <is>
          <t>✅ คำตอบที่ถูกต้อง: ข้อ ก. ขิง ❌ มีฤทธิ์ต้านเกล็ดเลือดได้เล็กน้อย แต่ไม่เด่นด้าน sulfur compound
💡 Background:
คำถามข้อสอบจริงใบประกอบวิชาชีพ PLE-CC 1 (Product) ปี 2564 ข้อ 183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8" s="35" t="n"/>
      <c r="L68" s="34" t="inlineStr">
        <is>
          <t>Pharmaceutical Technology General</t>
        </is>
      </c>
      <c r="M68" s="35" t="inlineStr">
        <is>
          <t>Product</t>
        </is>
      </c>
      <c r="N68" s="34" t="inlineStr">
        <is>
          <t>ข้อสอบจริง Product ปี 2564 ข้อ 183</t>
        </is>
      </c>
      <c r="O68" s="35" t="inlineStr">
        <is>
          <t>ข้อสอบจริง</t>
        </is>
      </c>
      <c r="P68" s="35" t="inlineStr">
        <is>
          <t>ปี 2564</t>
        </is>
      </c>
    </row>
    <row r="69" ht="409.6" customHeight="1" s="49">
      <c r="A69" s="35" t="n">
        <v>67</v>
      </c>
      <c r="B69" s="34" t="inlineStr">
        <is>
          <t>FeSO4 มีมวลโมเลกุล 152 ต้องการเตรียมสารความเข้มข้น 0.2 Molar ปริมาตร 1 ลิตร ต้องใช้ FeSO4 กี่กรัม ต้นฉบับ: Day 2 ข้อ 53</t>
        </is>
      </c>
      <c r="C69" s="35" t="n"/>
      <c r="D69" s="34" t="inlineStr">
        <is>
          <t>304</t>
        </is>
      </c>
      <c r="E69" s="34" t="inlineStr">
        <is>
          <t>152</t>
        </is>
      </c>
      <c r="F69" s="34" t="inlineStr">
        <is>
          <t>28.83</t>
        </is>
      </c>
      <c r="G69" s="34" t="inlineStr">
        <is>
          <t>30.4</t>
        </is>
      </c>
      <c r="H69" s="34" t="inlineStr">
        <is>
          <t>15.2</t>
        </is>
      </c>
      <c r="I69" s="35" t="n">
        <v>4</v>
      </c>
      <c r="J69" s="34" t="inlineStr">
        <is>
          <t>✅ คำตอบที่ถูกต้อง: ข้อ ง. 30.4
💡 Background:
คำถามข้อสอบจริงใบประกอบวิชาชีพ PLE-CC 1 (Product) ปี 2563 ข้อ 4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69" s="35" t="n"/>
      <c r="L69" s="34" t="inlineStr">
        <is>
          <t>Pharmaceutical Technology General</t>
        </is>
      </c>
      <c r="M69" s="35" t="inlineStr">
        <is>
          <t>Product</t>
        </is>
      </c>
      <c r="N69" s="34" t="inlineStr">
        <is>
          <t>ข้อสอบจริง Product ปี 2563 ข้อ 4</t>
        </is>
      </c>
      <c r="O69" s="35" t="inlineStr">
        <is>
          <t>ข้อสอบจริง</t>
        </is>
      </c>
      <c r="P69" s="35" t="inlineStr">
        <is>
          <t>ปี 2563</t>
        </is>
      </c>
    </row>
    <row r="70" ht="409.6" customHeight="1" s="49">
      <c r="A70" s="35" t="n">
        <v>68</v>
      </c>
      <c r="B70" s="34" t="inlineStr">
        <is>
          <t>ข้อใดเป็นการทดสอบ Specific test สำหรับ risedronate ต้นฉบับ: Day 1 ข้อ 65</t>
        </is>
      </c>
      <c r="C70" s="35" t="n"/>
      <c r="D70" s="34" t="inlineStr">
        <is>
          <t>Identification</t>
        </is>
      </c>
      <c r="E70" s="34" t="inlineStr">
        <is>
          <t>Assay</t>
        </is>
      </c>
      <c r="F70" s="34" t="inlineStr">
        <is>
          <t>Impurity</t>
        </is>
      </c>
      <c r="G70" s="34" t="inlineStr">
        <is>
          <t>Water determination</t>
        </is>
      </c>
      <c r="H70" s="34" t="inlineStr">
        <is>
          <t>pH</t>
        </is>
      </c>
      <c r="I70" s="35" t="n">
        <v>4</v>
      </c>
      <c r="J70" s="34" t="inlineStr">
        <is>
          <t>✅ คำตอบที่ถูกต้อง: ข้อ ง. Water determination
💡 Background:
คำถามข้อสอบจริงใบประกอบวิชาชีพ PLE-CC 1 (Product) ปี 2563 ข้อ 8
🎯 ทำไมข้อนี้ถึงถูก:
ข้อ ง.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0" s="35" t="n"/>
      <c r="L70" s="34" t="inlineStr">
        <is>
          <t>Pharmaceutical Technology General</t>
        </is>
      </c>
      <c r="M70" s="35" t="inlineStr">
        <is>
          <t>Product</t>
        </is>
      </c>
      <c r="N70" s="34" t="inlineStr">
        <is>
          <t>ข้อสอบจริง Product ปี 2563 ข้อ 8</t>
        </is>
      </c>
      <c r="O70" s="35" t="inlineStr">
        <is>
          <t>ข้อสอบจริง</t>
        </is>
      </c>
      <c r="P70" s="35" t="inlineStr">
        <is>
          <t>ปี 2563</t>
        </is>
      </c>
    </row>
    <row r="71" ht="409.6" customHeight="1" s="49">
      <c r="A71" s="35" t="n">
        <v>69</v>
      </c>
      <c r="B71" s="34" t="inlineStr">
        <is>
          <t>Metformin ฟิล์มเคลือบแตก (film cracking) เกิดจากสาเหตุใด ต้นฉบับ: Day 1 ข้อ 11</t>
        </is>
      </c>
      <c r="C71" s="35" t="n"/>
      <c r="D71" s="34" t="inlineStr">
        <is>
          <t>สารให้ความยืดหยุ่นน้อยเกินไป</t>
        </is>
      </c>
      <c r="E71" s="34" t="inlineStr">
        <is>
          <t>อุณหภูมิต่ำเกินไป</t>
        </is>
      </c>
      <c r="F71" s="34" t="inlineStr">
        <is>
          <t>หมุนหม้อเร็วเกิน</t>
        </is>
      </c>
      <c r="G71" s="34" t="inlineStr">
        <is>
          <t>พ่นสารเคลือบช้าเกิน</t>
        </is>
      </c>
      <c r="H71" s="34" t="inlineStr">
        <is>
          <t>สารเคลือบที่พ่นหนืดเกิน</t>
        </is>
      </c>
      <c r="I71" s="35" t="n">
        <v>1</v>
      </c>
      <c r="J71" s="34" t="inlineStr">
        <is>
          <t>✅ คำตอบที่ถูกต้อง: ข้อ ก. สารให้ความยืดหยุ่นน้อยเกินไป
💡 Background:
คำถามข้อสอบจริงใบประกอบวิชาชีพ PLE-CC 1 (Product) ปี 2563 ข้อ 17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1" s="35" t="n"/>
      <c r="L71" s="34" t="inlineStr">
        <is>
          <t>Pharmaceutical Technology General</t>
        </is>
      </c>
      <c r="M71" s="35" t="inlineStr">
        <is>
          <t>Product</t>
        </is>
      </c>
      <c r="N71" s="34" t="inlineStr">
        <is>
          <t>ข้อสอบจริง Product ปี 2563 ข้อ 17</t>
        </is>
      </c>
      <c r="O71" s="35" t="inlineStr">
        <is>
          <t>ข้อสอบจริง</t>
        </is>
      </c>
      <c r="P71" s="35" t="inlineStr">
        <is>
          <t>ปี 2563</t>
        </is>
      </c>
    </row>
    <row r="72" ht="409.6" customHeight="1" s="49">
      <c r="A72" s="35" t="n">
        <v>70</v>
      </c>
      <c r="B72" s="34" t="inlineStr">
        <is>
          <t>หากยาเคลือบมีปัญหา bridging of logo จะมีวิธีการแก้ปัญหาอย่างไร ต้นฉบับ: Day 2 ข้อ 26</t>
        </is>
      </c>
      <c r="C72" s="35" t="n"/>
      <c r="D72" s="34" t="inlineStr">
        <is>
          <t>เพิ่ม talcum</t>
        </is>
      </c>
      <c r="E72" s="34" t="inlineStr">
        <is>
          <t>ทำให้ตัวอักษรลึกขึ้น</t>
        </is>
      </c>
      <c r="F72" s="34" t="inlineStr">
        <is>
          <t>เพิ่มปริมาณ plasticizer</t>
        </is>
      </c>
      <c r="G72" s="34" t="inlineStr">
        <is>
          <t>เพิ่มปริมาณ opacifier</t>
        </is>
      </c>
      <c r="H72" s="34" t="inlineStr">
        <is>
          <t>เพิ่มอุณหภูมิของหม้อเคลือบ</t>
        </is>
      </c>
      <c r="I72" s="35" t="n">
        <v>3</v>
      </c>
      <c r="J72" s="34" t="inlineStr">
        <is>
          <t>✅ คำตอบที่ถูกต้อง: ข้อ ค. เพิ่มปริมาณ plasticizer
💡 Background:
คำถามข้อสอบจริงใบประกอบวิชาชีพ PLE-CC 1 (Product) ปี 2563 ข้อ 31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2" s="35" t="n"/>
      <c r="L72" s="34" t="inlineStr">
        <is>
          <t>Pharmaceutical Technology General</t>
        </is>
      </c>
      <c r="M72" s="35" t="inlineStr">
        <is>
          <t>Product</t>
        </is>
      </c>
      <c r="N72" s="34" t="inlineStr">
        <is>
          <t>ข้อสอบจริง Product ปี 2563 ข้อ 31</t>
        </is>
      </c>
      <c r="O72" s="35" t="inlineStr">
        <is>
          <t>ข้อสอบจริง</t>
        </is>
      </c>
      <c r="P72" s="35" t="inlineStr">
        <is>
          <t>ปี 2563</t>
        </is>
      </c>
    </row>
    <row r="73" ht="409.6" customHeight="1" s="49">
      <c r="A73" s="35" t="n">
        <v>71</v>
      </c>
      <c r="B73" s="34" t="inlineStr">
        <is>
          <t>ระดับ nicotine ในเลือดแบบใดเป็นของ nicotine gum 2 mg 1 ชิ้น และ nicotine patch 21 mg 1 แผ่น ตามลำดับ ต้นฉบับ: Day 2 ข้อ 74 [แนบรูป: ข้อสอบ Product ปี 2563 รหัสรูปภาพ image99] รูปประกอบจากข้อสอบต้นฉบับ</t>
        </is>
      </c>
      <c r="C73" s="35" t="inlineStr">
        <is>
          <t>[แนบรูป: ข้อสอบ Product ปี 2563 รหัสรูปภาพ image99]</t>
        </is>
      </c>
      <c r="D73" s="34" t="inlineStr">
        <is>
          <t>A และ B</t>
        </is>
      </c>
      <c r="E73" s="34" t="inlineStr">
        <is>
          <t>B และ C</t>
        </is>
      </c>
      <c r="F73" s="34" t="inlineStr">
        <is>
          <t>C และ D</t>
        </is>
      </c>
      <c r="G73" s="34" t="inlineStr">
        <is>
          <t>D และ A</t>
        </is>
      </c>
      <c r="H73" s="34" t="inlineStr">
        <is>
          <t>B และ D</t>
        </is>
      </c>
      <c r="I73" s="35" t="n">
        <v>3</v>
      </c>
      <c r="J73" s="34" t="inlineStr">
        <is>
          <t>✅ คำตอบที่ถูกต้อง: ข้อ ค. C และ D
💡 Background:
คำถามข้อสอบจริงใบประกอบวิชาชีพ PLE-CC 1 (Product) ปี 2563 ข้อ 35
🎯 ทำไมข้อนี้ถึงถูก:
ข้อ ค.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3" s="35" t="n"/>
      <c r="L73" s="34" t="inlineStr">
        <is>
          <t>Pharmaceutical Technology General</t>
        </is>
      </c>
      <c r="M73" s="35" t="inlineStr">
        <is>
          <t>Product</t>
        </is>
      </c>
      <c r="N73" s="34" t="inlineStr">
        <is>
          <t>ข้อสอบจริง Product ปี 2563 ข้อ 35</t>
        </is>
      </c>
      <c r="O73" s="35" t="inlineStr">
        <is>
          <t>ข้อสอบจริง</t>
        </is>
      </c>
      <c r="P73" s="35" t="inlineStr">
        <is>
          <t>ปี 2563</t>
        </is>
      </c>
    </row>
    <row r="74" ht="409.6" customHeight="1" s="49">
      <c r="A74" s="35" t="n">
        <v>72</v>
      </c>
      <c r="B74" s="34" t="inlineStr">
        <is>
          <t>ระบบ osmotic-controlled drug delivery ข้อใดถูก ต้นฉบับ: Day 2 ข้อ 112</t>
        </is>
      </c>
      <c r="C74" s="35" t="n"/>
      <c r="D74" s="34" t="inlineStr">
        <is>
          <t>ปล่อยยาแบบ Zero order</t>
        </is>
      </c>
      <c r="E74" s="34" t="inlineStr">
        <is>
          <t>การผลิตใช้ราคาถูกกว่า</t>
        </is>
      </c>
      <c r="F74" s="34" t="inlineStr">
        <is>
          <t>เป็นระบบที่สามารถย่อยสลายได้ในร่างกาย</t>
        </is>
      </c>
      <c r="G74" s="34" t="inlineStr">
        <is>
          <t>เป็นระบบที่สามารถบรรจุยาในปริมาณมากๆได้</t>
        </is>
      </c>
      <c r="H74" s="34" t="n"/>
      <c r="I74" s="35" t="n">
        <v>1</v>
      </c>
      <c r="J74" s="34" t="inlineStr">
        <is>
          <t>✅ คำตอบที่ถูกต้อง: ข้อ ก. ปล่อยยาแบบ Zero order
💡 Background:
คำถามข้อสอบจริงใบประกอบวิชาชีพ PLE-CC 1 (Product) ปี 2563 ข้อ 37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4" s="35" t="n"/>
      <c r="L74" s="34" t="inlineStr">
        <is>
          <t>Pharmaceutical Technology General</t>
        </is>
      </c>
      <c r="M74" s="35" t="inlineStr">
        <is>
          <t>Product</t>
        </is>
      </c>
      <c r="N74" s="34" t="inlineStr">
        <is>
          <t>ข้อสอบจริง Product ปี 2563 ข้อ 37</t>
        </is>
      </c>
      <c r="O74" s="35" t="inlineStr">
        <is>
          <t>ข้อสอบจริง</t>
        </is>
      </c>
      <c r="P74" s="35" t="inlineStr">
        <is>
          <t>ปี 2563</t>
        </is>
      </c>
    </row>
    <row r="75" ht="409.6" customHeight="1" s="49">
      <c r="A75" s="35" t="n">
        <v>73</v>
      </c>
      <c r="B75" s="34" t="inlineStr">
        <is>
          <t>วัคซีน Dengue เป็นเชื้อเป็นอ่อนฤทธิ์ ทำโดยวิธี lyophilization สารใดช่วยรักษาความคงตัวของแอนติเจน ต้นฉบับ: Day 1 ข้อ 55</t>
        </is>
      </c>
      <c r="C75" s="35" t="n"/>
      <c r="D75" s="34" t="inlineStr">
        <is>
          <t>Aluminium hydroxide</t>
        </is>
      </c>
      <c r="E75" s="34" t="inlineStr">
        <is>
          <t>Beta propiolactone</t>
        </is>
      </c>
      <c r="F75" s="34" t="inlineStr">
        <is>
          <t>Thimerosal</t>
        </is>
      </c>
      <c r="G75" s="34" t="inlineStr">
        <is>
          <t>Neomycin</t>
        </is>
      </c>
      <c r="H75" s="34" t="inlineStr">
        <is>
          <t>Magnesium hydroxide | คำตอบที่ข้อสอบน่าจะต้องการ: e) Magnesium hydroxide ตัวเลือกอื่นเป็น adjuvant สารทำลายเชื้อ preservative หรือ antibiotic จึงเหลือข้อนี้ในฐานะสารช่วยคงสภาพ</t>
        </is>
      </c>
      <c r="I75" s="35" t="n">
        <v>1</v>
      </c>
      <c r="J75" s="34" t="inlineStr">
        <is>
          <t>✅ คำตอบที่ถูกต้อง: ข้อ ก. Aluminium hydroxide
💡 Background:
คำถามข้อสอบจริงใบประกอบวิชาชีพ PLE-CC 1 (Product) ปี 2563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5" s="35" t="n"/>
      <c r="L75" s="34" t="inlineStr">
        <is>
          <t>Pharmaceutical Technology General</t>
        </is>
      </c>
      <c r="M75" s="35" t="inlineStr">
        <is>
          <t>Product</t>
        </is>
      </c>
      <c r="N75" s="34" t="inlineStr">
        <is>
          <t>ข้อสอบจริง Product ปี 2563 ข้อ 65</t>
        </is>
      </c>
      <c r="O75" s="35" t="inlineStr">
        <is>
          <t>ข้อสอบจริง</t>
        </is>
      </c>
      <c r="P75" s="35" t="inlineStr">
        <is>
          <t>ปี 2563</t>
        </is>
      </c>
    </row>
    <row r="76" ht="409.6" customHeight="1" s="49">
      <c r="A76" s="35" t="n">
        <v>74</v>
      </c>
      <c r="B76" s="34" t="inlineStr">
        <is>
          <t>ยาที่จะทำให้อยู่ในรูปของ control release จะต้องมีคุณสมบัติอย่างไร</t>
        </is>
      </c>
      <c r="C76" s="35" t="n"/>
      <c r="D76" s="34" t="inlineStr">
        <is>
          <t>ยาละลายน้ำได้ดี</t>
        </is>
      </c>
      <c r="E76" s="34" t="inlineStr">
        <is>
          <t>มีค่าครึ่งชีวิตยาว</t>
        </is>
      </c>
      <c r="F76" s="34" t="inlineStr">
        <is>
          <t>มีดัชนีการรักษาแคบ</t>
        </is>
      </c>
      <c r="G76" s="34" t="inlineStr">
        <is>
          <t>สลายตัวได้ง่ายที่สภาวะเป็นกรด</t>
        </is>
      </c>
      <c r="H76" s="34" t="inlineStr">
        <is>
          <t>เหมาะกับยาที่มีโมเลกุลขนาดใหญ่</t>
        </is>
      </c>
      <c r="I76" s="35" t="n">
        <v>1</v>
      </c>
      <c r="J76" s="34" t="inlineStr">
        <is>
          <t>✅ คำตอบที่ถูกต้อง: ข้อ ก. ยาละลายน้ำได้ดี
💡 Background:
คำถามข้อสอบจริงใบประกอบวิชาชีพ PLE-CC 1 (Product) ปี 2561 ข้อ 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6" s="35" t="n"/>
      <c r="L76" s="34" t="inlineStr">
        <is>
          <t>Pharmaceutical Technology General</t>
        </is>
      </c>
      <c r="M76" s="35" t="inlineStr">
        <is>
          <t>Product</t>
        </is>
      </c>
      <c r="N76" s="34" t="inlineStr">
        <is>
          <t>ข้อสอบจริง Product ปี 2561 ข้อ 3</t>
        </is>
      </c>
      <c r="O76" s="35" t="inlineStr">
        <is>
          <t>ข้อสอบจริง</t>
        </is>
      </c>
      <c r="P76" s="35" t="inlineStr">
        <is>
          <t>ปี 2561</t>
        </is>
      </c>
    </row>
    <row r="77" ht="409.6" customHeight="1" s="49">
      <c r="A77" s="35" t="n">
        <v>75</v>
      </c>
      <c r="B77" s="34" t="inlineStr">
        <is>
          <t>ส่วนประกอบของสูตรเคลือบฟิล์มของยา ferrous sulfate ข้อใดถูกต้อง</t>
        </is>
      </c>
      <c r="C77" s="35" t="n"/>
      <c r="D77" s="34" t="inlineStr">
        <is>
          <t>Talcum ทำหน้าที่เป็นสารก่อฟิล์ม</t>
        </is>
      </c>
      <c r="E77" s="34" t="inlineStr">
        <is>
          <t>Ethyl alcohol ทำหน้าที่เป็น antioxidant</t>
        </is>
      </c>
      <c r="F77" s="34" t="inlineStr">
        <is>
          <t>Propylene glycol ทำหน้าที่เป็น plasticizer</t>
        </is>
      </c>
      <c r="G77" s="34" t="inlineStr">
        <is>
          <t>Titanium dioxide ทำหน้าที่เป็นสารก่อฟิล์ม</t>
        </is>
      </c>
      <c r="H77" s="34" t="inlineStr">
        <is>
          <t>Hydroxymethylpropyl cellulose ทำหน้าที่เป็นสารทึบแสง</t>
        </is>
      </c>
      <c r="I77" s="35" t="n">
        <v>1</v>
      </c>
      <c r="J77" s="34" t="inlineStr">
        <is>
          <t>✅ คำตอบที่ถูกต้อง: ข้อ ก. Talcum ทำหน้าที่เป็นสารก่อฟิล์ม
💡 Background:
คำถามข้อสอบจริงใบประกอบวิชาชีพ PLE-CC 1 (Product) ปี 2561 ข้อ 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7" s="35" t="n"/>
      <c r="L77" s="34" t="inlineStr">
        <is>
          <t>Pharmaceutical Technology General</t>
        </is>
      </c>
      <c r="M77" s="35" t="inlineStr">
        <is>
          <t>Product</t>
        </is>
      </c>
      <c r="N77" s="34" t="inlineStr">
        <is>
          <t>ข้อสอบจริง Product ปี 2561 ข้อ 4</t>
        </is>
      </c>
      <c r="O77" s="35" t="inlineStr">
        <is>
          <t>ข้อสอบจริง</t>
        </is>
      </c>
      <c r="P77" s="35" t="inlineStr">
        <is>
          <t>ปี 2561</t>
        </is>
      </c>
    </row>
    <row r="78" ht="409.6" customHeight="1" s="49">
      <c r="A78" s="35" t="n">
        <v>76</v>
      </c>
      <c r="B78" s="34" t="inlineStr">
        <is>
          <t>จากระบบยาข้อ 59 ตัวยามีการปลดปล่อยด้วยปฏิกิริยาลำดับใด</t>
        </is>
      </c>
      <c r="C78" s="35" t="n"/>
      <c r="D78" s="34" t="inlineStr">
        <is>
          <t>First order</t>
        </is>
      </c>
      <c r="E78" s="34" t="inlineStr">
        <is>
          <t>Zero order</t>
        </is>
      </c>
      <c r="F78" s="34" t="inlineStr">
        <is>
          <t>Second order</t>
        </is>
      </c>
      <c r="G78" s="34" t="inlineStr">
        <is>
          <t>Pseudo first order</t>
        </is>
      </c>
      <c r="H78" s="34" t="inlineStr">
        <is>
          <t>Pseudo zero order</t>
        </is>
      </c>
      <c r="I78" s="35" t="n">
        <v>1</v>
      </c>
      <c r="J78" s="34" t="inlineStr">
        <is>
          <t>✅ คำตอบที่ถูกต้อง: ข้อ ก. First order
💡 Background:
คำถามข้อสอบจริงใบประกอบวิชาชีพ PLE-CC 1 (Product) ปี 2561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8" s="35" t="n"/>
      <c r="L78" s="34" t="inlineStr">
        <is>
          <t>Pharmaceutical Technology General</t>
        </is>
      </c>
      <c r="M78" s="35" t="inlineStr">
        <is>
          <t>Product</t>
        </is>
      </c>
      <c r="N78" s="34" t="inlineStr">
        <is>
          <t>ข้อสอบจริง Product ปี 2561 ข้อ 14</t>
        </is>
      </c>
      <c r="O78" s="35" t="inlineStr">
        <is>
          <t>ข้อสอบจริง</t>
        </is>
      </c>
      <c r="P78" s="35" t="inlineStr">
        <is>
          <t>ปี 2561</t>
        </is>
      </c>
    </row>
    <row r="79" ht="409.6" customHeight="1" s="49">
      <c r="A79" s="35" t="n">
        <v>77</v>
      </c>
      <c r="B79" s="34" t="inlineStr">
        <is>
          <t>Polysorbate 80 ทำหน้าที่ใดในตำรับ</t>
        </is>
      </c>
      <c r="C79" s="35" t="n"/>
      <c r="D79" s="34" t="inlineStr">
        <is>
          <t>Anti-oxidant</t>
        </is>
      </c>
      <c r="E79" s="34" t="inlineStr">
        <is>
          <t>Wetting agent</t>
        </is>
      </c>
      <c r="F79" s="34" t="inlineStr">
        <is>
          <t>Reducing agent</t>
        </is>
      </c>
      <c r="G79" s="34" t="inlineStr">
        <is>
          <t>Solubilizing agent</t>
        </is>
      </c>
      <c r="H79" s="34" t="inlineStr">
        <is>
          <t>Emulsifying agent</t>
        </is>
      </c>
      <c r="I79" s="35" t="n">
        <v>1</v>
      </c>
      <c r="J79" s="34" t="inlineStr">
        <is>
          <t>✅ คำตอบที่ถูกต้อง: ข้อ ก. Anti-oxidant
💡 Background:
คำถามข้อสอบจริงใบประกอบวิชาชีพ PLE-CC 1 (Product) ปี 2561 ข้อ 23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79" s="35" t="n"/>
      <c r="L79" s="34" t="inlineStr">
        <is>
          <t>Pharmaceutical Technology General</t>
        </is>
      </c>
      <c r="M79" s="35" t="inlineStr">
        <is>
          <t>Product</t>
        </is>
      </c>
      <c r="N79" s="34" t="inlineStr">
        <is>
          <t>ข้อสอบจริง Product ปี 2561 ข้อ 23</t>
        </is>
      </c>
      <c r="O79" s="35" t="inlineStr">
        <is>
          <t>ข้อสอบจริง</t>
        </is>
      </c>
      <c r="P79" s="35" t="inlineStr">
        <is>
          <t>ปี 2561</t>
        </is>
      </c>
    </row>
    <row r="80" ht="409.6" customHeight="1" s="49">
      <c r="A80" s="35" t="n">
        <v>78</v>
      </c>
      <c r="B80" s="34" t="inlineStr">
        <is>
          <t>หากต้องการเพาะเชื้อเพื่อนับจำนวนเชื้อวิธีใดเหมาะสมที่สุด</t>
        </is>
      </c>
      <c r="C80" s="35" t="n"/>
      <c r="D80" s="34" t="inlineStr">
        <is>
          <t>Pour plate</t>
        </is>
      </c>
      <c r="E80" s="34" t="inlineStr">
        <is>
          <t>Spread plate</t>
        </is>
      </c>
      <c r="F80" s="34" t="inlineStr">
        <is>
          <t>Agar slant</t>
        </is>
      </c>
      <c r="G80" s="34" t="inlineStr">
        <is>
          <t>Three sector streak</t>
        </is>
      </c>
      <c r="H80" s="34" t="inlineStr">
        <is>
          <t>Quadrant streak</t>
        </is>
      </c>
      <c r="I80" s="35" t="n">
        <v>1</v>
      </c>
      <c r="J80" s="34" t="inlineStr">
        <is>
          <t>✅ คำตอบที่ถูกต้อง: ข้อ ก. Pour plate
💡 Background:
คำถามข้อสอบจริงใบประกอบวิชาชีพ PLE-CC 1 (Product) ปี 2561 ข้อ 27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0" s="35" t="n"/>
      <c r="L80" s="34" t="inlineStr">
        <is>
          <t>Pharmaceutical Technology General</t>
        </is>
      </c>
      <c r="M80" s="35" t="inlineStr">
        <is>
          <t>Product</t>
        </is>
      </c>
      <c r="N80" s="34" t="inlineStr">
        <is>
          <t>ข้อสอบจริง Product ปี 2561 ข้อ 27</t>
        </is>
      </c>
      <c r="O80" s="35" t="inlineStr">
        <is>
          <t>ข้อสอบจริง</t>
        </is>
      </c>
      <c r="P80" s="35" t="inlineStr">
        <is>
          <t>ปี 2561</t>
        </is>
      </c>
    </row>
    <row r="81" ht="409.6" customHeight="1" s="49">
      <c r="A81" s="35" t="n">
        <v>79</v>
      </c>
      <c r="B81" s="34" t="inlineStr">
        <is>
          <t>หากเพาะเชื้อโดยใช้อาหาร aerobic bacteria จะไม่สามารถตรวจพบเชื้อใด</t>
        </is>
      </c>
      <c r="C81" s="35" t="n"/>
      <c r="D81" s="34" t="inlineStr">
        <is>
          <t>S. aureaus</t>
        </is>
      </c>
      <c r="E81" s="34" t="inlineStr">
        <is>
          <t>H. influenzae</t>
        </is>
      </c>
      <c r="F81" s="34" t="inlineStr">
        <is>
          <t>Escherichia coli</t>
        </is>
      </c>
      <c r="G81" s="34" t="inlineStr">
        <is>
          <t>Klebsiella pneumoniae</t>
        </is>
      </c>
      <c r="H81" s="34" t="inlineStr">
        <is>
          <t>Clostridium botulinum</t>
        </is>
      </c>
      <c r="I81" s="35" t="n">
        <v>1</v>
      </c>
      <c r="J81" s="34" t="inlineStr">
        <is>
          <t>✅ คำตอบที่ถูกต้อง: ข้อ ก. S. aureaus
💡 Background:
คำถามข้อสอบจริงใบประกอบวิชาชีพ PLE-CC 1 (Product) ปี 2561 ข้อ 28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1" s="35" t="n"/>
      <c r="L81" s="34" t="inlineStr">
        <is>
          <t>Pharmaceutical Technology General</t>
        </is>
      </c>
      <c r="M81" s="35" t="inlineStr">
        <is>
          <t>Product</t>
        </is>
      </c>
      <c r="N81" s="34" t="inlineStr">
        <is>
          <t>ข้อสอบจริง Product ปี 2561 ข้อ 28</t>
        </is>
      </c>
      <c r="O81" s="35" t="inlineStr">
        <is>
          <t>ข้อสอบจริง</t>
        </is>
      </c>
      <c r="P81" s="35" t="inlineStr">
        <is>
          <t>ปี 2561</t>
        </is>
      </c>
    </row>
    <row r="82" ht="409.6" customHeight="1" s="49">
      <c r="A82" s="35" t="n">
        <v>80</v>
      </c>
      <c r="B82" s="34" t="inlineStr">
        <is>
          <t>จากตารางการทดสอบดูความคงตัวของยาชนิดหนึ่ง กำหนดให้ %LA = 112% (ปริมาณตัวยาสำคัญ % / เวลา: 101/3เดือน, 99/6เดือน, 98/1ปี, 88/2ปี, 87/3ปี) [แนบรูป: ข้อสอบ Product ปี 2561 รหัสรูปภาพ image107]</t>
        </is>
      </c>
      <c r="C82" s="35" t="inlineStr">
        <is>
          <t>[แนบรูป: ข้อสอบ Product ปี 2561 รหัสรูปภาพ image107]</t>
        </is>
      </c>
      <c r="D82" s="34" t="inlineStr">
        <is>
          <t>3 เดือน</t>
        </is>
      </c>
      <c r="E82" s="34" t="inlineStr">
        <is>
          <t>6 เดือน</t>
        </is>
      </c>
      <c r="F82" s="34" t="inlineStr">
        <is>
          <t>1 ปี</t>
        </is>
      </c>
      <c r="G82" s="34" t="inlineStr">
        <is>
          <t>2 ปี</t>
        </is>
      </c>
      <c r="H82" s="34" t="inlineStr">
        <is>
          <t>3 ปี</t>
        </is>
      </c>
      <c r="I82" s="35" t="n">
        <v>1</v>
      </c>
      <c r="J82" s="34" t="inlineStr">
        <is>
          <t>✅ คำตอบที่ถูกต้อง: ข้อ ก. 3 เดือน
💡 Background:
คำถามข้อสอบจริงใบประกอบวิชาชีพ PLE-CC 1 (Product) ปี 2561 ข้อ 29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2" s="35" t="n"/>
      <c r="L82" s="34" t="inlineStr">
        <is>
          <t>Pharmaceutical Technology General</t>
        </is>
      </c>
      <c r="M82" s="35" t="inlineStr">
        <is>
          <t>Product</t>
        </is>
      </c>
      <c r="N82" s="34" t="inlineStr">
        <is>
          <t>ข้อสอบจริง Product ปี 2561 ข้อ 29</t>
        </is>
      </c>
      <c r="O82" s="35" t="inlineStr">
        <is>
          <t>ข้อสอบจริง</t>
        </is>
      </c>
      <c r="P82" s="35" t="inlineStr">
        <is>
          <t>ปี 2561</t>
        </is>
      </c>
    </row>
    <row r="83" ht="409.6" customHeight="1" s="49">
      <c r="A83" s="35" t="n">
        <v>81</v>
      </c>
      <c r="B83" s="34" t="inlineStr">
        <is>
          <t>ยา HCTZ 25 mg/tab น้ำหนักเม็ดยา 1 เม็ดเท่ากับ 100 mg ควรทดสอบในหัวข้อ uniformity of dosage unit USP41 อย่างไร</t>
        </is>
      </c>
      <c r="C83" s="35" t="n"/>
      <c r="D83" s="34" t="inlineStr">
        <is>
          <t>WV เพราะตัวยาสำคัญตั้งแต่ 25 mg ขึ้นไป</t>
        </is>
      </c>
      <c r="E83" s="34" t="inlineStr">
        <is>
          <t>CU เพราะตัวยาสำคัญ น้อยกว่า 25 mg และสัดส่วนตัวยาสำคัญ คิดเป็น 25%</t>
        </is>
      </c>
      <c r="F83" s="34" t="inlineStr">
        <is>
          <t>CU เพราะตัวยาสำคัญ น้อยกว่า 25 mg หรือสัดส่วนตัวยาสำคัญ คิดเป็น 25%</t>
        </is>
      </c>
      <c r="G83" s="34" t="inlineStr">
        <is>
          <t>WV เพราะตัวยาสำคัญตั้งแต่ 25 mg และสัดส่วนตัวยาสำคัญ คิดเป็น 25%</t>
        </is>
      </c>
      <c r="H83" s="34" t="inlineStr">
        <is>
          <t>WV เพราะตัวยาสำคัญตั้งแต่ 25 mg หรือสัดส่วนตัวยาสำคัญ คิดเป็น 25%</t>
        </is>
      </c>
      <c r="I83" s="35" t="n">
        <v>1</v>
      </c>
      <c r="J83" s="34" t="inlineStr">
        <is>
          <t>✅ คำตอบที่ถูกต้อง: ข้อ ก. WV เพราะตัวยาสำคัญตั้งแต่ 25 mg ขึ้นไป
💡 Background:
คำถามข้อสอบจริงใบประกอบวิชาชีพ PLE-CC 1 (Product) ปี 2561 ข้อ 32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3" s="35" t="n"/>
      <c r="L83" s="34" t="inlineStr">
        <is>
          <t>Pharmaceutical Technology General</t>
        </is>
      </c>
      <c r="M83" s="35" t="inlineStr">
        <is>
          <t>Product</t>
        </is>
      </c>
      <c r="N83" s="34" t="inlineStr">
        <is>
          <t>ข้อสอบจริง Product ปี 2561 ข้อ 32</t>
        </is>
      </c>
      <c r="O83" s="35" t="inlineStr">
        <is>
          <t>ข้อสอบจริง</t>
        </is>
      </c>
      <c r="P83" s="35" t="inlineStr">
        <is>
          <t>ปี 2561</t>
        </is>
      </c>
    </row>
    <row r="84" ht="409.6" customHeight="1" s="49">
      <c r="A84" s="35" t="n">
        <v>82</v>
      </c>
      <c r="B84" s="34" t="inlineStr">
        <is>
          <t>ข้อใดไม่ใช่คุณสมบัติในการออกแบบ ideal inhale corticosteroid</t>
        </is>
      </c>
      <c r="C84" s="35" t="n"/>
      <c r="D84" s="34" t="inlineStr">
        <is>
          <t>High lipophilicity</t>
        </is>
      </c>
      <c r="E84" s="34" t="inlineStr">
        <is>
          <t>High system absorption</t>
        </is>
      </c>
      <c r="F84" s="34" t="inlineStr">
        <is>
          <t>High affinity steroid receptor</t>
        </is>
      </c>
      <c r="G84" s="34" t="inlineStr">
        <is>
          <t>Topical action</t>
        </is>
      </c>
      <c r="H84" s="34" t="inlineStr">
        <is>
          <t>Less side effect</t>
        </is>
      </c>
      <c r="I84" s="35" t="n">
        <v>1</v>
      </c>
      <c r="J84" s="34" t="inlineStr">
        <is>
          <t>✅ คำตอบที่ถูกต้อง: ข้อ ก. High lipophilicity
💡 Background:
คำถามข้อสอบจริงใบประกอบวิชาชีพ PLE-CC 1 (Product) ปี 2561 ข้อ 33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4" s="35" t="n"/>
      <c r="L84" s="34" t="inlineStr">
        <is>
          <t>Pharmaceutical Technology General</t>
        </is>
      </c>
      <c r="M84" s="35" t="inlineStr">
        <is>
          <t>Product</t>
        </is>
      </c>
      <c r="N84" s="34" t="inlineStr">
        <is>
          <t>ข้อสอบจริง Product ปี 2561 ข้อ 33</t>
        </is>
      </c>
      <c r="O84" s="35" t="inlineStr">
        <is>
          <t>ข้อสอบจริง</t>
        </is>
      </c>
      <c r="P84" s="35" t="inlineStr">
        <is>
          <t>ปี 2561</t>
        </is>
      </c>
    </row>
    <row r="85" ht="409.6" customHeight="1" s="49">
      <c r="A85" s="35" t="n">
        <v>83</v>
      </c>
      <c r="B85" s="34" t="inlineStr">
        <is>
          <t>ข้อใดไม่ใช่เทคนิค ในการทำยาที่ดูดซึมผ่านผิวหนัง</t>
        </is>
      </c>
      <c r="C85" s="35" t="n"/>
      <c r="D85" s="34" t="inlineStr">
        <is>
          <t>Microneedle</t>
        </is>
      </c>
      <c r="E85" s="34" t="inlineStr">
        <is>
          <t>Iontophoresis</t>
        </is>
      </c>
      <c r="F85" s="34" t="inlineStr">
        <is>
          <t>Gamma radiation</t>
        </is>
      </c>
      <c r="G85" s="34" t="inlineStr">
        <is>
          <t>Passive diffusion</t>
        </is>
      </c>
      <c r="H85" s="34" t="inlineStr">
        <is>
          <t>Permeable enhancer</t>
        </is>
      </c>
      <c r="I85" s="35" t="n">
        <v>1</v>
      </c>
      <c r="J85" s="34" t="inlineStr">
        <is>
          <t>✅ คำตอบที่ถูกต้อง: ข้อ ก. Microneedle
💡 Background:
คำถามข้อสอบจริงใบประกอบวิชาชีพ PLE-CC 1 (Product) ปี 2561 ข้อ 38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5" s="35" t="n"/>
      <c r="L85" s="34" t="inlineStr">
        <is>
          <t>Pharmaceutical Technology General</t>
        </is>
      </c>
      <c r="M85" s="35" t="inlineStr">
        <is>
          <t>Product</t>
        </is>
      </c>
      <c r="N85" s="34" t="inlineStr">
        <is>
          <t>ข้อสอบจริง Product ปี 2561 ข้อ 38</t>
        </is>
      </c>
      <c r="O85" s="35" t="inlineStr">
        <is>
          <t>ข้อสอบจริง</t>
        </is>
      </c>
      <c r="P85" s="35" t="inlineStr">
        <is>
          <t>ปี 2561</t>
        </is>
      </c>
    </row>
    <row r="86" ht="409.6" customHeight="1" s="49">
      <c r="A86" s="35" t="n">
        <v>84</v>
      </c>
      <c r="B86" s="34" t="inlineStr">
        <is>
          <t>หากต้องการเตรียม atenolol 0.2%w/v ปริมาตร 50 ml จะต้องใช้ atenolol 25 mg/tab จำนวนกี่เม็ด</t>
        </is>
      </c>
      <c r="C86" s="35" t="n"/>
      <c r="D86" s="34" t="inlineStr">
        <is>
          <t>2</t>
        </is>
      </c>
      <c r="E86" s="34" t="inlineStr">
        <is>
          <t>3</t>
        </is>
      </c>
      <c r="F86" s="34" t="inlineStr">
        <is>
          <t>4</t>
        </is>
      </c>
      <c r="G86" s="34" t="inlineStr">
        <is>
          <t>5</t>
        </is>
      </c>
      <c r="H86" s="34" t="inlineStr">
        <is>
          <t>6</t>
        </is>
      </c>
      <c r="I86" s="35" t="n">
        <v>1</v>
      </c>
      <c r="J86" s="34" t="inlineStr">
        <is>
          <t>✅ คำตอบที่ถูกต้อง: ข้อ ก. 2
💡 Background:
คำถามข้อสอบจริงใบประกอบวิชาชีพ PLE-CC 1 (Product) ปี 2561 ข้อ 43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6" s="35" t="n"/>
      <c r="L86" s="34" t="inlineStr">
        <is>
          <t>Pharmaceutical Technology General</t>
        </is>
      </c>
      <c r="M86" s="35" t="inlineStr">
        <is>
          <t>Product</t>
        </is>
      </c>
      <c r="N86" s="34" t="inlineStr">
        <is>
          <t>ข้อสอบจริง Product ปี 2561 ข้อ 43</t>
        </is>
      </c>
      <c r="O86" s="35" t="inlineStr">
        <is>
          <t>ข้อสอบจริง</t>
        </is>
      </c>
      <c r="P86" s="35" t="inlineStr">
        <is>
          <t>ปี 2561</t>
        </is>
      </c>
    </row>
    <row r="87" ht="409.6" customHeight="1" s="49">
      <c r="A87" s="35" t="n">
        <v>85</v>
      </c>
      <c r="B87" s="34" t="inlineStr">
        <is>
          <t>ข้อใดคือสภาวะในการทดสอบความคงตัวของยาในประเทศไทย</t>
        </is>
      </c>
      <c r="C87" s="35" t="n"/>
      <c r="D87" s="34" t="inlineStr">
        <is>
          <t>25°C / 70% RH</t>
        </is>
      </c>
      <c r="E87" s="34" t="inlineStr">
        <is>
          <t>25°C / 75% RH</t>
        </is>
      </c>
      <c r="F87" s="34" t="inlineStr">
        <is>
          <t>30°C / 70% RH</t>
        </is>
      </c>
      <c r="G87" s="34" t="inlineStr">
        <is>
          <t>30°C / 75% RH</t>
        </is>
      </c>
      <c r="H87" s="34" t="inlineStr">
        <is>
          <t>40°C / 70% RH</t>
        </is>
      </c>
      <c r="I87" s="35" t="n">
        <v>1</v>
      </c>
      <c r="J87" s="34" t="inlineStr">
        <is>
          <t>✅ คำตอบที่ถูกต้อง: ข้อ ก. 25°C / 70% RH
💡 Background:
คำถามข้อสอบจริงใบประกอบวิชาชีพ PLE-CC 1 (Product) ปี 2561 ข้อ 44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7" s="35" t="n"/>
      <c r="L87" s="34" t="inlineStr">
        <is>
          <t>Pharmaceutical Technology General</t>
        </is>
      </c>
      <c r="M87" s="35" t="inlineStr">
        <is>
          <t>Product</t>
        </is>
      </c>
      <c r="N87" s="34" t="inlineStr">
        <is>
          <t>ข้อสอบจริง Product ปี 2561 ข้อ 44</t>
        </is>
      </c>
      <c r="O87" s="35" t="inlineStr">
        <is>
          <t>ข้อสอบจริง</t>
        </is>
      </c>
      <c r="P87" s="35" t="inlineStr">
        <is>
          <t>ปี 2561</t>
        </is>
      </c>
    </row>
    <row r="88" ht="409.6" customHeight="1" s="49">
      <c r="A88" s="35" t="n">
        <v>86</v>
      </c>
      <c r="B88" s="34" t="inlineStr">
        <is>
          <t>การบรรจุ diazepam IV ควรทำในห้องสะอาดระดับใด</t>
        </is>
      </c>
      <c r="C88" s="35" t="n"/>
      <c r="D88" s="34" t="inlineStr">
        <is>
          <t>A</t>
        </is>
      </c>
      <c r="E88" s="34" t="inlineStr">
        <is>
          <t>B</t>
        </is>
      </c>
      <c r="F88" s="34" t="inlineStr">
        <is>
          <t>C</t>
        </is>
      </c>
      <c r="G88" s="34" t="inlineStr">
        <is>
          <t>D</t>
        </is>
      </c>
      <c r="H88" s="34" t="inlineStr">
        <is>
          <t>E</t>
        </is>
      </c>
      <c r="I88" s="35" t="n">
        <v>1</v>
      </c>
      <c r="J88" s="34" t="inlineStr">
        <is>
          <t>✅ คำตอบที่ถูกต้อง: ข้อ ก. A
💡 Background:
คำถามข้อสอบจริงใบประกอบวิชาชีพ PLE-CC 1 (Product) ปี 2561 ข้อ 50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88" s="35" t="n"/>
      <c r="L88" s="34" t="inlineStr">
        <is>
          <t>Pharmaceutical Technology General</t>
        </is>
      </c>
      <c r="M88" s="35" t="inlineStr">
        <is>
          <t>Product</t>
        </is>
      </c>
      <c r="N88" s="34" t="inlineStr">
        <is>
          <t>ข้อสอบจริง Product ปี 2561 ข้อ 50</t>
        </is>
      </c>
      <c r="O88" s="35" t="inlineStr">
        <is>
          <t>ข้อสอบจริง</t>
        </is>
      </c>
      <c r="P88" s="35" t="inlineStr">
        <is>
          <t>ปี 2561</t>
        </is>
      </c>
    </row>
    <row r="89" ht="409.6" customHeight="1" s="49">
      <c r="A89" s="35" t="n">
        <v>87</v>
      </c>
      <c r="B89" s="34" t="inlineStr">
        <is>
          <t>บรรจุภัณฑ์ใดเหมาะกับยาที่ไม่ทนแสง และเชื้อ</t>
        </is>
      </c>
      <c r="C89" s="35" t="n"/>
      <c r="D89" s="34" t="inlineStr">
        <is>
          <t>PE bottle</t>
        </is>
      </c>
      <c r="E89" s="34" t="inlineStr">
        <is>
          <t>PVC bottle</t>
        </is>
      </c>
      <c r="F89" s="34" t="inlineStr">
        <is>
          <t>Glass amber type ll</t>
        </is>
      </c>
      <c r="G89" s="34" t="inlineStr">
        <is>
          <t>Glass amber type lll</t>
        </is>
      </c>
      <c r="H89" s="34" t="inlineStr">
        <is>
          <t>Hermetic tight light container</t>
        </is>
      </c>
      <c r="I89" s="35" t="n">
        <v>1</v>
      </c>
      <c r="J89" s="34" t="inlineStr">
        <is>
          <t>✅ คำตอบที่ถูกต้อง: ข้อ ก. PE bottle
💡 Background:
คำถามข้อสอบจริงใบประกอบวิชาชีพ PLE-CC 1 (Product) ปี 2561 ข้อ 61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89" s="35" t="n"/>
      <c r="L89" s="34" t="inlineStr">
        <is>
          <t>Preformulation &amp; Good Manufacturing Practice</t>
        </is>
      </c>
      <c r="M89" s="35" t="inlineStr">
        <is>
          <t>Product</t>
        </is>
      </c>
      <c r="N89" s="34" t="inlineStr">
        <is>
          <t>ข้อสอบจริง Product ปี 2561 ข้อ 61</t>
        </is>
      </c>
      <c r="O89" s="35" t="inlineStr">
        <is>
          <t>ข้อสอบจริง</t>
        </is>
      </c>
      <c r="P89" s="35" t="inlineStr">
        <is>
          <t>ปี 2561</t>
        </is>
      </c>
    </row>
    <row r="90" ht="409.6" customHeight="1" s="49">
      <c r="A90" s="35" t="n">
        <v>88</v>
      </c>
      <c r="B90" s="34" t="inlineStr">
        <is>
          <t>ยาคุมกำเนิด Norplant® มีตัวยา levonorgestrel ลักษณะเป็นผลึกรูปทรงกระบอก ไม่มีรูพรุน คุมกำเนิดได้นาน 5 ปี ข้อใดไม่มีผลต่อการปลดปล่อยยา</t>
        </is>
      </c>
      <c r="C90" s="35" t="n"/>
      <c r="D90" s="34" t="inlineStr">
        <is>
          <t>Solubility</t>
        </is>
      </c>
      <c r="E90" s="34" t="inlineStr">
        <is>
          <t>Device shape</t>
        </is>
      </c>
      <c r="F90" s="34" t="inlineStr">
        <is>
          <t>Partition coefficient</t>
        </is>
      </c>
      <c r="G90" s="34" t="inlineStr">
        <is>
          <t>Diffusion coefficient of drug</t>
        </is>
      </c>
      <c r="H90" s="34" t="inlineStr">
        <is>
          <t>Physiological pH of implant site</t>
        </is>
      </c>
      <c r="I90" s="35" t="n">
        <v>1</v>
      </c>
      <c r="J90" s="34" t="inlineStr">
        <is>
          <t>✅ คำตอบที่ถูกต้อง: ข้อ ก. Solubility
💡 Background:
คำถามข้อสอบจริงใบประกอบวิชาชีพ PLE-CC 1 (Product) ปี 2561 ข้อ 62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0" s="35" t="n"/>
      <c r="L90" s="34" t="inlineStr">
        <is>
          <t>Pharmaceutical Technology General</t>
        </is>
      </c>
      <c r="M90" s="35" t="inlineStr">
        <is>
          <t>Product</t>
        </is>
      </c>
      <c r="N90" s="34" t="inlineStr">
        <is>
          <t>ข้อสอบจริง Product ปี 2561 ข้อ 62</t>
        </is>
      </c>
      <c r="O90" s="35" t="inlineStr">
        <is>
          <t>ข้อสอบจริง</t>
        </is>
      </c>
      <c r="P90" s="35" t="inlineStr">
        <is>
          <t>ปี 2561</t>
        </is>
      </c>
    </row>
    <row r="91" ht="409.6" customHeight="1" s="49">
      <c r="A91" s="35" t="n">
        <v>89</v>
      </c>
      <c r="B91" s="34" t="inlineStr">
        <is>
          <t>สาร sodium metabisulfite ทำหน้าที่อะไร</t>
        </is>
      </c>
      <c r="C91" s="35" t="n"/>
      <c r="D91" s="34" t="inlineStr">
        <is>
          <t>ป้องกัน hydrolysis</t>
        </is>
      </c>
      <c r="E91" s="34" t="inlineStr">
        <is>
          <t>ป้องกัน oxidation</t>
        </is>
      </c>
      <c r="F91" s="34" t="inlineStr">
        <is>
          <t>ป้องกัน reduction</t>
        </is>
      </c>
      <c r="G91" s="34" t="inlineStr">
        <is>
          <t>ป้องกัน precipitation</t>
        </is>
      </c>
      <c r="H91" s="34" t="inlineStr">
        <is>
          <t>ป้องกัน microbial growth</t>
        </is>
      </c>
      <c r="I91" s="35" t="n">
        <v>1</v>
      </c>
      <c r="J91" s="34" t="inlineStr">
        <is>
          <t>✅ คำตอบที่ถูกต้อง: ข้อ ก. ป้องกัน hydrolysis
💡 Background:
คำถามข้อสอบจริงใบประกอบวิชาชีพ PLE-CC 1 (Product) ปี 2561 ข้อ 64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1" s="35" t="n"/>
      <c r="L91" s="34" t="inlineStr">
        <is>
          <t>Pharmaceutical Technology General</t>
        </is>
      </c>
      <c r="M91" s="35" t="inlineStr">
        <is>
          <t>Product</t>
        </is>
      </c>
      <c r="N91" s="34" t="inlineStr">
        <is>
          <t>ข้อสอบจริง Product ปี 2561 ข้อ 64</t>
        </is>
      </c>
      <c r="O91" s="35" t="inlineStr">
        <is>
          <t>ข้อสอบจริง</t>
        </is>
      </c>
      <c r="P91" s="35" t="inlineStr">
        <is>
          <t>ปี 2561</t>
        </is>
      </c>
    </row>
    <row r="92" ht="409.6" customHeight="1" s="49">
      <c r="A92" s="35" t="n">
        <v>90</v>
      </c>
      <c r="B92" s="34" t="inlineStr">
        <is>
          <t>หากต้องการเปลี่ยน sweetening agent จาก sucrose เป็นสารอื่นไม่ควรใช้สารใด</t>
        </is>
      </c>
      <c r="C92" s="35" t="n"/>
      <c r="D92" s="34" t="inlineStr">
        <is>
          <t>PG</t>
        </is>
      </c>
      <c r="E92" s="34" t="inlineStr">
        <is>
          <t>PEG</t>
        </is>
      </c>
      <c r="F92" s="34" t="inlineStr">
        <is>
          <t>Sorbitol</t>
        </is>
      </c>
      <c r="G92" s="34" t="inlineStr">
        <is>
          <t>Aspartame</t>
        </is>
      </c>
      <c r="H92" s="34" t="inlineStr">
        <is>
          <t>Saccharin sodium</t>
        </is>
      </c>
      <c r="I92" s="35" t="n">
        <v>1</v>
      </c>
      <c r="J92" s="34" t="inlineStr">
        <is>
          <t>✅ คำตอบที่ถูกต้อง: ข้อ ก. PG
💡 Background:
คำถามข้อสอบจริงใบประกอบวิชาชีพ PLE-CC 1 (Product) ปี 2561 ข้อ 65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2" s="35" t="n"/>
      <c r="L92" s="34" t="inlineStr">
        <is>
          <t>Pharmaceutical Technology General</t>
        </is>
      </c>
      <c r="M92" s="35" t="inlineStr">
        <is>
          <t>Product</t>
        </is>
      </c>
      <c r="N92" s="34" t="inlineStr">
        <is>
          <t>ข้อสอบจริง Product ปี 2561 ข้อ 65</t>
        </is>
      </c>
      <c r="O92" s="35" t="inlineStr">
        <is>
          <t>ข้อสอบจริง</t>
        </is>
      </c>
      <c r="P92" s="35" t="inlineStr">
        <is>
          <t>ปี 2561</t>
        </is>
      </c>
    </row>
    <row r="93" ht="409.6" customHeight="1" s="49">
      <c r="A93" s="35" t="n">
        <v>91</v>
      </c>
      <c r="B93" s="34" t="inlineStr">
        <is>
          <t>จากสูตรยาถ้าต้องการเตรียม morphine sulphate ปริมาตร 2 L จะต้องใช้ morphine sulphate กี่กรัม</t>
        </is>
      </c>
      <c r="C93" s="35" t="n"/>
      <c r="D93" s="34" t="inlineStr">
        <is>
          <t>0.2 g</t>
        </is>
      </c>
      <c r="E93" s="34" t="inlineStr">
        <is>
          <t>0.4 g</t>
        </is>
      </c>
      <c r="F93" s="34" t="inlineStr">
        <is>
          <t>2 g</t>
        </is>
      </c>
      <c r="G93" s="34" t="inlineStr">
        <is>
          <t>4 g</t>
        </is>
      </c>
      <c r="H93" s="34" t="inlineStr">
        <is>
          <t>20 g</t>
        </is>
      </c>
      <c r="I93" s="35" t="n">
        <v>1</v>
      </c>
      <c r="J93" s="34" t="inlineStr">
        <is>
          <t>✅ คำตอบที่ถูกต้อง: ข้อ ก. 0.2 g
💡 Background:
คำถามข้อสอบจริงใบประกอบวิชาชีพ PLE-CC 1 (Product) ปี 2561 ข้อ 66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3" s="35" t="n"/>
      <c r="L93" s="34" t="inlineStr">
        <is>
          <t>Pharmaceutical Technology General</t>
        </is>
      </c>
      <c r="M93" s="35" t="inlineStr">
        <is>
          <t>Product</t>
        </is>
      </c>
      <c r="N93" s="34" t="inlineStr">
        <is>
          <t>ข้อสอบจริง Product ปี 2561 ข้อ 66</t>
        </is>
      </c>
      <c r="O93" s="35" t="inlineStr">
        <is>
          <t>ข้อสอบจริง</t>
        </is>
      </c>
      <c r="P93" s="35" t="inlineStr">
        <is>
          <t>ปี 2561</t>
        </is>
      </c>
    </row>
    <row r="94" ht="409.6" customHeight="1" s="49">
      <c r="A94" s="35" t="n">
        <v>92</v>
      </c>
      <c r="B94" s="34" t="inlineStr">
        <is>
          <t>หากบริษัทต้องการทำการทดสอบ long term stability ของยา sitagliptin ต้องทำการทดสอบที่สภาวะใด อ้างอิงตาม ASEAN guideline</t>
        </is>
      </c>
      <c r="C94" s="35" t="n"/>
      <c r="D94" s="34" t="inlineStr">
        <is>
          <t>25°C/65%RH</t>
        </is>
      </c>
      <c r="E94" s="34" t="inlineStr">
        <is>
          <t>25°C/75%RH</t>
        </is>
      </c>
      <c r="F94" s="34" t="inlineStr">
        <is>
          <t>30°C/65%RH</t>
        </is>
      </c>
      <c r="G94" s="34" t="inlineStr">
        <is>
          <t>30°C/75%RH</t>
        </is>
      </c>
      <c r="H94" s="34" t="inlineStr">
        <is>
          <t>40°C/75%RH</t>
        </is>
      </c>
      <c r="I94" s="35" t="n">
        <v>1</v>
      </c>
      <c r="J94" s="34" t="inlineStr">
        <is>
          <t>✅ คำตอบที่ถูกต้อง: ข้อ ก. 25°C/65%RH
💡 Background:
คำถามข้อสอบจริงใบประกอบวิชาชีพ PLE-CC 1 (Product) ปี 2561 ข้อ 68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94" s="35" t="n"/>
      <c r="L94" s="34" t="inlineStr">
        <is>
          <t>Preformulation &amp; Good Manufacturing Practice</t>
        </is>
      </c>
      <c r="M94" s="35" t="inlineStr">
        <is>
          <t>Product</t>
        </is>
      </c>
      <c r="N94" s="34" t="inlineStr">
        <is>
          <t>ข้อสอบจริง Product ปี 2561 ข้อ 68</t>
        </is>
      </c>
      <c r="O94" s="35" t="inlineStr">
        <is>
          <t>ข้อสอบจริง</t>
        </is>
      </c>
      <c r="P94" s="35" t="inlineStr">
        <is>
          <t>ปี 2561</t>
        </is>
      </c>
    </row>
    <row r="95" ht="409.6" customHeight="1" s="49">
      <c r="A95" s="35" t="n">
        <v>93</v>
      </c>
      <c r="B95" s="34" t="inlineStr">
        <is>
          <t>Clonazepam 0.5 mg ควรใช้วิธีใดในการตอกเม็ด</t>
        </is>
      </c>
      <c r="C95" s="35" t="n"/>
      <c r="D95" s="34" t="inlineStr">
        <is>
          <t>Fusion method</t>
        </is>
      </c>
      <c r="E95" s="34" t="inlineStr">
        <is>
          <t>Melting method</t>
        </is>
      </c>
      <c r="F95" s="34" t="inlineStr">
        <is>
          <t>Dry granulation</t>
        </is>
      </c>
      <c r="G95" s="34" t="inlineStr">
        <is>
          <t>Wet granulation</t>
        </is>
      </c>
      <c r="H95" s="34" t="inlineStr">
        <is>
          <t>Direct compression</t>
        </is>
      </c>
      <c r="I95" s="35" t="n">
        <v>1</v>
      </c>
      <c r="J95" s="34" t="inlineStr">
        <is>
          <t>✅ คำตอบที่ถูกต้อง: ข้อ ก. Fusion method
💡 Background:
คำถามข้อสอบจริงใบประกอบวิชาชีพ PLE-CC 1 (Product) ปี 2561 ข้อ 70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5" s="35" t="n"/>
      <c r="L95" s="34" t="inlineStr">
        <is>
          <t>Pharmaceutical Technology General</t>
        </is>
      </c>
      <c r="M95" s="35" t="inlineStr">
        <is>
          <t>Product</t>
        </is>
      </c>
      <c r="N95" s="34" t="inlineStr">
        <is>
          <t>ข้อสอบจริง Product ปี 2561 ข้อ 70</t>
        </is>
      </c>
      <c r="O95" s="35" t="inlineStr">
        <is>
          <t>ข้อสอบจริง</t>
        </is>
      </c>
      <c r="P95" s="35" t="inlineStr">
        <is>
          <t>ปี 2561</t>
        </is>
      </c>
    </row>
    <row r="96" ht="409.6" customHeight="1" s="49">
      <c r="A96" s="35" t="n">
        <v>94</v>
      </c>
      <c r="B96" s="34" t="inlineStr">
        <is>
          <t>ข้อใดคือเครื่องวัดขนาดของ aerosol</t>
        </is>
      </c>
      <c r="C96" s="35" t="n"/>
      <c r="D96" s="34" t="inlineStr">
        <is>
          <t>XRPD</t>
        </is>
      </c>
      <c r="E96" s="34" t="inlineStr">
        <is>
          <t>Microscopy</t>
        </is>
      </c>
      <c r="F96" s="34" t="inlineStr">
        <is>
          <t>Cascade impactor</t>
        </is>
      </c>
      <c r="G96" s="34" t="inlineStr">
        <is>
          <t>Laser with labelling</t>
        </is>
      </c>
      <c r="H96" s="34" t="inlineStr">
        <is>
          <t>Dynamic light scattering</t>
        </is>
      </c>
      <c r="I96" s="35" t="n">
        <v>1</v>
      </c>
      <c r="J96" s="34" t="inlineStr">
        <is>
          <t>✅ คำตอบที่ถูกต้อง: ข้อ ก. XRPD
💡 Background:
คำถามข้อสอบจริงใบประกอบวิชาชีพ PLE-CC 1 (Product) ปี 2561 ข้อ 74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6" s="35" t="n"/>
      <c r="L96" s="34" t="inlineStr">
        <is>
          <t>Pharmaceutical Technology General</t>
        </is>
      </c>
      <c r="M96" s="35" t="inlineStr">
        <is>
          <t>Product</t>
        </is>
      </c>
      <c r="N96" s="34" t="inlineStr">
        <is>
          <t>ข้อสอบจริง Product ปี 2561 ข้อ 74</t>
        </is>
      </c>
      <c r="O96" s="35" t="inlineStr">
        <is>
          <t>ข้อสอบจริง</t>
        </is>
      </c>
      <c r="P96" s="35" t="inlineStr">
        <is>
          <t>ปี 2561</t>
        </is>
      </c>
    </row>
    <row r="97" ht="409.6" customHeight="1" s="49">
      <c r="A97" s="35" t="n">
        <v>95</v>
      </c>
      <c r="B97" s="34" t="inlineStr">
        <is>
          <t>ยา sodium alendronate จัดอยู่ใน biopharmaceutical classification system (BCS) Class ใด</t>
        </is>
      </c>
      <c r="C97" s="35" t="n"/>
      <c r="D97" s="34" t="inlineStr">
        <is>
          <t>Non</t>
        </is>
      </c>
      <c r="E97" s="34" t="inlineStr">
        <is>
          <t>BCS I</t>
        </is>
      </c>
      <c r="F97" s="34" t="inlineStr">
        <is>
          <t>BCS II</t>
        </is>
      </c>
      <c r="G97" s="34" t="inlineStr">
        <is>
          <t>BCS III</t>
        </is>
      </c>
      <c r="H97" s="34" t="inlineStr">
        <is>
          <t>BCS IV</t>
        </is>
      </c>
      <c r="I97" s="35" t="n">
        <v>1</v>
      </c>
      <c r="J97" s="34" t="inlineStr">
        <is>
          <t>✅ คำตอบที่ถูกต้อง: ข้อ ก. Non
💡 Background:
คำถามข้อสอบจริงใบประกอบวิชาชีพ PLE-CC 1 (Product) ปี 2561 ข้อ 78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7" s="35" t="n"/>
      <c r="L97" s="34" t="inlineStr">
        <is>
          <t>Pharmaceutical Technology General</t>
        </is>
      </c>
      <c r="M97" s="35" t="inlineStr">
        <is>
          <t>Product</t>
        </is>
      </c>
      <c r="N97" s="34" t="inlineStr">
        <is>
          <t>ข้อสอบจริง Product ปี 2561 ข้อ 78</t>
        </is>
      </c>
      <c r="O97" s="35" t="inlineStr">
        <is>
          <t>ข้อสอบจริง</t>
        </is>
      </c>
      <c r="P97" s="35" t="inlineStr">
        <is>
          <t>ปี 2561</t>
        </is>
      </c>
    </row>
    <row r="98" ht="409.6" customHeight="1" s="49">
      <c r="A98" s="35" t="n">
        <v>96</v>
      </c>
      <c r="B98" s="34" t="inlineStr">
        <is>
          <t>ยา A มี bulk density ต่ำ compressibility ไม่ดี และสลายโดยปฏิกิริยา hydrolysis ควรใช้วิธีการตอกอัดเม็ดแบบใด</t>
        </is>
      </c>
      <c r="C98" s="35" t="n"/>
      <c r="D98" s="34" t="inlineStr">
        <is>
          <t>Direct compression หรือ dry granulation</t>
        </is>
      </c>
      <c r="E98" s="34" t="inlineStr">
        <is>
          <t>Wet (organic solution) หรือ dry granulation</t>
        </is>
      </c>
      <c r="F98" s="34" t="inlineStr">
        <is>
          <t>Wet (aqueous solution) หรือ dry granulation</t>
        </is>
      </c>
      <c r="G98" s="34" t="inlineStr">
        <is>
          <t>Wet (aqueous solution) granulation หรือ direct compression</t>
        </is>
      </c>
      <c r="H98" s="34" t="inlineStr">
        <is>
          <t>Wet (aqueous solution) หรือ wet (organic solution) granulation</t>
        </is>
      </c>
      <c r="I98" s="35" t="n">
        <v>1</v>
      </c>
      <c r="J98" s="34" t="inlineStr">
        <is>
          <t>✅ คำตอบที่ถูกต้อง: ข้อ ก. Direct compression หรือ dry granulation
💡 Background:
คำถามข้อสอบจริงใบประกอบวิชาชีพ PLE-CC 1 (Product) ปี 2561 ข้อ 80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8" s="35" t="n"/>
      <c r="L98" s="34" t="inlineStr">
        <is>
          <t>Pharmaceutical Technology General</t>
        </is>
      </c>
      <c r="M98" s="35" t="inlineStr">
        <is>
          <t>Product</t>
        </is>
      </c>
      <c r="N98" s="34" t="inlineStr">
        <is>
          <t>ข้อสอบจริง Product ปี 2561 ข้อ 80</t>
        </is>
      </c>
      <c r="O98" s="35" t="inlineStr">
        <is>
          <t>ข้อสอบจริง</t>
        </is>
      </c>
      <c r="P98" s="35" t="inlineStr">
        <is>
          <t>ปี 2561</t>
        </is>
      </c>
    </row>
    <row r="99" ht="409.6" customHeight="1" s="49">
      <c r="A99" s="35" t="n">
        <v>97</v>
      </c>
      <c r="B99" s="34" t="inlineStr">
        <is>
          <t>จากการทดสอบสารละลายพบว่า ที่ pH 1.2 ทดสอบ 2 hr ละลายออกมา 2% และเมื่อทดสอบ pH 6.8 ทดสอบ 10 min ละลาย 80% ถามว่ายาดังกล่าวเป็นยาในรูปแบบใด</t>
        </is>
      </c>
      <c r="C99" s="35" t="n"/>
      <c r="D99" s="34" t="inlineStr">
        <is>
          <t>Sustained release</t>
        </is>
      </c>
      <c r="E99" s="34" t="inlineStr">
        <is>
          <t>Extended release</t>
        </is>
      </c>
      <c r="F99" s="34" t="inlineStr">
        <is>
          <t>Delayed release</t>
        </is>
      </c>
      <c r="G99" s="34" t="inlineStr">
        <is>
          <t>Prolong release</t>
        </is>
      </c>
      <c r="H99" s="34" t="inlineStr">
        <is>
          <t>Pump osmotic release</t>
        </is>
      </c>
      <c r="I99" s="35" t="n">
        <v>1</v>
      </c>
      <c r="J99" s="34" t="inlineStr">
        <is>
          <t>✅ คำตอบที่ถูกต้อง: ข้อ ก. Sustained release
💡 Background:
คำถามข้อสอบจริงใบประกอบวิชาชีพ PLE-CC 1 (Product) ปี 2561 ข้อ 81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99" s="35" t="n"/>
      <c r="L99" s="34" t="inlineStr">
        <is>
          <t>Pharmaceutical Technology General</t>
        </is>
      </c>
      <c r="M99" s="35" t="inlineStr">
        <is>
          <t>Product</t>
        </is>
      </c>
      <c r="N99" s="34" t="inlineStr">
        <is>
          <t>ข้อสอบจริง Product ปี 2561 ข้อ 81</t>
        </is>
      </c>
      <c r="O99" s="35" t="inlineStr">
        <is>
          <t>ข้อสอบจริง</t>
        </is>
      </c>
      <c r="P99" s="35" t="inlineStr">
        <is>
          <t>ปี 2561</t>
        </is>
      </c>
    </row>
    <row r="100" ht="409.6" customHeight="1" s="49">
      <c r="A100" s="35" t="n">
        <v>98</v>
      </c>
      <c r="B100" s="34" t="inlineStr">
        <is>
          <t>ข้อใดไม่ใช่ข้อดีของยาในรูปแบบที่ควบคุมการปลดปล่อย (sustained release)</t>
        </is>
      </c>
      <c r="C100" s="35" t="n"/>
      <c r="D100" s="34" t="inlineStr">
        <is>
          <t>ลดอาการข้างเคียง</t>
        </is>
      </c>
      <c r="E100" s="34" t="inlineStr">
        <is>
          <t>ปรับขนาดยาง่ายขึ้น</t>
        </is>
      </c>
      <c r="F100" s="34" t="inlineStr">
        <is>
          <t>ลดความถี่ในการใช้ยา</t>
        </is>
      </c>
      <c r="G100" s="34" t="inlineStr">
        <is>
          <t>เพิ่มการยอมรับของผู้ป่วย</t>
        </is>
      </c>
      <c r="H100" s="34" t="inlineStr">
        <is>
          <t>ลดความแกว่งของยาในเลือด</t>
        </is>
      </c>
      <c r="I100" s="35" t="n">
        <v>1</v>
      </c>
      <c r="J100" s="34" t="inlineStr">
        <is>
          <t>✅ คำตอบที่ถูกต้อง: ข้อ ก. ลดอาการข้างเคียง
💡 Background:
คำถามข้อสอบจริงใบประกอบวิชาชีพ PLE-CC 1 (Product) ปี 2561 ข้อ 82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0" s="35" t="n"/>
      <c r="L100" s="34" t="inlineStr">
        <is>
          <t>Pharmaceutical Technology General</t>
        </is>
      </c>
      <c r="M100" s="35" t="inlineStr">
        <is>
          <t>Product</t>
        </is>
      </c>
      <c r="N100" s="34" t="inlineStr">
        <is>
          <t>ข้อสอบจริง Product ปี 2561 ข้อ 82</t>
        </is>
      </c>
      <c r="O100" s="35" t="inlineStr">
        <is>
          <t>ข้อสอบจริง</t>
        </is>
      </c>
      <c r="P100" s="35" t="inlineStr">
        <is>
          <t>ปี 2561</t>
        </is>
      </c>
    </row>
    <row r="101" ht="409.6" customHeight="1" s="49">
      <c r="A101" s="35" t="n">
        <v>99</v>
      </c>
      <c r="B101" s="34" t="inlineStr">
        <is>
          <t>เคลือบ simvastatin แล้วมีรอยแบ่งและข้อความบนเม็ดยาไม่ชัดเจน คือลักษณะเม็ดยาในข้อใด</t>
        </is>
      </c>
      <c r="C101" s="35" t="n"/>
      <c r="D101" s="34" t="inlineStr">
        <is>
          <t>Pricking</t>
        </is>
      </c>
      <c r="E101" s="34" t="inlineStr">
        <is>
          <t>Bridging</t>
        </is>
      </c>
      <c r="F101" s="34" t="inlineStr">
        <is>
          <t>Blistering</t>
        </is>
      </c>
      <c r="G101" s="34" t="inlineStr">
        <is>
          <t>Cracking</t>
        </is>
      </c>
      <c r="H101" s="34" t="inlineStr">
        <is>
          <t>Orange peeling</t>
        </is>
      </c>
      <c r="I101" s="35" t="n">
        <v>1</v>
      </c>
      <c r="J101" s="34" t="inlineStr">
        <is>
          <t>✅ คำตอบที่ถูกต้อง: ข้อ ก. Pricking
💡 Background:
คำถามข้อสอบจริงใบประกอบวิชาชีพ PLE-CC 1 (Product) ปี 2561 ข้อ 84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1" s="35" t="n"/>
      <c r="L101" s="34" t="inlineStr">
        <is>
          <t>Preformulation &amp; Good Manufacturing Practice</t>
        </is>
      </c>
      <c r="M101" s="35" t="inlineStr">
        <is>
          <t>Product</t>
        </is>
      </c>
      <c r="N101" s="34" t="inlineStr">
        <is>
          <t>ข้อสอบจริง Product ปี 2561 ข้อ 84</t>
        </is>
      </c>
      <c r="O101" s="35" t="inlineStr">
        <is>
          <t>ข้อสอบจริง</t>
        </is>
      </c>
      <c r="P101" s="35" t="inlineStr">
        <is>
          <t>ปี 2561</t>
        </is>
      </c>
    </row>
    <row r="102" ht="409.6" customHeight="1" s="49">
      <c r="A102" s="35" t="n">
        <v>100</v>
      </c>
      <c r="B102" s="34" t="inlineStr">
        <is>
          <t>จากตำรับข้อ 87 เมื่อนำมาหยด amaranth aqueous solution แล้วพบสีแดงเป็นพื้นแดงพบจุดขาวด้านใน</t>
        </is>
      </c>
      <c r="C102" s="35" t="n"/>
      <c r="D102" s="34" t="inlineStr">
        <is>
          <t>เป็นอิมัลชันแบบ W/O</t>
        </is>
      </c>
      <c r="E102" s="34" t="inlineStr">
        <is>
          <t>ตำรับสามารถนำไฟฟ้าได้</t>
        </is>
      </c>
      <c r="F102" s="34" t="inlineStr">
        <is>
          <t>เป็นอิมัลชันแบบ O/W</t>
        </is>
      </c>
      <c r="G102" s="34" t="inlineStr">
        <is>
          <t>เมื่อเติมน้ำเข้าไปแล้วตำรับเกิดการแยกชั้นขึ้น</t>
        </is>
      </c>
      <c r="H102" s="34" t="inlineStr">
        <is>
          <t>เมื่อนำไปส่อง fluorescence จะเรืองแสงทั้งแผ่น</t>
        </is>
      </c>
      <c r="I102" s="35" t="n">
        <v>1</v>
      </c>
      <c r="J102" s="34" t="inlineStr">
        <is>
          <t>✅ คำตอบที่ถูกต้อง: ข้อ ก. เป็นอิมัลชันแบบ W/O
💡 Background:
คำถามข้อสอบจริงใบประกอบวิชาชีพ PLE-CC 1 (Product) ปี 2561 ข้อ 88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2" s="35" t="n"/>
      <c r="L102" s="34" t="inlineStr">
        <is>
          <t>Pharmaceutical Technology General</t>
        </is>
      </c>
      <c r="M102" s="35" t="inlineStr">
        <is>
          <t>Product</t>
        </is>
      </c>
      <c r="N102" s="34" t="inlineStr">
        <is>
          <t>ข้อสอบจริง Product ปี 2561 ข้อ 88</t>
        </is>
      </c>
      <c r="O102" s="35" t="inlineStr">
        <is>
          <t>ข้อสอบจริง</t>
        </is>
      </c>
      <c r="P102" s="35" t="inlineStr">
        <is>
          <t>ปี 2561</t>
        </is>
      </c>
    </row>
    <row r="103" ht="409.6" customHeight="1" s="49">
      <c r="A103" s="35" t="n">
        <v>101</v>
      </c>
      <c r="B103" s="34" t="inlineStr">
        <is>
          <t>จากข้อข้างต้นยา azole จะอยู่ในตำแหน่งใดของระบบนำส่งยา</t>
        </is>
      </c>
      <c r="C103" s="35" t="n"/>
      <c r="D103" s="34" t="inlineStr">
        <is>
          <t>A</t>
        </is>
      </c>
      <c r="E103" s="34" t="inlineStr">
        <is>
          <t>B</t>
        </is>
      </c>
      <c r="F103" s="34" t="inlineStr">
        <is>
          <t>C</t>
        </is>
      </c>
      <c r="G103" s="34" t="inlineStr">
        <is>
          <t>D</t>
        </is>
      </c>
      <c r="H103" s="34" t="inlineStr">
        <is>
          <t>A และ C</t>
        </is>
      </c>
      <c r="I103" s="35" t="n">
        <v>1</v>
      </c>
      <c r="J103" s="34" t="inlineStr">
        <is>
          <t>✅ คำตอบที่ถูกต้อง: ข้อ ก. A
💡 Background:
คำถามข้อสอบจริงใบประกอบวิชาชีพ PLE-CC 1 (Product) ปี 2561 ข้อ 97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3" s="35" t="n"/>
      <c r="L103" s="34" t="inlineStr">
        <is>
          <t>Pharmaceutical Technology General</t>
        </is>
      </c>
      <c r="M103" s="35" t="inlineStr">
        <is>
          <t>Product</t>
        </is>
      </c>
      <c r="N103" s="34" t="inlineStr">
        <is>
          <t>ข้อสอบจริง Product ปี 2561 ข้อ 97</t>
        </is>
      </c>
      <c r="O103" s="35" t="inlineStr">
        <is>
          <t>ข้อสอบจริง</t>
        </is>
      </c>
      <c r="P103" s="35" t="inlineStr">
        <is>
          <t>ปี 2561</t>
        </is>
      </c>
    </row>
    <row r="104" ht="409.6" customHeight="1" s="49">
      <c r="A104" s="35" t="n">
        <v>102</v>
      </c>
      <c r="B104" s="34" t="inlineStr">
        <is>
          <t>ข้อใดไม่จำเป็นต้องตรวจสอบใน metronidazole solution for injection</t>
        </is>
      </c>
      <c r="C104" s="35" t="n"/>
      <c r="D104" s="34" t="inlineStr">
        <is>
          <t>Clarity test</t>
        </is>
      </c>
      <c r="E104" s="34" t="inlineStr">
        <is>
          <t>Leaker test</t>
        </is>
      </c>
      <c r="F104" s="34" t="inlineStr">
        <is>
          <t>Sterility test</t>
        </is>
      </c>
      <c r="G104" s="34" t="inlineStr">
        <is>
          <t>Endotoxin test</t>
        </is>
      </c>
      <c r="H104" s="34" t="inlineStr">
        <is>
          <t>Preservative effectiveness</t>
        </is>
      </c>
      <c r="I104" s="35" t="n">
        <v>1</v>
      </c>
      <c r="J104" s="34" t="inlineStr">
        <is>
          <t>✅ คำตอบที่ถูกต้อง: ข้อ ก. Clarity test
💡 Background:
คำถามข้อสอบจริงใบประกอบวิชาชีพ PLE-CC 1 (Product) ปี 2561 ข้อ 98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4" s="35" t="n"/>
      <c r="L104" s="34" t="inlineStr">
        <is>
          <t>Pharmaceutical Technology General</t>
        </is>
      </c>
      <c r="M104" s="35" t="inlineStr">
        <is>
          <t>Product</t>
        </is>
      </c>
      <c r="N104" s="34" t="inlineStr">
        <is>
          <t>ข้อสอบจริง Product ปี 2561 ข้อ 98</t>
        </is>
      </c>
      <c r="O104" s="35" t="inlineStr">
        <is>
          <t>ข้อสอบจริง</t>
        </is>
      </c>
      <c r="P104" s="35" t="inlineStr">
        <is>
          <t>ปี 2561</t>
        </is>
      </c>
    </row>
    <row r="105" ht="409.6" customHeight="1" s="49">
      <c r="A105" s="35" t="n">
        <v>103</v>
      </c>
      <c r="B105" s="34" t="inlineStr">
        <is>
          <t>ตามระบบ GMP ห้อง mixing room ในการเตรียม cloxacillin sterile injection ข้อใดถูกต้อง</t>
        </is>
      </c>
      <c r="C105" s="35" t="n"/>
      <c r="D105" s="34" t="inlineStr">
        <is>
          <t>มีความชื้นในห้อง 75 % RH</t>
        </is>
      </c>
      <c r="E105" s="34" t="inlineStr">
        <is>
          <t>ระบบลมเป็นแบบ multi-directional place</t>
        </is>
      </c>
      <c r="F105" s="34" t="inlineStr">
        <is>
          <t>ทำความสะอาดเครื่องผสมแบบ clean in place</t>
        </is>
      </c>
      <c r="G105" s="34" t="inlineStr">
        <is>
          <t>ความดันภายในห้องเตรียมยาเท่ากับห้องโถง (corridor)</t>
        </is>
      </c>
      <c r="H105" s="34" t="inlineStr">
        <is>
          <t>ต้องมี HEPA filter ดูดอากาศเอาอนุภาคออกด้วยก่อนปล่อยสู่สิ่งแวดล้อม</t>
        </is>
      </c>
      <c r="I105" s="35" t="n">
        <v>1</v>
      </c>
      <c r="J105" s="34" t="inlineStr">
        <is>
          <t>✅ คำตอบที่ถูกต้อง: ข้อ ก. มีความชื้นในห้อง 75 % RH
💡 Background:
คำถามข้อสอบจริงใบประกอบวิชาชีพ PLE-CC 1 (Product) ปี 2561 ข้อ 99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5" s="35" t="n"/>
      <c r="L105" s="34" t="inlineStr">
        <is>
          <t>Preformulation &amp; Good Manufacturing Practice</t>
        </is>
      </c>
      <c r="M105" s="35" t="inlineStr">
        <is>
          <t>Product</t>
        </is>
      </c>
      <c r="N105" s="34" t="inlineStr">
        <is>
          <t>ข้อสอบจริง Product ปี 2561 ข้อ 99</t>
        </is>
      </c>
      <c r="O105" s="35" t="inlineStr">
        <is>
          <t>ข้อสอบจริง</t>
        </is>
      </c>
      <c r="P105" s="35" t="inlineStr">
        <is>
          <t>ปี 2561</t>
        </is>
      </c>
    </row>
    <row r="106" ht="409.6" customHeight="1" s="49">
      <c r="A106" s="35" t="n">
        <v>104</v>
      </c>
      <c r="B106" s="34" t="inlineStr">
        <is>
          <t>การเคลือบ vitamin B complex มีขั้นตอนอย่างไร</t>
        </is>
      </c>
      <c r="C106" s="35" t="n"/>
      <c r="D106" s="34" t="inlineStr">
        <is>
          <t>Sealing \&gt; subcoating \&gt; smoothing \&gt; color coating \&gt;</t>
        </is>
      </c>
      <c r="E106" s="34" t="inlineStr">
        <is>
          <t>Smoothing \&gt; subcoating \&gt; sealing \&gt; color coating \&gt; polishing</t>
        </is>
      </c>
      <c r="F106" s="34" t="inlineStr">
        <is>
          <t>Subcoating \&gt; sealing \&gt; smoothing \&gt; color coating \&gt; polishing</t>
        </is>
      </c>
      <c r="G106" s="34" t="inlineStr">
        <is>
          <t>Subcoating \&gt; smoothing \&gt; color coating \&gt; polishing \&gt; printing</t>
        </is>
      </c>
      <c r="H106" s="34" t="inlineStr">
        <is>
          <t>Sealing \&gt; subcoating \&gt; color coating \&gt; polishing \&gt; smoothing</t>
        </is>
      </c>
      <c r="I106" s="35" t="n">
        <v>1</v>
      </c>
      <c r="J106" s="34" t="inlineStr">
        <is>
          <t>✅ คำตอบที่ถูกต้อง: ข้อ ก. Sealing \&gt; subcoating \&gt; smoothing \&gt; color coating \&gt;
💡 Background:
คำถามข้อสอบจริงใบประกอบวิชาชีพ PLE-CC 1 (Product) ปี 2561 ข้อ 100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6" s="35" t="n"/>
      <c r="L106" s="34" t="inlineStr">
        <is>
          <t>Pharmaceutical Technology General</t>
        </is>
      </c>
      <c r="M106" s="35" t="inlineStr">
        <is>
          <t>Product</t>
        </is>
      </c>
      <c r="N106" s="34" t="inlineStr">
        <is>
          <t>ข้อสอบจริง Product ปี 2561 ข้อ 100</t>
        </is>
      </c>
      <c r="O106" s="35" t="inlineStr">
        <is>
          <t>ข้อสอบจริง</t>
        </is>
      </c>
      <c r="P106" s="35" t="inlineStr">
        <is>
          <t>ปี 2561</t>
        </is>
      </c>
    </row>
    <row r="107" ht="409.6" customHeight="1" s="49">
      <c r="A107" s="35" t="n">
        <v>105</v>
      </c>
      <c r="B107" s="34" t="inlineStr">
        <is>
          <t>หากต้องการให้ ASA ออกฤทธิ์ที่ลำไส้เล็กควรต้องใช้สารเคลือบฟิล์มตัวใด</t>
        </is>
      </c>
      <c r="C107" s="35" t="n"/>
      <c r="D107" s="34" t="inlineStr">
        <is>
          <t>Pectin</t>
        </is>
      </c>
      <c r="E107" s="34" t="inlineStr">
        <is>
          <t>Chitosan</t>
        </is>
      </c>
      <c r="F107" s="34" t="inlineStr">
        <is>
          <t>HPMC</t>
        </is>
      </c>
      <c r="G107" s="34" t="inlineStr">
        <is>
          <t>Polyvinylpyrrolidone K90</t>
        </is>
      </c>
      <c r="H107" s="34" t="inlineStr">
        <is>
          <t>Cellulose acetate phthalate</t>
        </is>
      </c>
      <c r="I107" s="35" t="n">
        <v>1</v>
      </c>
      <c r="J107" s="34" t="inlineStr">
        <is>
          <t>✅ คำตอบที่ถูกต้อง: ข้อ ก. Pectin
💡 Background:
คำถามข้อสอบจริงใบประกอบวิชาชีพ PLE-CC 1 (Product) ปี 2561 ข้อ 101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7" s="35" t="n"/>
      <c r="L107" s="34" t="inlineStr">
        <is>
          <t>Pharmaceutical Technology General</t>
        </is>
      </c>
      <c r="M107" s="35" t="inlineStr">
        <is>
          <t>Product</t>
        </is>
      </c>
      <c r="N107" s="34" t="inlineStr">
        <is>
          <t>ข้อสอบจริง Product ปี 2561 ข้อ 101</t>
        </is>
      </c>
      <c r="O107" s="35" t="inlineStr">
        <is>
          <t>ข้อสอบจริง</t>
        </is>
      </c>
      <c r="P107" s="35" t="inlineStr">
        <is>
          <t>ปี 2561</t>
        </is>
      </c>
    </row>
    <row r="108" ht="409.6" customHeight="1" s="49">
      <c r="A108" s="35" t="n">
        <v>106</v>
      </c>
      <c r="B108" s="34" t="inlineStr">
        <is>
          <t>เตรียม morphine solution extemporaneous ไม่มีข้อมูลความคงตัวตาม USP มีน้ำในสูตรตำรับ กำหนดให้ใช้หลังเตรียมได้ภายในกี่วันหากเก็บใน cold temperature</t>
        </is>
      </c>
      <c r="C108" s="35" t="n"/>
      <c r="D108" s="34" t="inlineStr">
        <is>
          <t>ทันทีที่เตรียมเสร็จ</t>
        </is>
      </c>
      <c r="E108" s="34" t="inlineStr">
        <is>
          <t>ภายใน 24 ชั่วโมง</t>
        </is>
      </c>
      <c r="F108" s="34" t="inlineStr">
        <is>
          <t>ภายใน 3 วัน</t>
        </is>
      </c>
      <c r="G108" s="34" t="inlineStr">
        <is>
          <t>ภายใน 7 วัน</t>
        </is>
      </c>
      <c r="H108" s="34" t="inlineStr">
        <is>
          <t>ภายใน 14 วัน</t>
        </is>
      </c>
      <c r="I108" s="35" t="n">
        <v>1</v>
      </c>
      <c r="J108" s="34" t="inlineStr">
        <is>
          <t>✅ คำตอบที่ถูกต้อง: ข้อ ก. ทันทีที่เตรียมเสร็จ
💡 Background:
คำถามข้อสอบจริงใบประกอบวิชาชีพ PLE-CC 1 (Product) ปี 2561 ข้อ 105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08" s="35" t="n"/>
      <c r="L108" s="34" t="inlineStr">
        <is>
          <t>Pharmaceutical Technology General</t>
        </is>
      </c>
      <c r="M108" s="35" t="inlineStr">
        <is>
          <t>Product</t>
        </is>
      </c>
      <c r="N108" s="34" t="inlineStr">
        <is>
          <t>ข้อสอบจริง Product ปี 2561 ข้อ 105</t>
        </is>
      </c>
      <c r="O108" s="35" t="inlineStr">
        <is>
          <t>ข้อสอบจริง</t>
        </is>
      </c>
      <c r="P108" s="35" t="inlineStr">
        <is>
          <t>ปี 2561</t>
        </is>
      </c>
    </row>
    <row r="109" ht="409.6" customHeight="1" s="49">
      <c r="A109" s="35" t="n">
        <v>107</v>
      </c>
      <c r="B109" s="34" t="inlineStr">
        <is>
          <t>ตำรับ prednisolone ประกอบด้วย 1-octadecanol, polysorbate 80, poly ethylene glycol, isopropyl myristate, sodium sulfite สารใดในตำรับทำหน้าที่ในการเป็น wetting agent</t>
        </is>
      </c>
      <c r="C109" s="35" t="n"/>
      <c r="D109" s="34" t="inlineStr">
        <is>
          <t>Sodium sulfite</t>
        </is>
      </c>
      <c r="E109" s="34" t="inlineStr">
        <is>
          <t>1-octadecanol</t>
        </is>
      </c>
      <c r="F109" s="34" t="inlineStr">
        <is>
          <t>Polysorbate 80</t>
        </is>
      </c>
      <c r="G109" s="34" t="inlineStr">
        <is>
          <t>Polyethylene glycol</t>
        </is>
      </c>
      <c r="H109" s="34" t="inlineStr">
        <is>
          <t>Isopropyl myristate ## ## ##</t>
        </is>
      </c>
      <c r="I109" s="35" t="n">
        <v>1</v>
      </c>
      <c r="J109" s="34" t="inlineStr">
        <is>
          <t>✅ คำตอบที่ถูกต้อง: ข้อ ก. Sodium sulfite
💡 Background:
คำถามข้อสอบจริงใบประกอบวิชาชีพ PLE-CC 1 (Product) ปี 2561 ข้อ 113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09" s="35" t="n"/>
      <c r="L109" s="34" t="inlineStr">
        <is>
          <t>Preformulation &amp; Good Manufacturing Practice</t>
        </is>
      </c>
      <c r="M109" s="35" t="inlineStr">
        <is>
          <t>Product</t>
        </is>
      </c>
      <c r="N109" s="34" t="inlineStr">
        <is>
          <t>ข้อสอบจริง Product ปี 2561 ข้อ 113</t>
        </is>
      </c>
      <c r="O109" s="35" t="inlineStr">
        <is>
          <t>ข้อสอบจริง</t>
        </is>
      </c>
      <c r="P109" s="35" t="inlineStr">
        <is>
          <t>ปี 2561</t>
        </is>
      </c>
    </row>
    <row r="110" ht="409.6" customHeight="1" s="49">
      <c r="A110" s="35" t="n">
        <v>108</v>
      </c>
      <c r="B110" s="34" t="inlineStr">
        <is>
          <t>สารที่เป็น propellant ใช้ใน MDI seretide evohaler คือ</t>
        </is>
      </c>
      <c r="C110" s="35" t="n"/>
      <c r="D110" s="34" t="inlineStr">
        <is>
          <t>Nitrogen</t>
        </is>
      </c>
      <c r="E110" s="34" t="inlineStr">
        <is>
          <t>Hydrocabon</t>
        </is>
      </c>
      <c r="F110" s="34" t="inlineStr">
        <is>
          <t>Cabondioxide</t>
        </is>
      </c>
      <c r="G110" s="34" t="inlineStr">
        <is>
          <t>CFCs</t>
        </is>
      </c>
      <c r="H110" s="34" t="inlineStr">
        <is>
          <t>HFA</t>
        </is>
      </c>
      <c r="I110" s="35" t="n">
        <v>1</v>
      </c>
      <c r="J110" s="34" t="inlineStr">
        <is>
          <t>✅ คำตอบที่ถูกต้อง: ข้อ ก. Nitrogen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0" s="35" t="n"/>
      <c r="L110" s="34" t="inlineStr">
        <is>
          <t>Pharmaceutical Technology General</t>
        </is>
      </c>
      <c r="M110" s="35" t="inlineStr">
        <is>
          <t>Product</t>
        </is>
      </c>
      <c r="N110" s="34" t="inlineStr">
        <is>
          <t>ข้อสอบจริง Product ปี 2559 ข้อ 1</t>
        </is>
      </c>
      <c r="O110" s="35" t="inlineStr">
        <is>
          <t>ข้อสอบจริง</t>
        </is>
      </c>
      <c r="P110" s="35" t="inlineStr">
        <is>
          <t>ปี 2559</t>
        </is>
      </c>
    </row>
    <row r="111" ht="409.6" customHeight="1" s="49">
      <c r="A111" s="35" t="n">
        <v>109</v>
      </c>
      <c r="B111" s="34" t="inlineStr">
        <is>
          <t>การบรรจุ insulin; ห้องที่ควรบรรจุควรมีความสะอาดตาม GMP grade ใด</t>
        </is>
      </c>
      <c r="C111" s="35" t="n"/>
      <c r="D111" s="34" t="inlineStr">
        <is>
          <t>A</t>
        </is>
      </c>
      <c r="E111" s="34" t="inlineStr">
        <is>
          <t>B</t>
        </is>
      </c>
      <c r="F111" s="34" t="inlineStr">
        <is>
          <t>C</t>
        </is>
      </c>
      <c r="G111" s="34" t="inlineStr">
        <is>
          <t>D</t>
        </is>
      </c>
      <c r="H111" s="34" t="inlineStr">
        <is>
          <t>E</t>
        </is>
      </c>
      <c r="I111" s="35" t="n">
        <v>1</v>
      </c>
      <c r="J111"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11" s="35" t="n"/>
      <c r="L111" s="34" t="inlineStr">
        <is>
          <t>Preformulation &amp; Good Manufacturing Practice</t>
        </is>
      </c>
      <c r="M111" s="35" t="inlineStr">
        <is>
          <t>Product</t>
        </is>
      </c>
      <c r="N111" s="34" t="inlineStr">
        <is>
          <t>ข้อสอบจริง Product ปี 2559 ข้อ 4</t>
        </is>
      </c>
      <c r="O111" s="35" t="inlineStr">
        <is>
          <t>ข้อสอบจริง</t>
        </is>
      </c>
      <c r="P111" s="35" t="inlineStr">
        <is>
          <t>ปี 2559</t>
        </is>
      </c>
    </row>
    <row r="112" ht="409.6" customHeight="1" s="49">
      <c r="A112" s="35" t="n">
        <v>110</v>
      </c>
      <c r="B112" s="34" t="inlineStr">
        <is>
          <t>Nicotine patch มีการปลดปล่อยแบบใด</t>
        </is>
      </c>
      <c r="C112" s="35" t="n"/>
      <c r="D112" s="34" t="inlineStr">
        <is>
          <t>Zero order</t>
        </is>
      </c>
      <c r="E112" s="34" t="inlineStr">
        <is>
          <t>First order</t>
        </is>
      </c>
      <c r="F112" s="34" t="inlineStr">
        <is>
          <t>Pseudofirst order</t>
        </is>
      </c>
      <c r="G112" s="34" t="n"/>
      <c r="H112" s="34" t="n"/>
      <c r="I112" s="35" t="n">
        <v>1</v>
      </c>
      <c r="J112" s="34" t="inlineStr">
        <is>
          <t>✅ คำตอบที่ถูกต้อง: ข้อ ก. Zero order
💡 Background:
คำถามข้อสอบจริงใบประกอบวิชาชีพ PLE-CC 1 (Product) ปี 2559 ข้อ 8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2" s="35" t="n"/>
      <c r="L112" s="34" t="inlineStr">
        <is>
          <t>Pharmaceutical Technology General</t>
        </is>
      </c>
      <c r="M112" s="35" t="inlineStr">
        <is>
          <t>Product</t>
        </is>
      </c>
      <c r="N112" s="34" t="inlineStr">
        <is>
          <t>ข้อสอบจริง Product ปี 2559 ข้อ 8</t>
        </is>
      </c>
      <c r="O112" s="35" t="inlineStr">
        <is>
          <t>ข้อสอบจริง</t>
        </is>
      </c>
      <c r="P112" s="35" t="inlineStr">
        <is>
          <t>ปี 2559</t>
        </is>
      </c>
    </row>
    <row r="113" ht="409.6" customHeight="1" s="49">
      <c r="A113" s="35" t="n">
        <v>111</v>
      </c>
      <c r="B113" s="34" t="inlineStr">
        <is>
          <t>วัคซีน OPV ต้องเก็บที่ไหน</t>
        </is>
      </c>
      <c r="C113" s="35" t="n"/>
      <c r="D113" s="34" t="inlineStr">
        <is>
          <t>Freeze</t>
        </is>
      </c>
      <c r="E113" s="34" t="inlineStr">
        <is>
          <t>Room temp</t>
        </is>
      </c>
      <c r="F113" s="34" t="inlineStr">
        <is>
          <t>Refrigerator</t>
        </is>
      </c>
      <c r="G113" s="34" t="n"/>
      <c r="H113" s="34" t="n"/>
      <c r="I113" s="35" t="n">
        <v>1</v>
      </c>
      <c r="J113" s="34" t="inlineStr">
        <is>
          <t>✅ คำตอบที่ถูกต้อง: ข้อ ก. Freeze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3" s="35" t="n"/>
      <c r="L113" s="34" t="inlineStr">
        <is>
          <t>Pharmaceutical Technology General</t>
        </is>
      </c>
      <c r="M113" s="35" t="inlineStr">
        <is>
          <t>Product</t>
        </is>
      </c>
      <c r="N113" s="34" t="inlineStr">
        <is>
          <t>ข้อสอบจริง Product ปี 2559 ข้อ 10</t>
        </is>
      </c>
      <c r="O113" s="35" t="inlineStr">
        <is>
          <t>ข้อสอบจริง</t>
        </is>
      </c>
      <c r="P113" s="35" t="inlineStr">
        <is>
          <t>ปี 2559</t>
        </is>
      </c>
    </row>
    <row r="114" ht="409.6" customHeight="1" s="49">
      <c r="A114" s="35" t="n">
        <v>112</v>
      </c>
      <c r="B114" s="34" t="inlineStr">
        <is>
          <t>ข้อใดถูกเกี่ยวกับยาเตรียมเคมีบำบัด</t>
        </is>
      </c>
      <c r="C114" s="35" t="n"/>
      <c r="D114" s="34" t="inlineStr">
        <is>
          <t>ห้องเตรียมควรเป็น positive pressure</t>
        </is>
      </c>
      <c r="E114" s="34" t="inlineStr">
        <is>
          <t>ลมเป่าควรเป็นแนว vertical</t>
        </is>
      </c>
      <c r="F114" s="34" t="n"/>
      <c r="G114" s="34" t="n"/>
      <c r="H114" s="34" t="n"/>
      <c r="I114" s="35" t="n">
        <v>1</v>
      </c>
      <c r="J114" s="34" t="inlineStr">
        <is>
          <t>✅ คำตอบที่ถูกต้อง: ข้อ ก. ห้องเตรียมควรเป็น positive pressure
💡 Background:
คำถามข้อสอบจริงใบประกอบวิชาชีพ PLE-CC 1 (Product) ปี 2559 ข้อ 14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4" s="35" t="n"/>
      <c r="L114" s="34" t="inlineStr">
        <is>
          <t>Pharmaceutical Technology General</t>
        </is>
      </c>
      <c r="M114" s="35" t="inlineStr">
        <is>
          <t>Product</t>
        </is>
      </c>
      <c r="N114" s="34" t="inlineStr">
        <is>
          <t>ข้อสอบจริง Product ปี 2559 ข้อ 14</t>
        </is>
      </c>
      <c r="O114" s="35" t="inlineStr">
        <is>
          <t>ข้อสอบจริง</t>
        </is>
      </c>
      <c r="P114" s="35" t="inlineStr">
        <is>
          <t>ปี 2559</t>
        </is>
      </c>
    </row>
    <row r="115" ht="409.6" customHeight="1" s="49">
      <c r="A115" s="35" t="n">
        <v>113</v>
      </c>
      <c r="B115" s="34" t="inlineStr">
        <is>
          <t>สารที่เป็น propellant ใช้ใน Seretide evohaler คือ</t>
        </is>
      </c>
      <c r="C115" s="35" t="n"/>
      <c r="D115" s="34" t="inlineStr">
        <is>
          <t>Nitrogen</t>
        </is>
      </c>
      <c r="E115" s="34" t="inlineStr">
        <is>
          <t>Hydrocarbon</t>
        </is>
      </c>
      <c r="F115" s="34" t="inlineStr">
        <is>
          <t>Carbondioxide</t>
        </is>
      </c>
      <c r="G115" s="34" t="inlineStr">
        <is>
          <t>Chlorofluorocarbon</t>
        </is>
      </c>
      <c r="H115" s="34" t="inlineStr">
        <is>
          <t>HFA 134a</t>
        </is>
      </c>
      <c r="I115" s="35" t="n">
        <v>1</v>
      </c>
      <c r="J115" s="34" t="inlineStr">
        <is>
          <t>✅ คำตอบที่ถูกต้อง: ข้อ ก. Nitrogen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5" s="35" t="n"/>
      <c r="L115" s="34" t="inlineStr">
        <is>
          <t>Pharmaceutical Technology General</t>
        </is>
      </c>
      <c r="M115" s="35" t="inlineStr">
        <is>
          <t>Product</t>
        </is>
      </c>
      <c r="N115" s="34" t="inlineStr">
        <is>
          <t>ข้อสอบจริง Product ปี 2559 ข้อ 2</t>
        </is>
      </c>
      <c r="O115" s="35" t="inlineStr">
        <is>
          <t>ข้อสอบจริง</t>
        </is>
      </c>
      <c r="P115" s="35" t="inlineStr">
        <is>
          <t>ปี 2559</t>
        </is>
      </c>
    </row>
    <row r="116" ht="409.6" customHeight="1" s="49">
      <c r="A116" s="35" t="n">
        <v>114</v>
      </c>
      <c r="B116" s="34" t="inlineStr">
        <is>
          <t>จากข้อมูล ข้อใดถูกต้อง</t>
        </is>
      </c>
      <c r="C116" s="35" t="n"/>
      <c r="D116" s="34" t="inlineStr">
        <is>
          <t>ผ่านเพราะ ไม่มีเม็ดใดที่ไม่ผ่านการทดสอบ</t>
        </is>
      </c>
      <c r="E116" s="34" t="inlineStr">
        <is>
          <t>ไม่ผ่านต้องทดสอบซ้ำอีก 6 เม็ด</t>
        </is>
      </c>
      <c r="F116" s="34" t="inlineStr">
        <is>
          <t>ไม่ผ่านต้องทดสอบซ้ำอีก 12 เม็ด</t>
        </is>
      </c>
      <c r="G116" s="34" t="inlineStr">
        <is>
          <t>ไม่ผ่านต้องทดสอบซ้ำอีก 24 เม็ด</t>
        </is>
      </c>
      <c r="H116" s="34" t="inlineStr">
        <is>
          <t>ไม่ผ่าน เพราะ มีเม็ดยาที่ไม่ผ่านการทดสอบ</t>
        </is>
      </c>
      <c r="I116" s="35" t="n">
        <v>1</v>
      </c>
      <c r="J116" s="34" t="inlineStr">
        <is>
          <t>✅ คำตอบที่ถูกต้อง: ข้อ ก. ผ่านเพราะ ไม่มีเม็ดใดที่ไม่ผ่านการทดสอบ
💡 Background:
คำถามข้อสอบจริงใบประกอบวิชาชีพ PLE-CC 1 (Product) ปี 2559 ข้อ 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6" s="35" t="n"/>
      <c r="L116" s="34" t="inlineStr">
        <is>
          <t>Pharmaceutical Technology General</t>
        </is>
      </c>
      <c r="M116" s="35" t="inlineStr">
        <is>
          <t>Product</t>
        </is>
      </c>
      <c r="N116" s="34" t="inlineStr">
        <is>
          <t>ข้อสอบจริง Product ปี 2559 ข้อ 1</t>
        </is>
      </c>
      <c r="O116" s="35" t="inlineStr">
        <is>
          <t>ข้อสอบจริง</t>
        </is>
      </c>
      <c r="P116" s="35" t="inlineStr">
        <is>
          <t>ปี 2559</t>
        </is>
      </c>
    </row>
    <row r="117" ht="409.6" customHeight="1" s="49">
      <c r="A117" s="35" t="n">
        <v>115</v>
      </c>
      <c r="B117" s="34" t="inlineStr">
        <is>
          <t>ผู้ป่วยจำเป็นจะต้องเปลี่ยน Theophylline เป็น Aminophylline จะต้องใช้ Aminophylline เท่าไหร่ ข้อมูลเพิ่มเติม 		- Theophylline: S = 1 - Aminophylline: S = 0.8</t>
        </is>
      </c>
      <c r="C117" s="35" t="n"/>
      <c r="D117" s="34" t="inlineStr">
        <is>
          <t>200 mg</t>
        </is>
      </c>
      <c r="E117" s="34" t="inlineStr">
        <is>
          <t>320 mg</t>
        </is>
      </c>
      <c r="F117" s="34" t="inlineStr">
        <is>
          <t>400 mg</t>
        </is>
      </c>
      <c r="G117" s="34" t="inlineStr">
        <is>
          <t>450 mg</t>
        </is>
      </c>
      <c r="H117" s="34" t="inlineStr">
        <is>
          <t>500 mg</t>
        </is>
      </c>
      <c r="I117" s="35" t="n">
        <v>1</v>
      </c>
      <c r="J117" s="34" t="inlineStr">
        <is>
          <t>✅ คำตอบที่ถูกต้อง: ข้อ ก. 200 mg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7" s="35" t="n"/>
      <c r="L117" s="34" t="inlineStr">
        <is>
          <t>Pharmaceutical Technology General</t>
        </is>
      </c>
      <c r="M117" s="35" t="inlineStr">
        <is>
          <t>Product</t>
        </is>
      </c>
      <c r="N117" s="34" t="inlineStr">
        <is>
          <t>ข้อสอบจริง Product ปี 2559 ข้อ 9</t>
        </is>
      </c>
      <c r="O117" s="35" t="inlineStr">
        <is>
          <t>ข้อสอบจริง</t>
        </is>
      </c>
      <c r="P117" s="35" t="inlineStr">
        <is>
          <t>ปี 2559</t>
        </is>
      </c>
    </row>
    <row r="118" ht="409.6" customHeight="1" s="49">
      <c r="A118" s="35" t="n">
        <v>116</v>
      </c>
      <c r="B118" s="34" t="inlineStr">
        <is>
          <t>ข้อใดถูกเกี่ยวกับ ibuprofen เคลือบ film</t>
        </is>
      </c>
      <c r="C118" s="35" t="n"/>
      <c r="D118" s="34" t="inlineStr">
        <is>
          <t>ลบรอยขรุขระของเม็ดยาในขั้นตอน sealing ทำให้ยาเรียบ</t>
        </is>
      </c>
      <c r="E118" s="34" t="inlineStr">
        <is>
          <t>กระบวนการที่ทำให้เม็ดยาหนักขึ้นถึง 40% คือขั้นตอน subcoating</t>
        </is>
      </c>
      <c r="F118" s="34" t="inlineStr">
        <is>
          <t>เลือกใช้สี dye เพื่อป้องกันการเกิด color migration</t>
        </is>
      </c>
      <c r="G118" s="34" t="inlineStr">
        <is>
          <t>ยังคงสามารถเห็นพริ้นท์บนเม็ดยาและรอยบาก</t>
        </is>
      </c>
      <c r="H118" s="34" t="n"/>
      <c r="I118" s="35" t="n">
        <v>1</v>
      </c>
      <c r="J118" s="34" t="inlineStr">
        <is>
          <t>✅ คำตอบที่ถูกต้อง: ข้อ ก. ลบรอยขรุขระของเม็ดยาในขั้นตอน sealing ทำให้ยาเรียบ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8" s="35" t="n"/>
      <c r="L118" s="34" t="inlineStr">
        <is>
          <t>Pharmaceutical Technology General</t>
        </is>
      </c>
      <c r="M118" s="35" t="inlineStr">
        <is>
          <t>Product</t>
        </is>
      </c>
      <c r="N118" s="34" t="inlineStr">
        <is>
          <t>ข้อสอบจริง Product ปี 2559 ข้อ 11</t>
        </is>
      </c>
      <c r="O118" s="35" t="inlineStr">
        <is>
          <t>ข้อสอบจริง</t>
        </is>
      </c>
      <c r="P118" s="35" t="inlineStr">
        <is>
          <t>ปี 2559</t>
        </is>
      </c>
    </row>
    <row r="119" ht="409.6" customHeight="1" s="49">
      <c r="A119" s="35" t="n">
        <v>117</v>
      </c>
      <c r="B119" s="34" t="inlineStr">
        <is>
          <t>อุปกรณ์ข้อใดนิยมใช้เคลือบฟิล์มทั้งในอุตสาหกรรมและห้องทดลอง</t>
        </is>
      </c>
      <c r="C119" s="35" t="n"/>
      <c r="D119" s="34" t="inlineStr">
        <is>
          <t>Accela-Cota</t>
        </is>
      </c>
      <c r="E119" s="34" t="inlineStr">
        <is>
          <t>Driacoater</t>
        </is>
      </c>
      <c r="F119" s="34" t="inlineStr">
        <is>
          <t>Hi coater</t>
        </is>
      </c>
      <c r="G119" s="34" t="inlineStr">
        <is>
          <t>Glatter coater</t>
        </is>
      </c>
      <c r="H119" s="34" t="inlineStr">
        <is>
          <t>conventional pan</t>
        </is>
      </c>
      <c r="I119" s="35" t="n">
        <v>1</v>
      </c>
      <c r="J119" s="34" t="inlineStr">
        <is>
          <t>✅ คำตอบที่ถูกต้อง: ข้อ ก. Accela-Cota
💡 Background:
คำถามข้อสอบจริงใบประกอบวิชาชีพ PLE-CC 1 (Product) ปี 2559 ข้อ 12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19" s="35" t="n"/>
      <c r="L119" s="34" t="inlineStr">
        <is>
          <t>Pharmaceutical Technology General</t>
        </is>
      </c>
      <c r="M119" s="35" t="inlineStr">
        <is>
          <t>Product</t>
        </is>
      </c>
      <c r="N119" s="34" t="inlineStr">
        <is>
          <t>ข้อสอบจริง Product ปี 2559 ข้อ 12</t>
        </is>
      </c>
      <c r="O119" s="35" t="inlineStr">
        <is>
          <t>ข้อสอบจริง</t>
        </is>
      </c>
      <c r="P119" s="35" t="inlineStr">
        <is>
          <t>ปี 2559</t>
        </is>
      </c>
    </row>
    <row r="120" ht="409.6" customHeight="1" s="49">
      <c r="A120" s="35" t="n">
        <v>118</v>
      </c>
      <c r="B120" s="34" t="inlineStr">
        <is>
          <t>ยาใหม่ที่ผ่านการอนุมัติจาก สำนักงานคณะกรรมการอาหารและยา (อย.) กำหนดให้ต้องเข้าสู่โครงการติดตามความปลอดภัยจากการใช้ยา (Safety Monitoring Program: SMP) เป็นระยะเวลานานเท่าใด?</t>
        </is>
      </c>
      <c r="C120" s="35" t="n"/>
      <c r="D120" s="34" t="inlineStr">
        <is>
          <t>3 เดือน</t>
        </is>
      </c>
      <c r="E120" s="34" t="inlineStr">
        <is>
          <t>6 เดือน</t>
        </is>
      </c>
      <c r="F120" s="34" t="inlineStr">
        <is>
          <t>12 เดือน</t>
        </is>
      </c>
      <c r="G120" s="34" t="inlineStr">
        <is>
          <t>18 เดือน</t>
        </is>
      </c>
      <c r="H120" s="34" t="inlineStr">
        <is>
          <t>24 เดือน</t>
        </is>
      </c>
      <c r="I120" s="35" t="n">
        <v>1</v>
      </c>
      <c r="J120" s="34" t="inlineStr">
        <is>
          <t>✅ คำตอบที่ถูกต้อง: ข้อ ก. 3 เดือน
💡 Background:
คำถามข้อสอบจริงใบประกอบวิชาชีพ PLE-CC 1 (Product) ปี 2558 ข้อ 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0" s="35" t="n"/>
      <c r="L120" s="34" t="inlineStr">
        <is>
          <t>Pharmaceutical Technology General</t>
        </is>
      </c>
      <c r="M120" s="35" t="inlineStr">
        <is>
          <t>Product</t>
        </is>
      </c>
      <c r="N120" s="34" t="inlineStr">
        <is>
          <t>ข้อสอบจริง Product ปี 2558 ข้อ 2</t>
        </is>
      </c>
      <c r="O120" s="35" t="inlineStr">
        <is>
          <t>ข้อสอบจริง</t>
        </is>
      </c>
      <c r="P120" s="35" t="inlineStr">
        <is>
          <t>ปี 2558</t>
        </is>
      </c>
    </row>
    <row r="121" ht="409.6" customHeight="1" s="49">
      <c r="A121" s="35" t="n">
        <v>119</v>
      </c>
      <c r="B121" s="34" t="inlineStr">
        <is>
          <t>ขนาดอนุภาค (Aerodynamic diameter) ของผงยาสำหรับสูดพ่น (Inhaled powder / DPI) ที่เหมาะสมเพื่อให้ยาสามารถลงไปออกฤทธิ์ที่บริเวณถุงลมปอด (Alveoli) ได้ดีที่สุด ควรเป็นเท่าใด?</t>
        </is>
      </c>
      <c r="C121" s="35" t="n"/>
      <c r="D121" s="34" t="inlineStr">
        <is>
          <t>\&gt; 10 micron</t>
        </is>
      </c>
      <c r="E121" s="34" t="inlineStr">
        <is>
          <t>5 - 10 micron</t>
        </is>
      </c>
      <c r="F121" s="34" t="inlineStr">
        <is>
          <t>1 - 5 micron</t>
        </is>
      </c>
      <c r="G121" s="34" t="inlineStr">
        <is>
          <t>0.1 - 1 micron</t>
        </is>
      </c>
      <c r="H121" s="34" t="inlineStr">
        <is>
          <t>0.1 - 0.5 micron</t>
        </is>
      </c>
      <c r="I121" s="35" t="n">
        <v>1</v>
      </c>
      <c r="J121" s="34" t="inlineStr">
        <is>
          <t>✅ คำตอบที่ถูกต้อง: ข้อ ก. \&gt; 10 micron
💡 Background:
คำถามข้อสอบจริงใบประกอบวิชาชีพ PLE-CC 1 (Product) ปี 2558 ข้อ 7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1" s="35" t="n"/>
      <c r="L121" s="34" t="inlineStr">
        <is>
          <t>Pharmaceutical Technology General</t>
        </is>
      </c>
      <c r="M121" s="35" t="inlineStr">
        <is>
          <t>Product</t>
        </is>
      </c>
      <c r="N121" s="34" t="inlineStr">
        <is>
          <t>ข้อสอบจริง Product ปี 2558 ข้อ 7</t>
        </is>
      </c>
      <c r="O121" s="35" t="inlineStr">
        <is>
          <t>ข้อสอบจริง</t>
        </is>
      </c>
      <c r="P121" s="35" t="inlineStr">
        <is>
          <t>ปี 2558</t>
        </is>
      </c>
    </row>
    <row r="122" ht="409.6" customHeight="1" s="49">
      <c r="A122" s="35" t="n">
        <v>120</v>
      </c>
      <c r="B122" s="34" t="inlineStr">
        <is>
          <t>ข้อใดกล่าว ไม่ถูกต้อง เกี่ยวกับการผลิตวัคซีนตามหลักเกณฑ์และวิธีการที่ดีในการผลิตยา (GMP)?</t>
        </is>
      </c>
      <c r="C122" s="35" t="n"/>
      <c r="D122" s="34" t="inlineStr">
        <is>
          <t>ต้องแยกอาคารผลิตวัคซีนออกจากผลิตภัณฑ์ Non-sterile</t>
        </is>
      </c>
      <c r="E122" s="34" t="inlineStr">
        <is>
          <t>ต้องแยกอาคารผลิตวัคซีนออกจากผลิตภัณฑ์ Sterile ทั่วไป</t>
        </is>
      </c>
      <c r="F122" s="34" t="inlineStr">
        <is>
          <t>ต้องแยกอาคารผลิตวัคซีนให้อยู่ห่างจากแหล่งชุมชนอย่างน้อย 50 เมตร</t>
        </is>
      </c>
      <c r="G122" s="34" t="inlineStr">
        <is>
          <t>พนักงานผู้ปฏิบัติงานต้องสวมใส่ชุดที่ปราศจากขุย (Lint-free suit)</t>
        </is>
      </c>
      <c r="H122" s="34" t="inlineStr">
        <is>
          <t>พนักงานผู้ปฏิบัติงานห้ามแต่งหน้าหรือใช้เครื่องสำอางเข้าพื้นที่ผลิต</t>
        </is>
      </c>
      <c r="I122" s="35" t="n">
        <v>1</v>
      </c>
      <c r="J122" s="34" t="inlineStr">
        <is>
          <t>✅ คำตอบที่ถูกต้อง: ข้อ ก. ต้องแยกอาคารผลิตวัคซีนออกจากผลิตภัณฑ์ Non-sterile
💡 Background:
คำถามข้อสอบจริงใบประกอบวิชาชีพ PLE-CC 1 (Product) ปี 2558 ข้อ 11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2" s="35" t="n"/>
      <c r="L122" s="34" t="inlineStr">
        <is>
          <t>Preformulation &amp; Good Manufacturing Practice</t>
        </is>
      </c>
      <c r="M122" s="35" t="inlineStr">
        <is>
          <t>Product</t>
        </is>
      </c>
      <c r="N122" s="34" t="inlineStr">
        <is>
          <t>ข้อสอบจริง Product ปี 2558 ข้อ 11</t>
        </is>
      </c>
      <c r="O122" s="35" t="inlineStr">
        <is>
          <t>ข้อสอบจริง</t>
        </is>
      </c>
      <c r="P122" s="35" t="inlineStr">
        <is>
          <t>ปี 2558</t>
        </is>
      </c>
    </row>
    <row r="123" ht="409.6" customHeight="1" s="49">
      <c r="A123" s="35" t="n">
        <v>121</v>
      </c>
      <c r="B123" s="34" t="inlineStr">
        <is>
          <t>ห่วงคุมกำเนิดช่องคลอด (Vaginal ring) มีระบบในการควบคุมความเร็วและลักษณะการนำส่งฮอร์โมนเข้าสู่ร่างกายในรูปแบบใด?</t>
        </is>
      </c>
      <c r="C123" s="35" t="n"/>
      <c r="D123" s="34" t="inlineStr">
        <is>
          <t>Sustained release system</t>
        </is>
      </c>
      <c r="E123" s="34" t="inlineStr">
        <is>
          <t>Osmotic release system</t>
        </is>
      </c>
      <c r="F123" s="34" t="inlineStr">
        <is>
          <t>Immediate release system</t>
        </is>
      </c>
      <c r="G123" s="34" t="inlineStr">
        <is>
          <t>Pulsatile release system</t>
        </is>
      </c>
      <c r="H123" s="34" t="inlineStr">
        <is>
          <t>Target delivery system</t>
        </is>
      </c>
      <c r="I123" s="35" t="n">
        <v>1</v>
      </c>
      <c r="J123" s="34" t="inlineStr">
        <is>
          <t>✅ คำตอบที่ถูกต้อง: ข้อ ก. Sustained release system
💡 Background:
คำถามข้อสอบจริงใบประกอบวิชาชีพ PLE-CC 1 (Product) ปี 2558 ข้อ 20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3" s="35" t="n"/>
      <c r="L123" s="34" t="inlineStr">
        <is>
          <t>Pharmaceutical Technology General</t>
        </is>
      </c>
      <c r="M123" s="35" t="inlineStr">
        <is>
          <t>Product</t>
        </is>
      </c>
      <c r="N123" s="34" t="inlineStr">
        <is>
          <t>ข้อสอบจริง Product ปี 2558 ข้อ 20</t>
        </is>
      </c>
      <c r="O123" s="35" t="inlineStr">
        <is>
          <t>ข้อสอบจริง</t>
        </is>
      </c>
      <c r="P123" s="35" t="inlineStr">
        <is>
          <t>ปี 2558</t>
        </is>
      </c>
    </row>
    <row r="124" ht="409.6" customHeight="1" s="49">
      <c r="A124" s="35" t="n">
        <v>122</v>
      </c>
      <c r="B124" s="34" t="inlineStr">
        <is>
          <t>หากต้องการเตรียมอิมัลชันที่มีค่า rHLB เป้าหมายเท่ากับ 12.0 โดยการเลือกใช้สารลดแรงตึงผิวคู่ผสมระหว่าง Tween (HLB = 14.9) และ Span (HLB = 4.7) จะต้องผสมสารลดแรงตึงผิวทั้งสองตัวในอัตราส่วน (Tween:Span) เท่าใด?</t>
        </is>
      </c>
      <c r="C124" s="35" t="n"/>
      <c r="D124" s="34" t="inlineStr">
        <is>
          <t>Tween:Span = 7.3 : 3</t>
        </is>
      </c>
      <c r="E124" s="34" t="inlineStr">
        <is>
          <t>Tween:Span = 3 : 7.3</t>
        </is>
      </c>
      <c r="F124" s="34" t="inlineStr">
        <is>
          <t>Tween:Span = 10.9 : 4.7</t>
        </is>
      </c>
      <c r="G124" s="34" t="inlineStr">
        <is>
          <t>Tween:Span = 4.7 : 10.9</t>
        </is>
      </c>
      <c r="H124" s="34" t="inlineStr">
        <is>
          <t>Tween:Span = 7.3 : 4.7</t>
        </is>
      </c>
      <c r="I124" s="35" t="n">
        <v>1</v>
      </c>
      <c r="J124" s="34" t="inlineStr">
        <is>
          <t>✅ คำตอบที่ถูกต้อง: ข้อ ก. Tween:Span = 7.3 : 3
💡 Background:
คำถามข้อสอบจริงใบประกอบวิชาชีพ PLE-CC 1 (Product) ปี 2558 ข้อ 22
🎯 ทำไมข้อนี้ถึงถูก:
ข้อ ก. สอดคล้องกับหลักการทางเภสัชกรรมและข้อกำหนดตามเภสัชตำรับ (Pharmacopoeia Standards) ในหัวข้อ Pharmaceutical Technology General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Technology General</t>
        </is>
      </c>
      <c r="K124" s="35" t="n"/>
      <c r="L124" s="34" t="inlineStr">
        <is>
          <t>Pharmaceutical Technology General</t>
        </is>
      </c>
      <c r="M124" s="35" t="inlineStr">
        <is>
          <t>Product</t>
        </is>
      </c>
      <c r="N124" s="34" t="inlineStr">
        <is>
          <t>ข้อสอบจริง Product ปี 2558 ข้อ 22</t>
        </is>
      </c>
      <c r="O124" s="35" t="inlineStr">
        <is>
          <t>ข้อสอบจริง</t>
        </is>
      </c>
      <c r="P124" s="35" t="inlineStr">
        <is>
          <t>ปี 2558</t>
        </is>
      </c>
    </row>
    <row r="125" ht="409.6" customHeight="1" s="49">
      <c r="A125" s="35" t="n">
        <v>123</v>
      </c>
      <c r="B125" s="34" t="inlineStr">
        <is>
          <t>ข้อใดกล่าว ไม่ถูกต้อง เกี่ยวกับมาตรการการดำเนินงานเรียกคืนผลิตภัณฑ์ยา (Product Recall) ตามหลักเกณฑ์มาตรฐาน GMP?</t>
        </is>
      </c>
      <c r="C125" s="35" t="inlineStr">
        <is>
          <t>[แนบรูป: ข้อสอบ Product ปี 2558 รหัสรูปภาพ image119]</t>
        </is>
      </c>
      <c r="D125" s="34" t="inlineStr">
        <is>
          <t>ระดับยาเพิ่มขึ้นเป็นขั้นบันไดชันขึ้นเรื่อยๆ ตลอดสัปดาห์ที่ 1 ถึง 3 และลดลงเฉียบพลันในสัปดาห์ที่ 4</t>
        </is>
      </c>
      <c r="E125" s="34" t="inlineStr">
        <is>
          <t>ระดับยาคงที่อยู่เหนือน้อยกว่าระดับรักษาเล็กน้อย และสะสมเพิ่มขึ้นอย่างรวดเร็วในสัปดาห์เว้นยา</t>
        </is>
      </c>
      <c r="F125" s="34" t="inlineStr">
        <is>
          <t>ระดับยาขึ้นสู่ระดับความเข้มข้นสภาวะคงที่ (Steady state) รักษาระดับสม่ำเสมอตลอดช่วงระยะเวลา 3 สัปดาห์ของการแปะยา และลดต่ำลงเรื่อยๆ ในสัปดาห์ที่ 4 ที่ไม่มีการแปะแผ่นยา</t>
        </is>
      </c>
      <c r="G125" s="34" t="inlineStr">
        <is>
          <t>ระดับยามีการขึ้นและลงเป็นฟันปลาขนาดใหญ่ในแต่ละสัปดาห์เนื่องจากการเปลี่ยนแผ่นใหม่กระตุ้นระดับยาทันที</t>
        </is>
      </c>
      <c r="H125" s="34" t="inlineStr">
        <is>
          <t>ระดับยาอยู่ในเกณฑ์สม่ำเสมอเท่ากันตลอดทั้ง 4 สัปดาห์โดยไม่มีการลดระดับลงเลย</t>
        </is>
      </c>
      <c r="I125" s="35" t="n">
        <v>1</v>
      </c>
      <c r="J125" s="34" t="inlineStr">
        <is>
          <t>✅ คำตอบที่ถูกต้อง: ข้อ ก. ระดับยาเพิ่มขึ้นเป็นขั้นบันไดชันขึ้นเรื่อยๆ ตลอดสัปดาห์ที่ 1 ถึง 3 และลดลงเฉียบพลันในสัปดาห์ที่ 4
💡 Background:
คำถามข้อสอบจริงใบประกอบวิชาชีพ PLE-CC 1 (Product) ปี 2558 ข้อ 36
🎯 ทำไมข้อนี้ถึงถูก:
ข้อ ก. สอดคล้องกับหลักการทางเภสัชกรรมและข้อกำหนดตามเภสัชตำรับ (Pharmacopoeia Standards) ในหัวข้อ Preformulation &amp; Good Manufacturing Practice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Preformulation &amp; Good Manufacturing Practice</t>
        </is>
      </c>
      <c r="K125" s="35" t="n"/>
      <c r="L125" s="34" t="inlineStr">
        <is>
          <t>Preformulation &amp; Good Manufacturing Practice</t>
        </is>
      </c>
      <c r="M125" s="35" t="inlineStr">
        <is>
          <t>Product</t>
        </is>
      </c>
      <c r="N125" s="34" t="inlineStr">
        <is>
          <t>ข้อสอบจริง Product ปี 2558 ข้อ 36</t>
        </is>
      </c>
      <c r="O125" s="35" t="inlineStr">
        <is>
          <t>ข้อสอบจริง</t>
        </is>
      </c>
      <c r="P125" s="35" t="inlineStr">
        <is>
          <t>ปี 2558</t>
        </is>
      </c>
    </row>
    <row r="126" ht="13.2" customHeight="1" s="49">
      <c r="A126" t="n">
        <v>124</v>
      </c>
      <c r="B126" t="inlineStr">
        <is>
          <t>จากตำรับข้อ 9 วิตามินอี ทำหน้าที่อะไรในตำรับ</t>
        </is>
      </c>
      <c r="D126" t="inlineStr">
        <is>
          <t>. Emulsifier</t>
        </is>
      </c>
      <c r="E126" t="inlineStr">
        <is>
          <t>Emollient</t>
        </is>
      </c>
      <c r="F126" t="inlineStr">
        <is>
          <t>Suspending agent</t>
        </is>
      </c>
      <c r="G126" t="inlineStr">
        <is>
          <t>Thickening agent</t>
        </is>
      </c>
      <c r="H126" t="inlineStr">
        <is>
          <t>Anti-oxidant ตอบ e ระบบ: โรคติดต่อทางเพศสัมพันธุ์ ประวัติแพ้ยา ampicillin โดยมีผื่นคัน ไม่มีหายใจติดขัด</t>
        </is>
      </c>
      <c r="I126" t="inlineStr">
        <is>
          <t>1</t>
        </is>
      </c>
      <c r="J126" t="inlineStr">
        <is>
          <t>✅ คำตอบที่ถูกต้อง: ข้อ ก. . Emulsifier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 Emulsifier ผู้ป่วยชายไทยอายุ 52 ปี ปัสสาสะมีหนองข้นออกมา ปัสสาวะแสบขัด มีไข้ต่ าๆ ไม่ปอดท้องน้อย ไม่ปวดเอว เป็นมา 5 วัน มี
🔍 ข้ออื่นผิดเพราะอะไร:
• ข้อ ข. (Emollient):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(Suspending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(Thickening agent):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(Anti-oxidant ตอบ e ระบบ: โรคติดต่อทางเพศสัมพันธุ์ ประวัติแพ้ยา ampicillin โดยมีผื่นคัน ไม่มีหายใจติดขัด):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126" t="inlineStr">
        <is>
          <t>Hypertension</t>
        </is>
      </c>
      <c r="M126" t="inlineStr">
        <is>
          <t>Clinic</t>
        </is>
      </c>
      <c r="N126" t="inlineStr">
        <is>
          <t>ข้อ 10 (PLE_CC1_2533.md)</t>
        </is>
      </c>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3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2" t="n">
        <v>1</v>
      </c>
      <c r="B3" s="2" t="inlineStr">
        <is>
          <t>แพทย์สั่งจ่ายยา KCl 40 mEq/tablespoon (15 mL) จำนวน 60 mL เภสัชกรต้องเตรียมผงยา KCl ปริมาณกี่กรัม (กำหนด MW ของ KCl = 74.5 g/mol, valence = 1)</t>
        </is>
      </c>
      <c r="C3" s="2" t="n"/>
      <c r="D3" s="2" t="inlineStr">
        <is>
          <t>1 กรัม</t>
        </is>
      </c>
      <c r="E3" s="2" t="inlineStr">
        <is>
          <t>3 กรัม</t>
        </is>
      </c>
      <c r="F3" s="2" t="inlineStr">
        <is>
          <t>6 กรัม</t>
        </is>
      </c>
      <c r="G3" s="2" t="inlineStr">
        <is>
          <t>12 กรัม</t>
        </is>
      </c>
      <c r="H3" s="2" t="inlineStr">
        <is>
          <t>24 กรัม</t>
        </is>
      </c>
      <c r="I3" s="8" t="inlineStr">
        <is>
          <t>4</t>
        </is>
      </c>
      <c r="J3" s="2"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2" t="n"/>
      <c r="L3" s="2" t="inlineStr">
        <is>
          <t>Electrolyte &amp; Milliequivalent Calculation</t>
        </is>
      </c>
      <c r="M3" s="2" t="inlineStr">
        <is>
          <t>Product</t>
        </is>
      </c>
      <c r="N3" s="2" t="inlineStr">
        <is>
          <t>ข้อ 91 (ข้อสอบจริง 2566 Day 2)</t>
        </is>
      </c>
      <c r="O3" s="2" t="inlineStr">
        <is>
          <t>ข้อสอบจริง</t>
        </is>
      </c>
      <c r="P3" s="2" t="inlineStr">
        <is>
          <t>Mock Rx20 UBU</t>
        </is>
      </c>
    </row>
    <row r="4" ht="13.2" customHeight="1" s="49">
      <c r="A4" s="2" t="n">
        <v>2</v>
      </c>
      <c r="B4" s="2"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2" t="n"/>
      <c r="D4" s="2" t="inlineStr">
        <is>
          <t>3.2 mEq/hr</t>
        </is>
      </c>
      <c r="E4" s="2" t="inlineStr">
        <is>
          <t>4.8 mEq/hr</t>
        </is>
      </c>
      <c r="F4" s="2" t="inlineStr">
        <is>
          <t>6.4 mEq/hr</t>
        </is>
      </c>
      <c r="G4" s="2" t="inlineStr">
        <is>
          <t>8.0 mEq/hr</t>
        </is>
      </c>
      <c r="H4" s="2" t="inlineStr">
        <is>
          <t>10.0 mEq/hr</t>
        </is>
      </c>
      <c r="I4" s="8" t="inlineStr">
        <is>
          <t>3</t>
        </is>
      </c>
      <c r="J4" s="2"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2" t="n"/>
      <c r="L4" s="2" t="inlineStr">
        <is>
          <t>IV Infusion Rate Calculation</t>
        </is>
      </c>
      <c r="M4" s="2" t="inlineStr">
        <is>
          <t>Product</t>
        </is>
      </c>
      <c r="N4" s="2" t="inlineStr">
        <is>
          <t>ข้อ 92 (ข้อสอบจริง 2566 Day 2)</t>
        </is>
      </c>
      <c r="O4" s="2" t="inlineStr">
        <is>
          <t>ข้อสอบจริง</t>
        </is>
      </c>
    </row>
    <row r="5" ht="13.2" customHeight="1" s="49">
      <c r="A5" s="2" t="n">
        <v>3</v>
      </c>
      <c r="B5" s="2"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2" t="n"/>
      <c r="D5" s="2" t="inlineStr">
        <is>
          <t>2.0 กรัม</t>
        </is>
      </c>
      <c r="E5" s="2" t="inlineStr">
        <is>
          <t>5.5 กรัม</t>
        </is>
      </c>
      <c r="F5" s="2" t="inlineStr">
        <is>
          <t>6.5 กรัม</t>
        </is>
      </c>
      <c r="G5" s="2" t="inlineStr">
        <is>
          <t>15.0 กรัม</t>
        </is>
      </c>
      <c r="H5" s="2" t="inlineStr">
        <is>
          <t>19.5 กรัม</t>
        </is>
      </c>
      <c r="I5" s="8" t="inlineStr">
        <is>
          <t>5</t>
        </is>
      </c>
      <c r="J5" s="2"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2" t="n"/>
      <c r="L5" s="2" t="inlineStr">
        <is>
          <t>Displacement &amp; Density Factor</t>
        </is>
      </c>
      <c r="M5" s="2" t="inlineStr">
        <is>
          <t>Product</t>
        </is>
      </c>
      <c r="N5" s="2" t="inlineStr">
        <is>
          <t>ข้อ 47 (ข้อสอบจริง 2566 Day 2)</t>
        </is>
      </c>
      <c r="O5" s="2" t="inlineStr">
        <is>
          <t>ข้อสอบจริง</t>
        </is>
      </c>
    </row>
    <row r="6" ht="13.2" customHeight="1" s="49">
      <c r="A6" s="2" t="n">
        <v>4</v>
      </c>
      <c r="B6" s="2"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2" t="n"/>
      <c r="D6" s="2" t="inlineStr">
        <is>
          <t>น้ำหนักผงยารวม / 100</t>
        </is>
      </c>
      <c r="E6" s="2" t="inlineStr">
        <is>
          <t>น้ำหนักผงยารวม / 20</t>
        </is>
      </c>
      <c r="F6" s="2" t="inlineStr">
        <is>
          <t>น้ำหนักผงยารวม / 5</t>
        </is>
      </c>
      <c r="G6" s="2" t="inlineStr">
        <is>
          <t>น้ำหนักผงยารวม / 0.01</t>
        </is>
      </c>
      <c r="H6" s="2" t="inlineStr">
        <is>
          <t>น้ำหนักผงยารวม / 10</t>
        </is>
      </c>
      <c r="I6" s="8" t="inlineStr">
        <is>
          <t>1</t>
        </is>
      </c>
      <c r="J6" s="2"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2" t="n"/>
      <c r="L6" s="2" t="inlineStr">
        <is>
          <t>Pharmaceutical Quality Assay Calculation</t>
        </is>
      </c>
      <c r="M6" s="2" t="inlineStr">
        <is>
          <t>Product</t>
        </is>
      </c>
      <c r="N6" s="2" t="inlineStr">
        <is>
          <t>ข้อ 95 (ข้อสอบจริง 2566 Day 2)</t>
        </is>
      </c>
      <c r="O6" s="2" t="inlineStr">
        <is>
          <t>ข้อสอบจริง</t>
        </is>
      </c>
    </row>
    <row r="7" ht="13.2" customHeight="1" s="49">
      <c r="A7" s="2" t="n">
        <v>5</v>
      </c>
      <c r="B7" s="2"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2" t="n"/>
      <c r="D7" s="2" t="inlineStr">
        <is>
          <t>65 เม็ด</t>
        </is>
      </c>
      <c r="E7" s="2" t="inlineStr">
        <is>
          <t>100 เม็ด</t>
        </is>
      </c>
      <c r="F7" s="2" t="inlineStr">
        <is>
          <t>130 เม็ด</t>
        </is>
      </c>
      <c r="G7" s="2" t="inlineStr">
        <is>
          <t>260 เม็ด</t>
        </is>
      </c>
      <c r="H7" s="2" t="inlineStr">
        <is>
          <t>300 เม็ด</t>
        </is>
      </c>
      <c r="I7" s="8" t="inlineStr">
        <is>
          <t>3</t>
        </is>
      </c>
      <c r="J7" s="2"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2" t="n"/>
      <c r="L7" s="2" t="inlineStr">
        <is>
          <t>Sampling &amp; Dosage Form Weight Calculation</t>
        </is>
      </c>
      <c r="M7" s="2" t="inlineStr">
        <is>
          <t>Product</t>
        </is>
      </c>
      <c r="N7" s="2" t="inlineStr">
        <is>
          <t>ข้อ 52 (ข้อสอบจริง 2566 Day 2)</t>
        </is>
      </c>
      <c r="O7" s="2" t="inlineStr">
        <is>
          <t>ข้อสอบจริง</t>
        </is>
      </c>
    </row>
    <row r="8" ht="13.2" customHeight="1" s="49">
      <c r="A8" s="2" t="n">
        <v>6</v>
      </c>
      <c r="B8" s="2"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2" t="n"/>
      <c r="D8" s="2" t="inlineStr">
        <is>
          <t>2.3 เดือน</t>
        </is>
      </c>
      <c r="E8" s="2" t="inlineStr">
        <is>
          <t>3.5 เดือน</t>
        </is>
      </c>
      <c r="F8" s="2" t="inlineStr">
        <is>
          <t>5.3 เดือน</t>
        </is>
      </c>
      <c r="G8" s="2" t="inlineStr">
        <is>
          <t>10.5 เดือน</t>
        </is>
      </c>
      <c r="H8" s="2" t="inlineStr">
        <is>
          <t>23.0 เดือน</t>
        </is>
      </c>
      <c r="I8" s="8" t="inlineStr">
        <is>
          <t>3</t>
        </is>
      </c>
      <c r="J8" s="2"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2" t="n"/>
      <c r="L8" s="2" t="inlineStr">
        <is>
          <t>Chemical Kinetics &amp; Shelf-Life (t90)</t>
        </is>
      </c>
      <c r="M8" s="2" t="inlineStr">
        <is>
          <t>Product</t>
        </is>
      </c>
      <c r="N8" s="2" t="inlineStr">
        <is>
          <t>ข้อ 53/65 (ข้อสอบจริง 2566 Day 2)</t>
        </is>
      </c>
      <c r="O8" s="2" t="inlineStr">
        <is>
          <t>ข้อสอบจริง</t>
        </is>
      </c>
    </row>
    <row r="9" ht="13.2" customHeight="1" s="49">
      <c r="A9" s="2" t="n">
        <v>7</v>
      </c>
      <c r="B9" s="2"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2" t="n"/>
      <c r="D9" s="2" t="inlineStr">
        <is>
          <t>0.5 ปี</t>
        </is>
      </c>
      <c r="E9" s="2" t="inlineStr">
        <is>
          <t>2.1 ปี</t>
        </is>
      </c>
      <c r="F9" s="2" t="inlineStr">
        <is>
          <t>3.5 ปี</t>
        </is>
      </c>
      <c r="G9" s="2" t="inlineStr">
        <is>
          <t>5.0 ปี</t>
        </is>
      </c>
      <c r="H9" s="2" t="inlineStr">
        <is>
          <t>13.9 ปี</t>
        </is>
      </c>
      <c r="I9" s="8" t="inlineStr">
        <is>
          <t>2</t>
        </is>
      </c>
      <c r="J9" s="2"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2" t="n"/>
      <c r="L9" s="2" t="inlineStr">
        <is>
          <t>Chemical Kinetics &amp; Shelf-Life (t90)</t>
        </is>
      </c>
      <c r="M9" s="2" t="inlineStr">
        <is>
          <t>Product</t>
        </is>
      </c>
      <c r="N9" s="2" t="inlineStr">
        <is>
          <t>ข้อ 15 (ข้อสอบจริง 2562)</t>
        </is>
      </c>
      <c r="O9" s="2" t="inlineStr">
        <is>
          <t>ข้อสอบจริง</t>
        </is>
      </c>
    </row>
    <row r="10" ht="13.2" customHeight="1" s="49">
      <c r="A10" s="2" t="n">
        <v>8</v>
      </c>
      <c r="B10" s="2"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2" t="n"/>
      <c r="D10" s="2" t="inlineStr">
        <is>
          <t>25 mg</t>
        </is>
      </c>
      <c r="E10" s="2" t="inlineStr">
        <is>
          <t>50 mg</t>
        </is>
      </c>
      <c r="F10" s="2" t="inlineStr">
        <is>
          <t>75 mg</t>
        </is>
      </c>
      <c r="G10" s="2" t="inlineStr">
        <is>
          <t>100 mg</t>
        </is>
      </c>
      <c r="H10" s="2" t="inlineStr">
        <is>
          <t>125 mg</t>
        </is>
      </c>
      <c r="I10" s="8" t="inlineStr">
        <is>
          <t>2</t>
        </is>
      </c>
      <c r="J10" s="2"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2" t="n"/>
      <c r="L10" s="2" t="inlineStr">
        <is>
          <t>Capsule Displacement &amp; Volume Calculation</t>
        </is>
      </c>
      <c r="M10" s="2" t="inlineStr">
        <is>
          <t>Product</t>
        </is>
      </c>
      <c r="N10" s="2" t="inlineStr">
        <is>
          <t>ข้อ 19 (ข้อสอบจริง 2562)</t>
        </is>
      </c>
      <c r="O10" s="2" t="inlineStr">
        <is>
          <t>ข้อสอบจริง</t>
        </is>
      </c>
    </row>
    <row r="11" ht="13.2" customHeight="1" s="49">
      <c r="A11" s="2" t="n">
        <v>9</v>
      </c>
      <c r="B11" s="2"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2" t="n"/>
      <c r="D11" s="2" t="inlineStr">
        <is>
          <t>เม็ดขนาด 450 mg จำนวน 2 เม็ด</t>
        </is>
      </c>
      <c r="E11" s="2" t="inlineStr">
        <is>
          <t>เม็ดขนาด 450 mg จำนวน 3 เม็ด</t>
        </is>
      </c>
      <c r="F11" s="2" t="inlineStr">
        <is>
          <t>เม็ดขนาด 300 mg จำนวน 4 เม็ด</t>
        </is>
      </c>
      <c r="G11" s="2" t="inlineStr">
        <is>
          <t>เม็ดขนาด 300 mg จำนวน 6 เม็ด</t>
        </is>
      </c>
      <c r="H11" s="2" t="inlineStr">
        <is>
          <t>เม็ดขนาด 300 mg จำนวน 8 เม็ด</t>
        </is>
      </c>
      <c r="I11" s="8" t="inlineStr">
        <is>
          <t>4</t>
        </is>
      </c>
      <c r="J11" s="2"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2" t="n"/>
      <c r="L11" s="2" t="inlineStr">
        <is>
          <t>Working Formula &amp; Compounding Scaling</t>
        </is>
      </c>
      <c r="M11" s="2" t="inlineStr">
        <is>
          <t>Product</t>
        </is>
      </c>
      <c r="N11" s="2" t="inlineStr">
        <is>
          <t>ข้อ 18 (ข้อสอบจริง 2562)</t>
        </is>
      </c>
      <c r="O11" s="2" t="inlineStr">
        <is>
          <t>ข้อสอบจริง</t>
        </is>
      </c>
    </row>
    <row r="12" ht="13.2" customHeight="1" s="49">
      <c r="A12" s="2" t="n">
        <v>10</v>
      </c>
      <c r="B12" s="2"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2" t="n"/>
      <c r="D12" s="2" t="inlineStr">
        <is>
          <t>15 mL</t>
        </is>
      </c>
      <c r="E12" s="2" t="inlineStr">
        <is>
          <t>30 mL</t>
        </is>
      </c>
      <c r="F12" s="2" t="inlineStr">
        <is>
          <t>45 mL</t>
        </is>
      </c>
      <c r="G12" s="2" t="inlineStr">
        <is>
          <t>60 mL</t>
        </is>
      </c>
      <c r="H12" s="2" t="inlineStr">
        <is>
          <t>75 mL</t>
        </is>
      </c>
      <c r="I12" s="8" t="inlineStr">
        <is>
          <t>4</t>
        </is>
      </c>
      <c r="J12" s="2"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2" t="n"/>
      <c r="L12" s="2" t="inlineStr">
        <is>
          <t>Electrolyte &amp; Milliequivalent Calculation</t>
        </is>
      </c>
      <c r="M12" s="2" t="inlineStr">
        <is>
          <t>Product</t>
        </is>
      </c>
      <c r="N12" s="2" t="inlineStr">
        <is>
          <t>ข้อ 15 (ข้อสอบจริง 2559)</t>
        </is>
      </c>
      <c r="O12" s="2" t="inlineStr">
        <is>
          <t>ข้อสอบจริง</t>
        </is>
      </c>
    </row>
    <row r="13" ht="13.2" customHeight="1" s="49">
      <c r="A13" s="2" t="n">
        <v>11</v>
      </c>
      <c r="B13" s="2"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2" t="n"/>
      <c r="D13" s="2" t="inlineStr">
        <is>
          <t>0.82 กรัม</t>
        </is>
      </c>
      <c r="E13" s="2" t="inlineStr">
        <is>
          <t>1.00 กรัม</t>
        </is>
      </c>
      <c r="F13" s="2" t="inlineStr">
        <is>
          <t>1.21 กรัม</t>
        </is>
      </c>
      <c r="G13" s="2" t="inlineStr">
        <is>
          <t>3.92 กรัม</t>
        </is>
      </c>
      <c r="H13" s="2" t="inlineStr">
        <is>
          <t>4.76 กรัม</t>
        </is>
      </c>
      <c r="I13" s="8" t="inlineStr">
        <is>
          <t>3</t>
        </is>
      </c>
      <c r="J13" s="2"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2" t="n"/>
      <c r="L13" s="2" t="inlineStr">
        <is>
          <t>Molecular Weight &amp; Salt Factor Calculation</t>
        </is>
      </c>
      <c r="M13" s="2" t="inlineStr">
        <is>
          <t>Product</t>
        </is>
      </c>
      <c r="N13" s="2" t="inlineStr">
        <is>
          <t>ข้อ 14 (ข้อสอบจริง 2559)</t>
        </is>
      </c>
      <c r="O13" s="2" t="inlineStr">
        <is>
          <t>ข้อสอบจริง</t>
        </is>
      </c>
    </row>
    <row r="14" ht="13.2" customHeight="1" s="49">
      <c r="A14" s="2" t="n">
        <v>12</v>
      </c>
      <c r="B14" s="2"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2" t="n"/>
      <c r="D14" s="2" t="inlineStr">
        <is>
          <t>0.45 กรัม</t>
        </is>
      </c>
      <c r="E14" s="2" t="inlineStr">
        <is>
          <t>0.55 กรัม</t>
        </is>
      </c>
      <c r="F14" s="2" t="inlineStr">
        <is>
          <t>1.45 กรัม</t>
        </is>
      </c>
      <c r="G14" s="2" t="inlineStr">
        <is>
          <t>1.55 กรัม</t>
        </is>
      </c>
      <c r="H14" s="2" t="inlineStr">
        <is>
          <t>2.00 กรัม</t>
        </is>
      </c>
      <c r="I14" s="8" t="inlineStr">
        <is>
          <t>4</t>
        </is>
      </c>
      <c r="J14" s="2"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2" t="n"/>
      <c r="L14" s="2" t="inlineStr">
        <is>
          <t>Displacement &amp; Density Factor</t>
        </is>
      </c>
      <c r="M14" s="2" t="inlineStr">
        <is>
          <t>Product</t>
        </is>
      </c>
      <c r="N14" s="2" t="inlineStr">
        <is>
          <t>ข้อ 13 (ข้อสอบจริง 2559)</t>
        </is>
      </c>
      <c r="O14" s="2" t="inlineStr">
        <is>
          <t>ข้อสอบจริง</t>
        </is>
      </c>
    </row>
    <row r="15" ht="13.2" customHeight="1" s="49">
      <c r="A15" s="2" t="n">
        <v>13</v>
      </c>
      <c r="B15" s="2"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2" t="n"/>
      <c r="D15" s="2" t="inlineStr">
        <is>
          <t>0.330 กรัม</t>
        </is>
      </c>
      <c r="E15" s="2" t="inlineStr">
        <is>
          <t>0.440 กรัม</t>
        </is>
      </c>
      <c r="F15" s="2" t="inlineStr">
        <is>
          <t>0.720 กรัม</t>
        </is>
      </c>
      <c r="G15" s="2" t="inlineStr">
        <is>
          <t>0.880 กรัม</t>
        </is>
      </c>
      <c r="H15" s="2" t="inlineStr">
        <is>
          <t>0.900 กรัม</t>
        </is>
      </c>
      <c r="I15" s="8" t="inlineStr">
        <is>
          <t>4</t>
        </is>
      </c>
      <c r="J15" s="2"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2" t="n"/>
      <c r="L15" s="2" t="inlineStr">
        <is>
          <t>Isotonicity &amp; Sodium Chloride Equivalent (E-value)</t>
        </is>
      </c>
      <c r="M15" s="2" t="inlineStr">
        <is>
          <t>Product</t>
        </is>
      </c>
      <c r="N15" s="2" t="inlineStr">
        <is>
          <t>ข้อ 98 (ข้อสอบจริง 2564) &amp; ข้อ 62 (2563 IDQ V)</t>
        </is>
      </c>
      <c r="O15" s="2" t="inlineStr">
        <is>
          <t>ข้อสอบจริง</t>
        </is>
      </c>
    </row>
    <row r="16" ht="13.2" customHeight="1" s="49">
      <c r="A16" s="2" t="n">
        <v>14</v>
      </c>
      <c r="B16" s="2"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2" t="n"/>
      <c r="D16" s="2" t="inlineStr">
        <is>
          <t>D5W 445 mL และ D50W 55 mL</t>
        </is>
      </c>
      <c r="E16" s="2" t="inlineStr">
        <is>
          <t>D5W 495 mL และ D50W 5 mL</t>
        </is>
      </c>
      <c r="F16" s="2" t="inlineStr">
        <is>
          <t>D5W 400 mL และ D50W 100 mL</t>
        </is>
      </c>
      <c r="G16" s="2" t="inlineStr">
        <is>
          <t>D5W 450 mL และ D50W 50 mL</t>
        </is>
      </c>
      <c r="H16" s="2" t="inlineStr">
        <is>
          <t>D5W 350 mL และ D50W 150 mL</t>
        </is>
      </c>
      <c r="I16" s="8" t="inlineStr">
        <is>
          <t>1</t>
        </is>
      </c>
      <c r="J16" s="2"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2" t="n"/>
      <c r="L16" s="2" t="inlineStr">
        <is>
          <t>Alligation Alternate Method</t>
        </is>
      </c>
      <c r="M16" s="2" t="inlineStr">
        <is>
          <t>Product</t>
        </is>
      </c>
      <c r="N16" s="2" t="inlineStr">
        <is>
          <t>ข้อ 90 (ข้อสอบจริง 2565 Day 1)</t>
        </is>
      </c>
      <c r="O16" s="2" t="inlineStr">
        <is>
          <t>ข้อสอบจริง</t>
        </is>
      </c>
    </row>
    <row r="17" ht="409.6" customHeight="1" s="49">
      <c r="A17" s="35" t="n">
        <v>15</v>
      </c>
      <c r="B17" s="34" t="inlineStr">
        <is>
          <t>(ปี 2566, Day 2 ข้อ 47\) (เรื่อง: การคำนวณยาเหน็บ - Density/Displacement factor) Bisacodyl มี Dv (density/displacement factor) = 0.2 ต้องการผลิตยาเหน็บ 10 mg จำนวน 10 แท่ง (น้ำหนักเม็ดเปล่า/ฐานล้วน = 2 g) ต้องเตรียมน้ำหนักยาพื้นเท่าไหร่</t>
        </is>
      </c>
      <c r="C17" s="35" t="n"/>
      <c r="D17" s="34" t="inlineStr">
        <is>
          <t>2</t>
        </is>
      </c>
      <c r="E17" s="34" t="inlineStr">
        <is>
          <t>5.5</t>
        </is>
      </c>
      <c r="F17" s="34" t="inlineStr">
        <is>
          <t>6.5</t>
        </is>
      </c>
      <c r="G17" s="34" t="inlineStr">
        <is>
          <t>19.5</t>
        </is>
      </c>
      <c r="H17" s="34" t="inlineStr">
        <is>
          <t>15</t>
        </is>
      </c>
      <c r="I17" s="35" t="n">
        <v>1</v>
      </c>
      <c r="J17" s="34" t="inlineStr">
        <is>
          <t>✅ คำตอบที่ถูกต้อง: ข้อ ก. 2
💡 Background:
คำถามข้อสอบจริงใบประกอบวิชาชีพ PLE-CC 1 (Product) ปี 2566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7" s="35" t="n"/>
      <c r="L17" s="34" t="inlineStr">
        <is>
          <t>Pharmaceutical Calculations</t>
        </is>
      </c>
      <c r="M17" s="35" t="inlineStr">
        <is>
          <t>Product</t>
        </is>
      </c>
      <c r="N17" s="34" t="inlineStr">
        <is>
          <t>ข้อสอบจริง Product ปี 2566 ข้อ 17</t>
        </is>
      </c>
      <c r="O17" s="35" t="inlineStr">
        <is>
          <t>ข้อสอบจริง</t>
        </is>
      </c>
      <c r="P17" s="35" t="inlineStr">
        <is>
          <t>ปี 2566</t>
        </is>
      </c>
    </row>
    <row r="18" ht="409.6" customHeight="1" s="49">
      <c r="A18" s="35" t="n">
        <v>16</v>
      </c>
      <c r="B18" s="34" t="inlineStr">
        <is>
          <t>(ปี 2566, Day 2 ข้อ 91\) (เรื่อง: การคำนวณเตรียม KCl) แพทย์สั่งจ่ายยา KCl 40 mEq/tablespoon (15 mL) จำนวน 60 mL เภสัชกรต้องเตรียม KCl กี่กรัม (MW=74.5)</t>
        </is>
      </c>
      <c r="C18" s="35" t="n"/>
      <c r="D18" s="34" t="inlineStr">
        <is>
          <t>1</t>
        </is>
      </c>
      <c r="E18" s="34" t="inlineStr">
        <is>
          <t>3</t>
        </is>
      </c>
      <c r="F18" s="34" t="inlineStr">
        <is>
          <t>6</t>
        </is>
      </c>
      <c r="G18" s="34" t="inlineStr">
        <is>
          <t>12</t>
        </is>
      </c>
      <c r="H18" s="34" t="inlineStr">
        <is>
          <t>24</t>
        </is>
      </c>
      <c r="I18" s="35" t="n">
        <v>1</v>
      </c>
      <c r="J18" s="34" t="inlineStr">
        <is>
          <t>✅ คำตอบที่ถูกต้อง: ข้อ ก. 1
💡 Background:
คำถามข้อสอบจริงใบประกอบวิชาชีพ PLE-CC 1 (Product) ปี 2566 ข้อ 37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8" s="35" t="n"/>
      <c r="L18" s="34" t="inlineStr">
        <is>
          <t>Pharmaceutical Calculations</t>
        </is>
      </c>
      <c r="M18" s="35" t="inlineStr">
        <is>
          <t>Product</t>
        </is>
      </c>
      <c r="N18" s="34" t="inlineStr">
        <is>
          <t>ข้อสอบจริง Product ปี 2566 ข้อ 37</t>
        </is>
      </c>
      <c r="O18" s="35" t="inlineStr">
        <is>
          <t>ข้อสอบจริง</t>
        </is>
      </c>
      <c r="P18" s="35" t="inlineStr">
        <is>
          <t>ปี 2566</t>
        </is>
      </c>
    </row>
    <row r="19" ht="409.6" customHeight="1" s="49">
      <c r="A19" s="35" t="n">
        <v>17</v>
      </c>
      <c r="B19" s="34" t="inlineStr">
        <is>
          <t>(ปี 2566, Day 2 ข้อ 95\) (เรื่อง: การคำนวณ Assay - Metformin) ให้ Monograph ของการวิเคราะห์ Assay metformin มา Monograph ระบุให้บด 20 เม็ด ชั่งผงยาที่มีตัวยา 100 mg (Metformin 1 เม็ด = 500 mg) ต้องชั่งผงยาเท่าไร</t>
        </is>
      </c>
      <c r="C19" s="35" t="n"/>
      <c r="D19" s="34" t="inlineStr">
        <is>
          <t>น้ำหนักผงยา/100</t>
        </is>
      </c>
      <c r="E19" s="34" t="inlineStr">
        <is>
          <t>น้ำหนักผงยา/0.01</t>
        </is>
      </c>
      <c r="F19" s="34" t="inlineStr">
        <is>
          <t>น้ำหนักผงยา/20</t>
        </is>
      </c>
      <c r="G19" s="34" t="inlineStr">
        <is>
          <t>น้ำหนักผงยา/5</t>
        </is>
      </c>
      <c r="H19" s="34" t="n"/>
      <c r="I19" s="35" t="n">
        <v>1</v>
      </c>
      <c r="J19" s="34" t="inlineStr">
        <is>
          <t>✅ คำตอบที่ถูกต้อง: ข้อ ก. น้ำหนักผงยา/100
💡 Background:
คำถามข้อสอบจริงใบประกอบวิชาชีพ PLE-CC 1 (Product) ปี 2566 ข้อ 39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19" s="35" t="n"/>
      <c r="L19" s="34" t="inlineStr">
        <is>
          <t>Pharmaceutical Calculations</t>
        </is>
      </c>
      <c r="M19" s="35" t="inlineStr">
        <is>
          <t>Product</t>
        </is>
      </c>
      <c r="N19" s="34" t="inlineStr">
        <is>
          <t>ข้อสอบจริง Product ปี 2566 ข้อ 39</t>
        </is>
      </c>
      <c r="O19" s="35" t="inlineStr">
        <is>
          <t>ข้อสอบจริง</t>
        </is>
      </c>
      <c r="P19" s="35" t="inlineStr">
        <is>
          <t>ปี 2566</t>
        </is>
      </c>
    </row>
    <row r="20" ht="409.6" customHeight="1" s="49">
      <c r="A20" s="35" t="n">
        <v>18</v>
      </c>
      <c r="B20" s="34" t="inlineStr">
        <is>
          <t>ให้ข้อมูล content uniformity ของยาเม็ด meloxicam 10 mg (ให้ตาราง % labeled amount ของยา 10 ตัวโดยมีค่าเฉลี่ยอยูที่ 99.5) ค่า k และ M ที่ใช้ในการคำนวณ uniformity of dosage unit เท่ากับเทาใด</t>
        </is>
      </c>
      <c r="C20" s="35" t="inlineStr">
        <is>
          <t>[แนบรูป: ข้อสอบ Product ปี 2564 รหัสรูปภาพ image74]</t>
        </is>
      </c>
      <c r="D20" s="34" t="inlineStr">
        <is>
          <t>k=2.4, M=98.5</t>
        </is>
      </c>
      <c r="E20" s="34" t="inlineStr">
        <is>
          <t>k=2.4, M=101.8</t>
        </is>
      </c>
      <c r="F20" s="34" t="inlineStr">
        <is>
          <t>k=2.4, M=99.8</t>
        </is>
      </c>
      <c r="G20" s="34" t="inlineStr">
        <is>
          <t>k=2.0, M=98.5</t>
        </is>
      </c>
      <c r="H20" s="34" t="inlineStr">
        <is>
          <t>k=2.0, M=101.8</t>
        </is>
      </c>
      <c r="I20" s="35" t="n">
        <v>1</v>
      </c>
      <c r="J20" s="34" t="inlineStr">
        <is>
          <t>✅ คำตอบที่ถูกต้อง: ข้อ ก. k=2.4, M=98.5
💡 Background:
คำถามข้อสอบจริงใบประกอบวิชาชีพ PLE-CC 1 (Product) ปี 2564 ข้อ 35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0" s="35" t="n"/>
      <c r="L20" s="34" t="inlineStr">
        <is>
          <t>Pharmaceutical Calculations</t>
        </is>
      </c>
      <c r="M20" s="35" t="inlineStr">
        <is>
          <t>Product</t>
        </is>
      </c>
      <c r="N20" s="34" t="inlineStr">
        <is>
          <t>ข้อสอบจริง Product ปี 2564 ข้อ 35</t>
        </is>
      </c>
      <c r="O20" s="35" t="inlineStr">
        <is>
          <t>ข้อสอบจริง</t>
        </is>
      </c>
      <c r="P20" s="35" t="inlineStr">
        <is>
          <t>ปี 2564</t>
        </is>
      </c>
    </row>
    <row r="21" ht="409.6" customHeight="1" s="49">
      <c r="A21" s="35" t="n">
        <v>19</v>
      </c>
      <c r="B21" s="34" t="inlineStr">
        <is>
          <t>ผู้หญิงน้ำหนัก 60 กิโลกรัม และส่วนสูง 150 ซม. ผู้หญิงรายนี้มีค่า BMI เท่ากับเท่าไหร่</t>
        </is>
      </c>
      <c r="C21" s="35" t="n"/>
      <c r="D21" s="34" t="inlineStr">
        <is>
          <t>23.7</t>
        </is>
      </c>
      <c r="E21" s="34" t="inlineStr">
        <is>
          <t>24.7</t>
        </is>
      </c>
      <c r="F21" s="34" t="inlineStr">
        <is>
          <t>26.7</t>
        </is>
      </c>
      <c r="G21" s="34" t="inlineStr">
        <is>
          <t>30</t>
        </is>
      </c>
      <c r="H21" s="34" t="inlineStr">
        <is>
          <t>40</t>
        </is>
      </c>
      <c r="I21" s="35" t="n">
        <v>1</v>
      </c>
      <c r="J21" s="34" t="inlineStr">
        <is>
          <t>✅ คำตอบที่ถูกต้อง: ข้อ ก. 23.7
💡 Background:
คำถามข้อสอบจริงใบประกอบวิชาชีพ PLE-CC 1 (Product) ปี 2564 ข้อ 88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1" s="35" t="n"/>
      <c r="L21" s="34" t="inlineStr">
        <is>
          <t>Pharmaceutical Calculations</t>
        </is>
      </c>
      <c r="M21" s="35" t="inlineStr">
        <is>
          <t>Product</t>
        </is>
      </c>
      <c r="N21" s="34" t="inlineStr">
        <is>
          <t>ข้อสอบจริง Product ปี 2564 ข้อ 88</t>
        </is>
      </c>
      <c r="O21" s="35" t="inlineStr">
        <is>
          <t>ข้อสอบจริง</t>
        </is>
      </c>
      <c r="P21" s="35" t="inlineStr">
        <is>
          <t>ปี 2564</t>
        </is>
      </c>
    </row>
    <row r="22" ht="409.6" customHeight="1" s="49">
      <c r="A22" s="35" t="n">
        <v>20</v>
      </c>
      <c r="B22" s="34" t="inlineStr">
        <is>
          <t>จากสูตรตำรับ | ชื่อสาร | ปริมาณสาร | E | | :---- | :---- | :---- | | A________________ | 0.05 | 0.16 | | T________________ | 0.04 | 0.25 | | B________________ | 0.01 | 0.16 | | NaCl |  | x | | Distilled water qs to | 100 ml |  | คำนวณปริมาณ NaCl ในสูตรตำรับให้ได้เป็น isotonic solution</t>
        </is>
      </c>
      <c r="C22" s="35" t="n"/>
      <c r="D22" s="34" t="inlineStr">
        <is>
          <t>0.330 g</t>
        </is>
      </c>
      <c r="E22" s="34" t="inlineStr">
        <is>
          <t>0.440 g</t>
        </is>
      </c>
      <c r="F22" s="34" t="inlineStr">
        <is>
          <t>0.720 g</t>
        </is>
      </c>
      <c r="G22" s="34" t="inlineStr">
        <is>
          <t>0.880 g</t>
        </is>
      </c>
      <c r="H22" s="34" t="inlineStr">
        <is>
          <t>0.900 g</t>
        </is>
      </c>
      <c r="I22" s="35" t="n">
        <v>1</v>
      </c>
      <c r="J22" s="34" t="inlineStr">
        <is>
          <t>✅ คำตอบที่ถูกต้อง: ข้อ ก. 0.330 g
💡 Background:
คำถามข้อสอบจริงใบประกอบวิชาชีพ PLE-CC 1 (Product) ปี 2564 ข้อ 98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2" s="35" t="n"/>
      <c r="L22" s="34" t="inlineStr">
        <is>
          <t>Pharmaceutical Calculations</t>
        </is>
      </c>
      <c r="M22" s="35" t="inlineStr">
        <is>
          <t>Product</t>
        </is>
      </c>
      <c r="N22" s="34" t="inlineStr">
        <is>
          <t>ข้อสอบจริง Product ปี 2564 ข้อ 98</t>
        </is>
      </c>
      <c r="O22" s="35" t="inlineStr">
        <is>
          <t>ข้อสอบจริง</t>
        </is>
      </c>
      <c r="P22" s="35" t="inlineStr">
        <is>
          <t>ปี 2564</t>
        </is>
      </c>
    </row>
    <row r="23" ht="409.6" customHeight="1" s="49">
      <c r="A23" s="35" t="n">
        <v>21</v>
      </c>
      <c r="B23" s="34" t="inlineStr">
        <is>
          <t>Sodium hydroxide ในสูตรตำรับ ทำหน้าที่ใด</t>
        </is>
      </c>
      <c r="C23" s="35" t="n"/>
      <c r="D23" s="34" t="inlineStr">
        <is>
          <t>Cosolvent</t>
        </is>
      </c>
      <c r="E23" s="34" t="inlineStr">
        <is>
          <t>Tonicity adjuster</t>
        </is>
      </c>
      <c r="F23" s="34" t="inlineStr">
        <is>
          <t>pH adjuster</t>
        </is>
      </c>
      <c r="G23" s="34" t="inlineStr">
        <is>
          <t>Preservative</t>
        </is>
      </c>
      <c r="H23" s="34" t="inlineStr">
        <is>
          <t>Viscosity adjuster</t>
        </is>
      </c>
      <c r="I23" s="35" t="n">
        <v>1</v>
      </c>
      <c r="J23" s="34" t="inlineStr">
        <is>
          <t>✅ คำตอบที่ถูกต้อง: ข้อ ก. Cosolvent
💡 Background:
คำถามข้อสอบจริงใบประกอบวิชาชีพ PLE-CC 1 (Product) ปี 2564 ข้อ 107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3" s="35" t="n"/>
      <c r="L23" s="34" t="inlineStr">
        <is>
          <t>Pharmaceutical Calculations</t>
        </is>
      </c>
      <c r="M23" s="35" t="inlineStr">
        <is>
          <t>Product</t>
        </is>
      </c>
      <c r="N23" s="34" t="inlineStr">
        <is>
          <t>ข้อสอบจริง Product ปี 2564 ข้อ 107</t>
        </is>
      </c>
      <c r="O23" s="35" t="inlineStr">
        <is>
          <t>ข้อสอบจริง</t>
        </is>
      </c>
      <c r="P23" s="35" t="inlineStr">
        <is>
          <t>ปี 2564</t>
        </is>
      </c>
    </row>
    <row r="24" ht="409.6" customHeight="1" s="49">
      <c r="A24" s="35" t="n">
        <v>22</v>
      </c>
      <c r="B24" s="34"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24" s="35" t="n"/>
      <c r="D24" s="34" t="inlineStr">
        <is>
          <t>1 tab</t>
        </is>
      </c>
      <c r="E24" s="34" t="inlineStr">
        <is>
          <t>2 tab</t>
        </is>
      </c>
      <c r="F24" s="34" t="inlineStr">
        <is>
          <t>3 tab</t>
        </is>
      </c>
      <c r="G24" s="34" t="inlineStr">
        <is>
          <t>4 tab</t>
        </is>
      </c>
      <c r="H24" s="34" t="inlineStr">
        <is>
          <t>5 tab</t>
        </is>
      </c>
      <c r="I24" s="35" t="n">
        <v>1</v>
      </c>
      <c r="J24" s="34" t="inlineStr">
        <is>
          <t>✅ คำตอบที่ถูกต้อง: ข้อ ก. 1 tab
💡 Background:
คำถามข้อสอบจริงใบประกอบวิชาชีพ PLE-CC 1 (Product) ปี 2564 ข้อ 138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4" s="35" t="n"/>
      <c r="L24" s="34" t="inlineStr">
        <is>
          <t>Pharmaceutical Calculations</t>
        </is>
      </c>
      <c r="M24" s="35" t="inlineStr">
        <is>
          <t>Product</t>
        </is>
      </c>
      <c r="N24" s="34" t="inlineStr">
        <is>
          <t>ข้อสอบจริง Product ปี 2564 ข้อ 138</t>
        </is>
      </c>
      <c r="O24" s="35" t="inlineStr">
        <is>
          <t>ข้อสอบจริง</t>
        </is>
      </c>
      <c r="P24" s="35" t="inlineStr">
        <is>
          <t>ปี 2564</t>
        </is>
      </c>
    </row>
    <row r="25" ht="409.6" customHeight="1" s="49">
      <c r="A25" s="35" t="n">
        <v>23</v>
      </c>
      <c r="B25" s="34" t="inlineStr">
        <is>
          <t>การพัฒนาตำรับ Film coated ของ Risedronate sodium 35 mg ข้อใดผิด (ให้ส่วนประกอบ Film coated ของ Risedronate sodium มาเป็น %) ต้นฉบับ: Day 1 ข้อ 66</t>
        </is>
      </c>
      <c r="C25" s="35" t="n"/>
      <c r="D25" s="34" t="inlineStr">
        <is>
          <t>น้ำหนัก Core tablet = 200 mg</t>
        </is>
      </c>
      <c r="E25" s="34" t="inlineStr">
        <is>
          <t>Microcrystalline cellulose = Lubricant</t>
        </is>
      </c>
      <c r="F25" s="34" t="inlineStr">
        <is>
          <t>Hydroxypropyl cellulose = Binder</t>
        </is>
      </c>
      <c r="G25" s="34" t="inlineStr">
        <is>
          <t>PEG = Plasticizer</t>
        </is>
      </c>
      <c r="H25" s="34" t="inlineStr">
        <is>
          <t>Titanium dioxide = Opacifier</t>
        </is>
      </c>
      <c r="I25" s="35" t="n">
        <v>2</v>
      </c>
      <c r="J25" s="34" t="inlineStr">
        <is>
          <t>✅ คำตอบที่ถูกต้อง: ข้อ ข. Microcrystalline cellulose = Lubricant
💡 Background:
คำถามข้อสอบจริงใบประกอบวิชาชีพ PLE-CC 1 (Product) ปี 2563 ข้อ 24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5" s="35" t="n"/>
      <c r="L25" s="34" t="inlineStr">
        <is>
          <t>Pharmaceutical Calculations</t>
        </is>
      </c>
      <c r="M25" s="35" t="inlineStr">
        <is>
          <t>Product</t>
        </is>
      </c>
      <c r="N25" s="34" t="inlineStr">
        <is>
          <t>ข้อสอบจริง Product ปี 2563 ข้อ 24</t>
        </is>
      </c>
      <c r="O25" s="35" t="inlineStr">
        <is>
          <t>ข้อสอบจริง</t>
        </is>
      </c>
      <c r="P25" s="35" t="inlineStr">
        <is>
          <t>ปี 2563</t>
        </is>
      </c>
    </row>
    <row r="26" ht="409.6" customHeight="1" s="49">
      <c r="A26" s="35" t="n">
        <v>24</v>
      </c>
      <c r="B26" s="34" t="inlineStr">
        <is>
          <t>ครีม betamethasone valerate 0.1% คิด %label amount ได้ 100 ถ้าในครีม 1 g จะมียาเท่าไร ต้นฉบับ: Day 1 ข้อ 74</t>
        </is>
      </c>
      <c r="C26" s="35" t="n"/>
      <c r="D26" s="34" t="inlineStr">
        <is>
          <t>betamethasone 1 mg</t>
        </is>
      </c>
      <c r="E26" s="34" t="inlineStr">
        <is>
          <t>betamethasone 10 mg</t>
        </is>
      </c>
      <c r="F26" s="34" t="inlineStr">
        <is>
          <t>betamethasone valerate 0.1 mg</t>
        </is>
      </c>
      <c r="G26" s="34" t="inlineStr">
        <is>
          <t>betamethasone valerate 1 mg</t>
        </is>
      </c>
      <c r="H26" s="34" t="inlineStr">
        <is>
          <t>betamethasone valerate 10 mg</t>
        </is>
      </c>
      <c r="I26" s="35" t="n">
        <v>4</v>
      </c>
      <c r="J26" s="34" t="inlineStr">
        <is>
          <t>✅ คำตอบที่ถูกต้อง: ข้อ ง. betamethasone valerate 1 mg
💡 Background:
คำถามข้อสอบจริงใบประกอบวิชาชีพ PLE-CC 1 (Product) ปี 2563 ข้อ 41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6" s="35" t="n"/>
      <c r="L26" s="34" t="inlineStr">
        <is>
          <t>Pharmaceutical Calculations</t>
        </is>
      </c>
      <c r="M26" s="35" t="inlineStr">
        <is>
          <t>Product</t>
        </is>
      </c>
      <c r="N26" s="34" t="inlineStr">
        <is>
          <t>ข้อสอบจริง Product ปี 2563 ข้อ 41</t>
        </is>
      </c>
      <c r="O26" s="35" t="inlineStr">
        <is>
          <t>ข้อสอบจริง</t>
        </is>
      </c>
      <c r="P26" s="35" t="inlineStr">
        <is>
          <t>ปี 2563</t>
        </is>
      </c>
    </row>
    <row r="27" ht="409.6" customHeight="1" s="49">
      <c r="A27" s="35" t="n">
        <v>25</v>
      </c>
      <c r="B27" s="34" t="inlineStr">
        <is>
          <t>Each teaspoon contains 125 mg of naproxen containing vehicles of sucrose, magnesium aluminium silicate, disodium edetate, FD\&amp;C Yellow... ถ้าจะเตรียม naproxen suspension ขนาด 100ml จะต้องใช้ naproxen กี่ g? ต้นฉบับ: Day 1 ข้อ 89</t>
        </is>
      </c>
      <c r="C27" s="35" t="n"/>
      <c r="D27" s="34" t="inlineStr">
        <is>
          <t>1.5</t>
        </is>
      </c>
      <c r="E27" s="34" t="inlineStr">
        <is>
          <t>2.5</t>
        </is>
      </c>
      <c r="F27" s="34" t="inlineStr">
        <is>
          <t>3.5</t>
        </is>
      </c>
      <c r="G27" s="34" t="inlineStr">
        <is>
          <t>4.5</t>
        </is>
      </c>
      <c r="H27" s="34" t="inlineStr">
        <is>
          <t>5.5</t>
        </is>
      </c>
      <c r="I27" s="35" t="n">
        <v>2</v>
      </c>
      <c r="J27" s="34" t="inlineStr">
        <is>
          <t>✅ คำตอบที่ถูกต้อง: ข้อ ข. 2.5
💡 Background:
คำถามข้อสอบจริงใบประกอบวิชาชีพ PLE-CC 1 (Product) ปี 2563 ข้อ 43
🎯 ทำไมข้อนี้ถึงถูก:
ข้อ ข.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7" s="35" t="n"/>
      <c r="L27" s="34" t="inlineStr">
        <is>
          <t>Pharmaceutical Calculations</t>
        </is>
      </c>
      <c r="M27" s="35" t="inlineStr">
        <is>
          <t>Product</t>
        </is>
      </c>
      <c r="N27" s="34" t="inlineStr">
        <is>
          <t>ข้อสอบจริง Product ปี 2563 ข้อ 43</t>
        </is>
      </c>
      <c r="O27" s="35" t="inlineStr">
        <is>
          <t>ข้อสอบจริง</t>
        </is>
      </c>
      <c r="P27" s="35" t="inlineStr">
        <is>
          <t>ปี 2563</t>
        </is>
      </c>
    </row>
    <row r="28" ht="409.6" customHeight="1" s="49">
      <c r="A28" s="35" t="n">
        <v>26</v>
      </c>
      <c r="B28" s="34" t="inlineStr">
        <is>
          <t>หมอจ่ายยา glucocorticoid ฉีดข้อเข่ามีองค์ประกอบดังนี้ ต้นฉบับ: Day 1 ข้อ 5 • dexamethasone • sodium chloride for injection • benzyl alcohol • polysorbate 80 • sodium hydroxide qs. • water for injection 1 ml Sodium hydroxide ในสูตรตำรับ ทำหน้าที่ใด</t>
        </is>
      </c>
      <c r="C28" s="35" t="n"/>
      <c r="D28" s="34" t="inlineStr">
        <is>
          <t>Cosolvent</t>
        </is>
      </c>
      <c r="E28" s="34" t="inlineStr">
        <is>
          <t>Tonicity adjuster</t>
        </is>
      </c>
      <c r="F28" s="34" t="inlineStr">
        <is>
          <t>pH adjuster</t>
        </is>
      </c>
      <c r="G28" s="34" t="inlineStr">
        <is>
          <t>Preservative</t>
        </is>
      </c>
      <c r="H28" s="34" t="inlineStr">
        <is>
          <t>Viscosity adjuster</t>
        </is>
      </c>
      <c r="I28" s="35" t="n">
        <v>3</v>
      </c>
      <c r="J28" s="34" t="inlineStr">
        <is>
          <t>✅ คำตอบที่ถูกต้อง: ข้อ ค. pH adjuster
💡 Background:
คำถามข้อสอบจริงใบประกอบวิชาชีพ PLE-CC 1 (Product) ปี 2563 ข้อ 58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8" s="35" t="n"/>
      <c r="L28" s="34" t="inlineStr">
        <is>
          <t>Pharmaceutical Calculations</t>
        </is>
      </c>
      <c r="M28" s="35" t="inlineStr">
        <is>
          <t>Product</t>
        </is>
      </c>
      <c r="N28" s="34" t="inlineStr">
        <is>
          <t>ข้อสอบจริง Product ปี 2563 ข้อ 58</t>
        </is>
      </c>
      <c r="O28" s="35" t="inlineStr">
        <is>
          <t>ข้อสอบจริง</t>
        </is>
      </c>
      <c r="P28" s="35" t="inlineStr">
        <is>
          <t>ปี 2563</t>
        </is>
      </c>
    </row>
    <row r="29" ht="409.6" customHeight="1" s="49">
      <c r="A29" s="35" t="n">
        <v>27</v>
      </c>
      <c r="B29" s="34" t="inlineStr">
        <is>
          <t>ข้อใดถูกต้องเกี่ยวกับ Sterile water for injection ต้นฉบับ: Day 1 ข้อ 94</t>
        </is>
      </c>
      <c r="C29" s="35" t="n"/>
      <c r="D29" s="34" t="inlineStr">
        <is>
          <t>มี Preservatives</t>
        </is>
      </c>
      <c r="E29" s="34" t="inlineStr">
        <is>
          <t>ใช้ได้หลายครั้ง</t>
        </is>
      </c>
      <c r="F29" s="34" t="inlineStr">
        <is>
          <t>ได้จากน้ำกลั่นที่ทำให้ปราศจากเชื้อ</t>
        </is>
      </c>
      <c r="G29" s="34" t="inlineStr">
        <is>
          <t>ใช้ภาชนะเป็น glass type III</t>
        </is>
      </c>
      <c r="H29" s="34" t="inlineStr">
        <is>
          <t>Osmolarity 308</t>
        </is>
      </c>
      <c r="I29" s="35" t="n">
        <v>3</v>
      </c>
      <c r="J29" s="34" t="inlineStr">
        <is>
          <t>✅ คำตอบที่ถูกต้อง: ข้อ ค. ได้จากน้ำกลั่นที่ทำให้ปราศจากเชื้อ
💡 Background:
คำถามข้อสอบจริงใบประกอบวิชาชีพ PLE-CC 1 (Product) ปี 2563 ข้อ 61
🎯 ทำไมข้อนี้ถึงถูก:
ข้อ ค.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29" s="35" t="n"/>
      <c r="L29" s="34" t="inlineStr">
        <is>
          <t>Pharmaceutical Calculations</t>
        </is>
      </c>
      <c r="M29" s="35" t="inlineStr">
        <is>
          <t>Product</t>
        </is>
      </c>
      <c r="N29" s="34" t="inlineStr">
        <is>
          <t>ข้อสอบจริง Product ปี 2563 ข้อ 61</t>
        </is>
      </c>
      <c r="O29" s="35" t="inlineStr">
        <is>
          <t>ข้อสอบจริง</t>
        </is>
      </c>
      <c r="P29" s="35" t="inlineStr">
        <is>
          <t>ปี 2563</t>
        </is>
      </c>
    </row>
    <row r="30" ht="409.6" customHeight="1" s="49">
      <c r="A30" s="35" t="n">
        <v>28</v>
      </c>
      <c r="B30" s="34" t="inlineStr">
        <is>
          <t>จากสูตรตำรับ ต้นฉบับ: Day 1 ข้อ 95 | ชื่อสาร | ปริมาณสาร | E | | ----- | :---: | :---: | | A | 0.05 | 0.16 | | T | 0.04 | 0.25 | | B | 0.01 | 0.16 | | NaCl | x |  | | Distilled water qs to | 100 ml |  | คำนวณปริมาณ NaCl ในสูตรตำรับให้ได้เป็น isotonic solution</t>
        </is>
      </c>
      <c r="C30" s="35" t="n"/>
      <c r="D30" s="34" t="inlineStr">
        <is>
          <t>0.330 g</t>
        </is>
      </c>
      <c r="E30" s="34" t="inlineStr">
        <is>
          <t>0.440 g</t>
        </is>
      </c>
      <c r="F30" s="34" t="inlineStr">
        <is>
          <t>0.720 g</t>
        </is>
      </c>
      <c r="G30" s="34" t="inlineStr">
        <is>
          <t>0.880 g</t>
        </is>
      </c>
      <c r="H30" s="34" t="inlineStr">
        <is>
          <t>0.900 g</t>
        </is>
      </c>
      <c r="I30" s="35" t="n">
        <v>4</v>
      </c>
      <c r="J30" s="34" t="inlineStr">
        <is>
          <t>✅ คำตอบที่ถูกต้อง: ข้อ ง. 0.880 g
💡 Background:
คำถามข้อสอบจริงใบประกอบวิชาชีพ PLE-CC 1 (Product) ปี 2563 ข้อ 62
🎯 ทำไมข้อนี้ถึงถูก:
ข้อ ง.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0" s="35" t="n"/>
      <c r="L30" s="34" t="inlineStr">
        <is>
          <t>Pharmaceutical Calculations</t>
        </is>
      </c>
      <c r="M30" s="35" t="inlineStr">
        <is>
          <t>Product</t>
        </is>
      </c>
      <c r="N30" s="34" t="inlineStr">
        <is>
          <t>ข้อสอบจริง Product ปี 2563 ข้อ 62</t>
        </is>
      </c>
      <c r="O30" s="35" t="inlineStr">
        <is>
          <t>ข้อสอบจริง</t>
        </is>
      </c>
      <c r="P30" s="35" t="inlineStr">
        <is>
          <t>ปี 2563</t>
        </is>
      </c>
    </row>
    <row r="31" ht="409.6" customHeight="1" s="49">
      <c r="A31" s="35" t="n">
        <v>29</v>
      </c>
      <c r="B31" s="34" t="inlineStr">
        <is>
          <t>คำนวณปริมาณ base ของยาเหน็บที่ต้องใช้เตรียม 1 แท่งโดย 1 แท่งหนัก 2 g กำหนดให้ยามีน้ำหนัก 500 mg/แท่ง มีค่า D.V.=1.1</t>
        </is>
      </c>
      <c r="C31" s="35" t="n"/>
      <c r="D31" s="34" t="inlineStr">
        <is>
          <t>0.45</t>
        </is>
      </c>
      <c r="E31" s="34" t="inlineStr">
        <is>
          <t>0.55</t>
        </is>
      </c>
      <c r="F31" s="34" t="inlineStr">
        <is>
          <t>1.45</t>
        </is>
      </c>
      <c r="G31" s="34" t="inlineStr">
        <is>
          <t>1.55</t>
        </is>
      </c>
      <c r="H31" s="34" t="inlineStr">
        <is>
          <t>2.00</t>
        </is>
      </c>
      <c r="I31" s="35" t="n">
        <v>1</v>
      </c>
      <c r="J31" s="34" t="inlineStr">
        <is>
          <t>✅ คำตอบที่ถูกต้อง: ข้อ ก. 0.45
💡 Background:
คำถามข้อสอบจริงใบประกอบวิชาชีพ PLE-CC 1 (Product) ปี 2559 ข้อ 16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1" s="35" t="n"/>
      <c r="L31" s="34" t="inlineStr">
        <is>
          <t>Pharmaceutical Calculations</t>
        </is>
      </c>
      <c r="M31" s="35" t="inlineStr">
        <is>
          <t>Product</t>
        </is>
      </c>
      <c r="N31" s="34" t="inlineStr">
        <is>
          <t>ข้อสอบจริง Product ปี 2559 ข้อ 16</t>
        </is>
      </c>
      <c r="O31" s="35" t="inlineStr">
        <is>
          <t>ข้อสอบจริง</t>
        </is>
      </c>
      <c r="P31" s="35" t="inlineStr">
        <is>
          <t>ปี 2559</t>
        </is>
      </c>
    </row>
    <row r="32" ht="409.6" customHeight="1" s="49">
      <c r="A32" s="35" t="n">
        <v>30</v>
      </c>
      <c r="B32" s="34" t="inlineStr">
        <is>
          <t>คำนวณ KCl ต้องให้กี่ ml (74.5 g/l) ต้องการให้ผู้ป่วย 60 mEq/day</t>
        </is>
      </c>
      <c r="C32" s="35" t="n"/>
      <c r="D32" s="34" t="inlineStr">
        <is>
          <t>15</t>
        </is>
      </c>
      <c r="E32" s="34" t="inlineStr">
        <is>
          <t>30</t>
        </is>
      </c>
      <c r="F32" s="34" t="inlineStr">
        <is>
          <t>45</t>
        </is>
      </c>
      <c r="G32" s="34" t="inlineStr">
        <is>
          <t>60</t>
        </is>
      </c>
      <c r="H32" s="34" t="inlineStr">
        <is>
          <t>75</t>
        </is>
      </c>
      <c r="I32" s="35" t="n">
        <v>1</v>
      </c>
      <c r="J32" s="34" t="inlineStr">
        <is>
          <t>✅ คำตอบที่ถูกต้อง: ข้อ ก. 15
💡 Background:
คำถามข้อสอบจริงใบประกอบวิชาชีพ PLE-CC 1 (Product) ปี 2559 ข้อ 17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2" s="35" t="n"/>
      <c r="L32" s="34" t="inlineStr">
        <is>
          <t>Pharmaceutical Calculations</t>
        </is>
      </c>
      <c r="M32" s="35" t="inlineStr">
        <is>
          <t>Product</t>
        </is>
      </c>
      <c r="N32" s="34" t="inlineStr">
        <is>
          <t>ข้อสอบจริง Product ปี 2559 ข้อ 17</t>
        </is>
      </c>
      <c r="O32" s="35" t="inlineStr">
        <is>
          <t>ข้อสอบจริง</t>
        </is>
      </c>
      <c r="P32" s="35" t="inlineStr">
        <is>
          <t>ปี 2559</t>
        </is>
      </c>
    </row>
    <row r="33" ht="409.6" customHeight="1" s="49">
      <c r="A33" s="35" t="n">
        <v>31</v>
      </c>
      <c r="B33" s="34" t="inlineStr">
        <is>
          <t>จงคำนวณหาปริมาณเบสของยาเหน็บที่ต้องใช้เตรียม 1 แท่ง โดย 1 แท่งหนัก 2 g กำหนดให้ยา clotrimazole มีน้ำหนัก 500 mg/แท่ง มีค่า D.V.=1.1</t>
        </is>
      </c>
      <c r="C33" s="35" t="n"/>
      <c r="D33" s="34" t="inlineStr">
        <is>
          <t>0.45 กรัม</t>
        </is>
      </c>
      <c r="E33" s="34" t="inlineStr">
        <is>
          <t>0.55 กรัม</t>
        </is>
      </c>
      <c r="F33" s="34" t="inlineStr">
        <is>
          <t>1.45 กรัม</t>
        </is>
      </c>
      <c r="G33" s="34" t="inlineStr">
        <is>
          <t>1.55 กรัม</t>
        </is>
      </c>
      <c r="H33" s="34" t="inlineStr">
        <is>
          <t>2.00 กรัม</t>
        </is>
      </c>
      <c r="I33" s="35" t="n">
        <v>1</v>
      </c>
      <c r="J33" s="34" t="inlineStr">
        <is>
          <t>✅ คำตอบที่ถูกต้อง: ข้อ ก. 0.45 กรัม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3" s="35" t="n"/>
      <c r="L33" s="34" t="inlineStr">
        <is>
          <t>Pharmaceutical Calculations</t>
        </is>
      </c>
      <c r="M33" s="35" t="inlineStr">
        <is>
          <t>Product</t>
        </is>
      </c>
      <c r="N33" s="34" t="inlineStr">
        <is>
          <t>ข้อสอบจริง Product ปี 2559 ข้อ 13</t>
        </is>
      </c>
      <c r="O33" s="35" t="inlineStr">
        <is>
          <t>ข้อสอบจริง</t>
        </is>
      </c>
      <c r="P33" s="35" t="inlineStr">
        <is>
          <t>ปี 2559</t>
        </is>
      </c>
    </row>
    <row r="34" ht="409.6" customHeight="1" s="49">
      <c r="A34" s="35" t="n">
        <v>32</v>
      </c>
      <c r="B34" s="34" t="inlineStr">
        <is>
          <t>วิธีการทดสอบความสม่ำเสมอของขนาดความแรง (Uniformity of dosage units) ของยาเม็ด Calcium Carbonate (CaCO3) ตามเภสัชตำรับ USP ข้อใดถูกต้อง?</t>
        </is>
      </c>
      <c r="C34" s="35" t="n"/>
      <c r="D34" s="34" t="inlineStr">
        <is>
          <t>สุ่มยามา 20 เม็ด ชั่งน้ำหนักทีละเม็ดแล้วหาน้ำหนักเฉลี่ย</t>
        </is>
      </c>
      <c r="E34" s="34" t="inlineStr">
        <is>
          <t>สุ่มยามา 20 เม็ด บดรวมกันแล้วหาปริมาณสารสำคัญ (Assay)</t>
        </is>
      </c>
      <c r="F34" s="34" t="inlineStr">
        <is>
          <t>สุ่มยามา 30 เม็ด เลือกมา 10 เม็ดแรกเพื่อชั่งน้ำหนักทีละเม็ดและหาปริมาณตัวยาสำคัญในแต่ละเม็ดโดยตรง (Content Uniformity)</t>
        </is>
      </c>
      <c r="G34" s="34" t="inlineStr">
        <is>
          <t>สุ่มยามา 30 เม็ด ชั่งน้ำหนักทีละเม็ดจำนวน 10 เม็ด แล้วคำนวณปริมาณสารสำคัญจากน้ำหนักของแต่ละเม็ดเปรียบเทียบกับผลวิเคราะห์หาปริมาณสารสำคัญเฉลี่ยจากวิธีวิเคราะห์หาปริมาณยา (Weight Variation method)</t>
        </is>
      </c>
      <c r="H34" s="34" t="inlineStr">
        <is>
          <t>สุ่มยามา 30 เม็ด ชั่งน้ำหนักทีละเม็ดรวดเดียวครบทั้ง 30 เม็ดเพื่อหาค่าเฉลี่ย</t>
        </is>
      </c>
      <c r="I34" s="35" t="n">
        <v>1</v>
      </c>
      <c r="J34" s="34" t="inlineStr">
        <is>
          <t>✅ คำตอบที่ถูกต้อง: ข้อ ก. สุ่มยามา 20 เม็ด ชั่งน้ำหนักทีละเม็ดแล้วหาน้ำหนักเฉลี่ย
💡 Background:
คำถามข้อสอบจริงใบประกอบวิชาชีพ PLE-CC 1 (Product) ปี 2558 ข้อ 12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4" s="35" t="n"/>
      <c r="L34" s="34" t="inlineStr">
        <is>
          <t>Pharmaceutical Calculations</t>
        </is>
      </c>
      <c r="M34" s="35" t="inlineStr">
        <is>
          <t>Product</t>
        </is>
      </c>
      <c r="N34" s="34" t="inlineStr">
        <is>
          <t>ข้อสอบจริง Product ปี 2558 ข้อ 12</t>
        </is>
      </c>
      <c r="O34" s="35" t="inlineStr">
        <is>
          <t>ข้อสอบจริง</t>
        </is>
      </c>
      <c r="P34" s="35" t="inlineStr">
        <is>
          <t>ปี 2558</t>
        </is>
      </c>
    </row>
    <row r="35" ht="409.6" customHeight="1" s="49">
      <c r="A35" s="35" t="n">
        <v>33</v>
      </c>
      <c r="B35" s="34" t="inlineStr">
        <is>
          <t>จงคำนวณหาค่า Required HLB (rHLB) ของสูตรตำรับครีม/อิมัลชันต่อไปนี้  Rx.  Mineral Oil: 30 g (rHLB = 12\)  Wool fat: 1.5 g (rHLB = 10\)  Cetyl alcohol: 1.0 g (rHLB = 15\)  Emulsifier: qs  Water: qs ad 90 mL</t>
        </is>
      </c>
      <c r="C35" s="35" t="n"/>
      <c r="D35" s="34" t="inlineStr">
        <is>
          <t>10</t>
        </is>
      </c>
      <c r="E35" s="34" t="inlineStr">
        <is>
          <t>12</t>
        </is>
      </c>
      <c r="F35" s="34" t="inlineStr">
        <is>
          <t>13</t>
        </is>
      </c>
      <c r="G35" s="34" t="inlineStr">
        <is>
          <t>14</t>
        </is>
      </c>
      <c r="H35" s="34" t="inlineStr">
        <is>
          <t>15</t>
        </is>
      </c>
      <c r="I35" s="35" t="n">
        <v>1</v>
      </c>
      <c r="J35" s="34" t="inlineStr">
        <is>
          <t>✅ คำตอบที่ถูกต้อง: ข้อ ก. 10
💡 Background:
คำถามข้อสอบจริงใบประกอบวิชาชีพ PLE-CC 1 (Product) ปี 2558 ข้อ 21
🎯 ทำไมข้อนี้ถึงถูก:
ข้อ ก. สอดคล้องกับหลักการทางเภสัชกรรมและข้อกำหนดตามเภสัชตำรับ (Pharmacopoeia Standards) ในหัวข้อ Pharmaceutical Calculations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Pharmaceutical Calculations</t>
        </is>
      </c>
      <c r="K35" s="35" t="n"/>
      <c r="L35" s="34" t="inlineStr">
        <is>
          <t>Pharmaceutical Calculations</t>
        </is>
      </c>
      <c r="M35" s="35" t="inlineStr">
        <is>
          <t>Product</t>
        </is>
      </c>
      <c r="N35" s="34" t="inlineStr">
        <is>
          <t>ข้อสอบจริง Product ปี 2558 ข้อ 21</t>
        </is>
      </c>
      <c r="O35" s="35" t="inlineStr">
        <is>
          <t>ข้อสอบจริง</t>
        </is>
      </c>
      <c r="P35" s="35" t="inlineStr">
        <is>
          <t>ปี 2558</t>
        </is>
      </c>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7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35" t="n">
        <v>1</v>
      </c>
      <c r="B3" s="34" t="inlineStr">
        <is>
          <t>ยายหยอดตามีส่วนประกอบดังนี้ Neomycin sulfate, Polymyxin B sulphate, NaCl, Benzalkonium chloride, Hypromellose, Disodium edetate จากตำรับดังกล่าว Hypromellose มีหน้าที่อะไร</t>
        </is>
      </c>
      <c r="C3" s="35" t="n"/>
      <c r="D3" s="34" t="inlineStr">
        <is>
          <t>เพิ่มการละลายของ Neomycin</t>
        </is>
      </c>
      <c r="E3" s="34" t="inlineStr">
        <is>
          <t>ป้องกันการตกตะกอนขุ่นของสารละลาย</t>
        </is>
      </c>
      <c r="F3" s="34" t="inlineStr">
        <is>
          <t>เพิ่มฤทธิ์ฆ่าเชื้อแบคทีเรีย</t>
        </is>
      </c>
      <c r="G3" s="34" t="inlineStr">
        <is>
          <t>ลดการแสบระคายเคืองตา</t>
        </is>
      </c>
      <c r="H3" s="34" t="inlineStr">
        <is>
          <t>เพิ่มการติดของสารละลายกับดวงตา</t>
        </is>
      </c>
      <c r="I3" s="35" t="n">
        <v>5</v>
      </c>
      <c r="J3" s="34"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35" t="n"/>
      <c r="L3" s="34" t="inlineStr">
        <is>
          <t>Tablet Manufacturing</t>
        </is>
      </c>
      <c r="M3" s="35" t="inlineStr">
        <is>
          <t>Product</t>
        </is>
      </c>
      <c r="N3" s="34" t="inlineStr">
        <is>
          <t>ข้อ 23 Pharma Plus เล่มม่วง (เฉลยข้อ จ)</t>
        </is>
      </c>
      <c r="O3" s="35" t="inlineStr">
        <is>
          <t>Mock</t>
        </is>
      </c>
      <c r="P3" s="35" t="inlineStr">
        <is>
          <t>Pharma Plus เล่มม่วง</t>
        </is>
      </c>
    </row>
    <row r="4" ht="13.2" customHeight="1" s="49">
      <c r="A4" s="35" t="n">
        <v>2</v>
      </c>
      <c r="B4" s="34" t="inlineStr">
        <is>
          <t>คุณสมบัติที่สำคัญที่สุดของยาตา</t>
        </is>
      </c>
      <c r="C4" s="35" t="n"/>
      <c r="D4" s="34" t="inlineStr">
        <is>
          <t>Isotonic</t>
        </is>
      </c>
      <c r="E4" s="34" t="inlineStr">
        <is>
          <t>Sterile</t>
        </is>
      </c>
      <c r="F4" s="34" t="inlineStr">
        <is>
          <t>pH</t>
        </is>
      </c>
      <c r="G4" s="34" t="inlineStr">
        <is>
          <t>Preservative</t>
        </is>
      </c>
      <c r="H4" s="34" t="inlineStr">
        <is>
          <t>ต้องเป็นสารละลาย</t>
        </is>
      </c>
      <c r="I4" s="35" t="n">
        <v>2</v>
      </c>
      <c r="J4" s="34"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35" t="n"/>
      <c r="L4" s="34" t="inlineStr">
        <is>
          <t>Tablet Manufacturing</t>
        </is>
      </c>
      <c r="M4" s="35" t="inlineStr">
        <is>
          <t>Product</t>
        </is>
      </c>
      <c r="N4" s="34" t="inlineStr">
        <is>
          <t>ข้อ 24 Pharma Plus เล่มม่วง (เฉลยข้อ ข)</t>
        </is>
      </c>
      <c r="O4" s="35" t="inlineStr">
        <is>
          <t>Mock</t>
        </is>
      </c>
      <c r="P4" s="35" t="inlineStr">
        <is>
          <t>Pharma Plus เล่มม่วง</t>
        </is>
      </c>
    </row>
    <row r="5" ht="13.2" customHeight="1" s="49">
      <c r="A5" s="35" t="n">
        <v>3</v>
      </c>
      <c r="B5" s="34" t="inlineStr">
        <is>
          <t>Norfloxacin มีค่าการละลายต่ำจึงนำมาใช้ร่วมกับ B-cyclodextrin ข้อใดคือกลไกของ B-cyclodextrin</t>
        </is>
      </c>
      <c r="C5" s="35" t="n"/>
      <c r="D5" s="34" t="inlineStr">
        <is>
          <t>pH</t>
        </is>
      </c>
      <c r="E5" s="34" t="inlineStr">
        <is>
          <t>ลดค่า dielectric constant</t>
        </is>
      </c>
      <c r="F5" s="34" t="inlineStr">
        <is>
          <t>Micelle</t>
        </is>
      </c>
      <c r="G5" s="34" t="inlineStr">
        <is>
          <t>Co-solvent</t>
        </is>
      </c>
      <c r="H5" s="34" t="inlineStr">
        <is>
          <t>Complexation</t>
        </is>
      </c>
      <c r="I5" s="35" t="n">
        <v>5</v>
      </c>
      <c r="J5" s="34"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35" t="n"/>
      <c r="L5" s="34" t="inlineStr">
        <is>
          <t>Tablet Manufacturing</t>
        </is>
      </c>
      <c r="M5" s="35" t="inlineStr">
        <is>
          <t>Product</t>
        </is>
      </c>
      <c r="N5" s="34" t="inlineStr">
        <is>
          <t>ข้อ 25 Pharma Plus เล่มม่วง (เฉลยข้อ จ)</t>
        </is>
      </c>
      <c r="O5" s="35" t="inlineStr">
        <is>
          <t>Mock</t>
        </is>
      </c>
      <c r="P5" s="35" t="inlineStr">
        <is>
          <t>Pharma Plus เล่มม่วง</t>
        </is>
      </c>
    </row>
    <row r="6" ht="13.2" customHeight="1" s="49">
      <c r="A6" s="35" t="n">
        <v>4</v>
      </c>
      <c r="B6" s="34" t="inlineStr">
        <is>
          <t>หากต้องการพัฒนาสูตรตำรับยาคุมกำเนิดปัญหาใดที่มีความสำคัญที่สุดและต้องแก้ไข</t>
        </is>
      </c>
      <c r="C6" s="35" t="n"/>
      <c r="D6" s="34" t="inlineStr">
        <is>
          <t>ความหนาของเม็ดยาต้องเท่ากัน</t>
        </is>
      </c>
      <c r="E6" s="34" t="inlineStr">
        <is>
          <t>ความแข็งของเม็ดยา เนื่องจากต้องพกติดตัว</t>
        </is>
      </c>
      <c r="F6" s="34" t="inlineStr">
        <is>
          <t>ความสม่ำเสมอของตัวยาสำคัญ</t>
        </is>
      </c>
      <c r="G6" s="34" t="inlineStr">
        <is>
          <t>ความกร่อน</t>
        </is>
      </c>
      <c r="H6" s="34" t="inlineStr">
        <is>
          <t>การละลายของยา</t>
        </is>
      </c>
      <c r="I6" s="35" t="n">
        <v>3</v>
      </c>
      <c r="J6" s="34"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35" t="n"/>
      <c r="L6" s="34" t="inlineStr">
        <is>
          <t>Tablet Manufacturing</t>
        </is>
      </c>
      <c r="M6" s="35" t="inlineStr">
        <is>
          <t>Product</t>
        </is>
      </c>
      <c r="N6" s="34" t="inlineStr">
        <is>
          <t>ข้อ 26 Pharma Plus เล่มม่วง (เฉลยข้อ ค)</t>
        </is>
      </c>
      <c r="O6" s="35" t="inlineStr">
        <is>
          <t>Mock</t>
        </is>
      </c>
      <c r="P6" s="35" t="inlineStr">
        <is>
          <t>Pharma Plus เล่มม่วง</t>
        </is>
      </c>
    </row>
    <row r="7" ht="13.2" customHeight="1" s="49">
      <c r="A7" s="35" t="n">
        <v>5</v>
      </c>
      <c r="B7" s="34" t="inlineStr">
        <is>
          <t>สาเหตุความไม่คงตัวดังข้อ 71 คือ</t>
        </is>
      </c>
      <c r="C7" s="35" t="n"/>
      <c r="D7" s="34" t="inlineStr">
        <is>
          <t>อนุภาคมีขนาดใหญ่เกินไป</t>
        </is>
      </c>
      <c r="E7" s="34" t="inlineStr">
        <is>
          <t>วัตภาคน้ำมันมีปริมาณมากเกินไป</t>
        </is>
      </c>
      <c r="F7" s="34" t="inlineStr">
        <is>
          <t>ความหนืดของวัตภาคภายนอกสูงเกินไป</t>
        </is>
      </c>
      <c r="G7" s="34" t="inlineStr">
        <is>
          <t>ไม่มีสารก่ออิมัลชัน (emulsifier) ในตำรับ</t>
        </is>
      </c>
      <c r="H7" s="34" t="inlineStr">
        <is>
          <t>ความหนาแน่นของวัตภาคในและนอกมีค่าใกล้เคียงกัน</t>
        </is>
      </c>
      <c r="I7" s="35" t="n">
        <v>4</v>
      </c>
      <c r="J7" s="34"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35" t="n"/>
      <c r="L7" s="34" t="inlineStr">
        <is>
          <t>Tablet Manufacturing</t>
        </is>
      </c>
      <c r="M7" s="35" t="inlineStr">
        <is>
          <t>Product</t>
        </is>
      </c>
      <c r="N7" s="34" t="inlineStr">
        <is>
          <t>ข้อ 72 Pharma Plus เล่มม่วง (เฉลยข้อ ง)</t>
        </is>
      </c>
      <c r="O7" s="35" t="inlineStr">
        <is>
          <t>Mock</t>
        </is>
      </c>
      <c r="P7" s="35" t="inlineStr">
        <is>
          <t>Pharma Plus เล่มม่วง</t>
        </is>
      </c>
    </row>
    <row r="8" ht="13.2" customHeight="1" s="49">
      <c r="A8" s="35" t="n">
        <v>6</v>
      </c>
      <c r="B8" s="34" t="inlineStr">
        <is>
          <t>สัดส่วนที่เหมาะสมของสารก่ออิมัลชันที่ใช้สำหรับตำรับข้อ 71 เพื่อให้เกิดเป็น o/w</t>
        </is>
      </c>
      <c r="C8" s="35" t="n"/>
      <c r="D8" s="34" t="inlineStr">
        <is>
          <t>Tween 80 : Span 80 = 8.43 : 2.87</t>
        </is>
      </c>
      <c r="E8" s="34" t="inlineStr">
        <is>
          <t>Tween 80 : Span 80 = 2.87 : 8.43</t>
        </is>
      </c>
      <c r="F8" s="34" t="inlineStr">
        <is>
          <t>Tween 80 : Span 80 = 15.0 : 3.7</t>
        </is>
      </c>
      <c r="G8" s="34" t="inlineStr">
        <is>
          <t>Tween 80 : Span 80 = 3.7 : 15.0</t>
        </is>
      </c>
      <c r="H8" s="34" t="inlineStr">
        <is>
          <t>Tween 80 : Span 80 = 1.5 : 2.5</t>
        </is>
      </c>
      <c r="I8" s="35" t="n">
        <v>1</v>
      </c>
      <c r="J8" s="34"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35" t="n"/>
      <c r="L8" s="34" t="inlineStr">
        <is>
          <t>Tablet Manufacturing</t>
        </is>
      </c>
      <c r="M8" s="35" t="inlineStr">
        <is>
          <t>Product</t>
        </is>
      </c>
      <c r="N8" s="34" t="inlineStr">
        <is>
          <t>ข้อ 74 Pharma Plus เล่มม่วง (เฉลยข้อ )</t>
        </is>
      </c>
      <c r="O8" s="35" t="inlineStr">
        <is>
          <t>Mock</t>
        </is>
      </c>
      <c r="P8" s="35" t="inlineStr">
        <is>
          <t>Pharma Plus เล่มม่วง</t>
        </is>
      </c>
    </row>
    <row r="9" ht="13.2" customHeight="1" s="49">
      <c r="A9" s="35" t="n">
        <v>7</v>
      </c>
      <c r="B9" s="34" t="inlineStr">
        <is>
          <t>เพราะเหตุใดอิมัลชันที่เตรียมได้ตามสูตรข้างต้นเป็นอิมัลชันชนิด o/w</t>
        </is>
      </c>
      <c r="C9" s="35" t="n"/>
      <c r="D9" s="34" t="inlineStr">
        <is>
          <t>มีปริมาตรวัตภาคบ้า(น้ำ)สูงกว่าวัตภาคน้ำมัน และระบบสารก่ออิมัลชัน (emulsifier system) มีค่า HLB ที่สูง</t>
        </is>
      </c>
      <c r="E9" s="34" t="inlineStr">
        <is>
          <t>มีปริมาตรวัตภาคบ้า(น้ำ)สูงกว่าวัตภาคน้ำมัน และระบบสารก่ออิมัลชัน (emulsifier system) มีค่า HLB ที่ต่ำ</t>
        </is>
      </c>
      <c r="F9" s="34" t="inlineStr">
        <is>
          <t>มีปริมาตรวัตภาคน้ำมันสูงกว่าวัตภาคบ้า(น้ำ) และระบบสารก่ออิมัลชัน (emulsifier system) มีค่า HLB ที่สูง</t>
        </is>
      </c>
      <c r="G9" s="34" t="inlineStr">
        <is>
          <t>มีปริมาตรวัตภาคน้ำมันสูงกว่าวัตภาคบ้า(น้ำ) และระบบสารก่ออิมัลชัน (emulsifier system) มีค่า HLB ที่ต่ำ</t>
        </is>
      </c>
      <c r="H9" s="34" t="inlineStr">
        <is>
          <t>มีปริมาตรวัตภาคน้ำมันและวัตภาคน้ำเท่าๆกัน และระบบสารก่ออิมัลชัน (emulsifier system) มีค่า HLB ที่สูง</t>
        </is>
      </c>
      <c r="I9" s="35" t="n">
        <v>1</v>
      </c>
      <c r="J9" s="34"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35" t="n"/>
      <c r="L9" s="34" t="inlineStr">
        <is>
          <t>Tablet Manufacturing</t>
        </is>
      </c>
      <c r="M9" s="35" t="inlineStr">
        <is>
          <t>Product</t>
        </is>
      </c>
      <c r="N9" s="34" t="inlineStr">
        <is>
          <t>ข้อ 75 Pharma Plus เล่มม่วง (เฉลยข้อ ก)</t>
        </is>
      </c>
      <c r="O9" s="35" t="inlineStr">
        <is>
          <t>Mock</t>
        </is>
      </c>
      <c r="P9" s="35" t="inlineStr">
        <is>
          <t>Pharma Plus เล่มม่วง</t>
        </is>
      </c>
    </row>
    <row r="10" ht="13.2" customHeight="1" s="49">
      <c r="A10" s="35" t="n">
        <v>8</v>
      </c>
      <c r="B10" s="34" t="inlineStr">
        <is>
          <t>ในการผลิตยาเม็ด gemfibrozil พบว่าเมื่อตอกแล้วยาเม็ดติดสาก แก้ไขโดยการเติมสารใด</t>
        </is>
      </c>
      <c r="C10" s="35" t="n"/>
      <c r="D10" s="34" t="inlineStr">
        <is>
          <t>Lactose</t>
        </is>
      </c>
      <c r="E10" s="34" t="inlineStr">
        <is>
          <t>Calcium carbonate</t>
        </is>
      </c>
      <c r="F10" s="34" t="inlineStr">
        <is>
          <t>HPMC</t>
        </is>
      </c>
      <c r="G10" s="34" t="inlineStr">
        <is>
          <t>Magnesium stearate</t>
        </is>
      </c>
      <c r="H10" s="34" t="inlineStr">
        <is>
          <t>Alcohol</t>
        </is>
      </c>
      <c r="I10" s="35" t="n">
        <v>4</v>
      </c>
      <c r="J10" s="34"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อาการติดสาก (Sticking หรือ Picking) เกิดจากผงยาเกาะติดกับผิวหน้าของสากตอกยา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35" t="n"/>
      <c r="L10" s="34" t="inlineStr">
        <is>
          <t>Tablet Defects</t>
        </is>
      </c>
      <c r="M10" s="35" t="inlineStr">
        <is>
          <t>Product</t>
        </is>
      </c>
      <c r="N10" s="34" t="inlineStr">
        <is>
          <t>ข้อ 76 Pharma Plus เล่มม่วง (เฉลยข้อ ง)</t>
        </is>
      </c>
      <c r="O10" s="35" t="inlineStr">
        <is>
          <t>Mock</t>
        </is>
      </c>
      <c r="P10" s="35" t="inlineStr">
        <is>
          <t>Pharma Plus เล่มม่วง</t>
        </is>
      </c>
    </row>
    <row r="11" ht="13.2" customHeight="1" s="49">
      <c r="A11" s="35" t="n">
        <v>9</v>
      </c>
      <c r="B11" s="34" t="inlineStr">
        <is>
          <t>หากต้องการเพิ่มความสามารถในการแตกตัวของยาเม็ด colchicine ควรใช้สารใด</t>
        </is>
      </c>
      <c r="C11" s="35" t="n"/>
      <c r="D11" s="34" t="inlineStr">
        <is>
          <t>Lactose</t>
        </is>
      </c>
      <c r="E11" s="34" t="inlineStr">
        <is>
          <t>Starch paste</t>
        </is>
      </c>
      <c r="F11" s="34" t="inlineStr">
        <is>
          <t>Microcrystalline cellulose</t>
        </is>
      </c>
      <c r="G11" s="34" t="inlineStr">
        <is>
          <t>Magnesium stearate</t>
        </is>
      </c>
      <c r="H11" s="34" t="inlineStr">
        <is>
          <t>Dicalcium phosphate</t>
        </is>
      </c>
      <c r="I11" s="35" t="n">
        <v>3</v>
      </c>
      <c r="J11" s="34"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35" t="n"/>
      <c r="L11" s="34" t="inlineStr">
        <is>
          <t>Tablet Manufacturing</t>
        </is>
      </c>
      <c r="M11" s="35" t="inlineStr">
        <is>
          <t>Product</t>
        </is>
      </c>
      <c r="N11" s="34" t="inlineStr">
        <is>
          <t>ข้อ 77 Pharma Plus เล่มม่วง (เฉลยข้อ ค)</t>
        </is>
      </c>
      <c r="O11" s="35" t="inlineStr">
        <is>
          <t>Mock</t>
        </is>
      </c>
      <c r="P11" s="35" t="inlineStr">
        <is>
          <t>Pharma Plus เล่มม่วง</t>
        </is>
      </c>
    </row>
    <row r="12" ht="13.2" customHeight="1" s="49">
      <c r="A12" s="35" t="n">
        <v>10</v>
      </c>
      <c r="B12" s="34" t="inlineStr">
        <is>
          <t>ในการควบคุมคุณภาพของยาเม็ด colchicine tablet 0.6 mg ตามข้อกำหนดใน USP สิ่งที่ไม่ต้องทำคือ</t>
        </is>
      </c>
      <c r="C12" s="35" t="n"/>
      <c r="D12" s="34" t="inlineStr">
        <is>
          <t>Friability test</t>
        </is>
      </c>
      <c r="E12" s="34" t="inlineStr">
        <is>
          <t>Content uniformity</t>
        </is>
      </c>
      <c r="F12" s="34" t="inlineStr">
        <is>
          <t>Weight variation</t>
        </is>
      </c>
      <c r="G12" s="34" t="inlineStr">
        <is>
          <t>Dissolution test</t>
        </is>
      </c>
      <c r="H12" s="34" t="inlineStr">
        <is>
          <t>Disintegration test</t>
        </is>
      </c>
      <c r="I12" s="35" t="n">
        <v>1</v>
      </c>
      <c r="J12"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35" t="n"/>
      <c r="L12" s="34" t="inlineStr">
        <is>
          <t>Tablet Manufacturing</t>
        </is>
      </c>
      <c r="M12" s="35" t="inlineStr">
        <is>
          <t>Product</t>
        </is>
      </c>
      <c r="N12" s="34" t="inlineStr">
        <is>
          <t>ข้อ 78 Pharma Plus เล่มม่วง (เฉลยข้อ ก)</t>
        </is>
      </c>
      <c r="O12" s="35" t="inlineStr">
        <is>
          <t>Mock</t>
        </is>
      </c>
      <c r="P12" s="35" t="inlineStr">
        <is>
          <t>Pharma Plus เล่มม่วง</t>
        </is>
      </c>
    </row>
    <row r="13" ht="13.2" customHeight="1" s="49">
      <c r="A13" s="35" t="n">
        <v>11</v>
      </c>
      <c r="B13" s="34" t="inlineStr">
        <is>
          <t>ถ้าต้องการเตรียมยา Intra-arthricular corticosteroids (ampule) ต้องผ่านการควบคุมคุณภาพต่อไปนี้ ยกเว้นข้อใด</t>
        </is>
      </c>
      <c r="C13" s="35" t="n"/>
      <c r="D13" s="34" t="inlineStr">
        <is>
          <t>Sterility test</t>
        </is>
      </c>
      <c r="E13" s="34" t="inlineStr">
        <is>
          <t>Clarity test</t>
        </is>
      </c>
      <c r="F13" s="34" t="inlineStr">
        <is>
          <t>Pyrogen test</t>
        </is>
      </c>
      <c r="G13" s="34" t="inlineStr">
        <is>
          <t>Compatibility test</t>
        </is>
      </c>
      <c r="H13" s="34" t="inlineStr">
        <is>
          <t>Leaker test</t>
        </is>
      </c>
      <c r="I13" s="35" t="n">
        <v>4</v>
      </c>
      <c r="J13" s="34"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35" t="n"/>
      <c r="L13" s="34" t="inlineStr">
        <is>
          <t>Tablet Manufacturing</t>
        </is>
      </c>
      <c r="M13" s="35" t="inlineStr">
        <is>
          <t>Product</t>
        </is>
      </c>
      <c r="N13" s="34" t="inlineStr">
        <is>
          <t>ข้อ 79 Pharma Plus เล่มม่วง (เฉลยข้อ ง)</t>
        </is>
      </c>
      <c r="O13" s="35" t="inlineStr">
        <is>
          <t>Mock</t>
        </is>
      </c>
      <c r="P13" s="35" t="inlineStr">
        <is>
          <t>Pharma Plus เล่มม่วง</t>
        </is>
      </c>
    </row>
    <row r="14" ht="13.2" customHeight="1" s="49">
      <c r="A14" s="35" t="n">
        <v>12</v>
      </c>
      <c r="B14" s="34"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35" t="n"/>
      <c r="D14" s="34" t="inlineStr">
        <is>
          <t>0.8 g</t>
        </is>
      </c>
      <c r="E14" s="34" t="inlineStr">
        <is>
          <t>1.2 g</t>
        </is>
      </c>
      <c r="F14" s="34" t="inlineStr">
        <is>
          <t>1.5 g</t>
        </is>
      </c>
      <c r="G14" s="34" t="inlineStr">
        <is>
          <t>2.2 g</t>
        </is>
      </c>
      <c r="H14" s="34" t="inlineStr">
        <is>
          <t>3.0 g</t>
        </is>
      </c>
      <c r="I14" s="35" t="n">
        <v>4</v>
      </c>
      <c r="J14" s="34"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35" t="n"/>
      <c r="L14" s="34" t="inlineStr">
        <is>
          <t>Tablet Manufacturing</t>
        </is>
      </c>
      <c r="M14" s="35" t="inlineStr">
        <is>
          <t>Product</t>
        </is>
      </c>
      <c r="N14" s="34" t="inlineStr">
        <is>
          <t>ข้อ 80 Pharma Plus เล่มม่วง (เฉลยข้อ ง)</t>
        </is>
      </c>
      <c r="O14" s="35" t="inlineStr">
        <is>
          <t>Mock</t>
        </is>
      </c>
      <c r="P14" s="35" t="inlineStr">
        <is>
          <t>Pharma Plus เล่มม่วง</t>
        </is>
      </c>
    </row>
    <row r="15" ht="13.2" customHeight="1" s="49">
      <c r="A15" s="35" t="n">
        <v>13</v>
      </c>
      <c r="B15" s="34" t="inlineStr">
        <is>
          <t>ผู้ป่วยควรเก็บ insulin ที่ภาวะใด</t>
        </is>
      </c>
      <c r="C15" s="35" t="n"/>
      <c r="D15" s="34" t="inlineStr">
        <is>
          <t>Cold</t>
        </is>
      </c>
      <c r="E15" s="34" t="inlineStr">
        <is>
          <t>Refrigerator</t>
        </is>
      </c>
      <c r="F15" s="34" t="inlineStr">
        <is>
          <t>Cool</t>
        </is>
      </c>
      <c r="G15" s="34" t="inlineStr">
        <is>
          <t>Room temperature</t>
        </is>
      </c>
      <c r="H15" s="34" t="inlineStr">
        <is>
          <t>Warm</t>
        </is>
      </c>
      <c r="I15" s="35" t="n">
        <v>2</v>
      </c>
      <c r="J15" s="34"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35" t="n"/>
      <c r="L15" s="34" t="inlineStr">
        <is>
          <t>Tablet Manufacturing</t>
        </is>
      </c>
      <c r="M15" s="35" t="inlineStr">
        <is>
          <t>Product</t>
        </is>
      </c>
      <c r="N15" s="34" t="inlineStr">
        <is>
          <t>ข้อ 81 Pharma Plus เล่มม่วง (เฉลยข้อ ข)</t>
        </is>
      </c>
      <c r="O15" s="35" t="inlineStr">
        <is>
          <t>Mock</t>
        </is>
      </c>
      <c r="P15" s="35" t="inlineStr">
        <is>
          <t>Pharma Plus เล่มม่วง</t>
        </is>
      </c>
    </row>
    <row r="16" ht="13.2" customHeight="1" s="49">
      <c r="A16" s="35" t="n">
        <v>14</v>
      </c>
      <c r="B16" s="34" t="inlineStr">
        <is>
          <t>ท่านคิดว่า metformin tablet ไม่จำเป็นต้องทำ finished product quality control ข้อใด</t>
        </is>
      </c>
      <c r="C16" s="35" t="n"/>
      <c r="D16" s="34" t="inlineStr">
        <is>
          <t>Friability test</t>
        </is>
      </c>
      <c r="E16" s="34" t="inlineStr">
        <is>
          <t>Disintegration test</t>
        </is>
      </c>
      <c r="F16" s="34" t="inlineStr">
        <is>
          <t>Dissolution test</t>
        </is>
      </c>
      <c r="G16" s="34" t="inlineStr">
        <is>
          <t>Freeze-thaw cycle</t>
        </is>
      </c>
      <c r="H16" s="34" t="inlineStr">
        <is>
          <t>Weight variation</t>
        </is>
      </c>
      <c r="I16" s="35" t="n">
        <v>1</v>
      </c>
      <c r="J16" s="34"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35" t="n"/>
      <c r="L16" s="34" t="inlineStr">
        <is>
          <t>Tablet Manufacturing</t>
        </is>
      </c>
      <c r="M16" s="35" t="inlineStr">
        <is>
          <t>Product</t>
        </is>
      </c>
      <c r="N16" s="34" t="inlineStr">
        <is>
          <t>ข้อ 82 Pharma Plus เล่มม่วง (เฉลยข้อ ก)</t>
        </is>
      </c>
      <c r="O16" s="35" t="inlineStr">
        <is>
          <t>Mock</t>
        </is>
      </c>
      <c r="P16" s="35" t="inlineStr">
        <is>
          <t>Pharma Plus เล่มม่วง</t>
        </is>
      </c>
    </row>
    <row r="17" ht="13.2" customHeight="1" s="49">
      <c r="A17" s="35" t="n">
        <v>15</v>
      </c>
      <c r="B17" s="34" t="inlineStr">
        <is>
          <t>ข้อใดไม่ใช่ข้อดีของการทำ film coated tablet ที่เหนือกว่า sugar coated tablet</t>
        </is>
      </c>
      <c r="C17" s="35" t="n"/>
      <c r="D17" s="34" t="inlineStr">
        <is>
          <t>น้ำหนักของเม็ดยาเพิ่มมากขึ้น มากกว่า sugar coated tablet เนื่องจาก material ที่ใช้เป็นสารสังเคราะห์ที่มีน้ำหนักโมเลกุลสูง</t>
        </is>
      </c>
      <c r="E17" s="34" t="inlineStr">
        <is>
          <t>พื้นผิวเม็ดยามีความเรียบและ สีสม่ำเสมอกว่า sugar coated tablet</t>
        </is>
      </c>
      <c r="F17" s="34" t="inlineStr">
        <is>
          <t>กระบวนการทำ film coated tablet รวดเร็วกว่า sugar coated tablet</t>
        </is>
      </c>
      <c r="G17" s="34" t="inlineStr">
        <is>
          <t>กระบวนการทำ film coated tablet ไม่เกิดปัญหา dead spot</t>
        </is>
      </c>
      <c r="H17" s="34" t="inlineStr">
        <is>
          <t>film coated tabletไม่มีการทำ polishing ด้วย wax จึงไม่เกิดปัญหาที่เรียกว่า marbled เหมือน sugar coated tablet</t>
        </is>
      </c>
      <c r="I17" s="35" t="n">
        <v>1</v>
      </c>
      <c r="J17" s="34"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35" t="n"/>
      <c r="L17" s="34" t="inlineStr">
        <is>
          <t>Tablet Coating</t>
        </is>
      </c>
      <c r="M17" s="35" t="inlineStr">
        <is>
          <t>Product</t>
        </is>
      </c>
      <c r="N17" s="34" t="inlineStr">
        <is>
          <t>ข้อ 83 Pharma Plus เล่มม่วง (เฉลยข้อ ก)</t>
        </is>
      </c>
      <c r="O17" s="35" t="inlineStr">
        <is>
          <t>Mock</t>
        </is>
      </c>
      <c r="P17" s="35" t="inlineStr">
        <is>
          <t>Pharma Plus เล่มม่วง</t>
        </is>
      </c>
    </row>
    <row r="18" ht="13.2" customHeight="1" s="49">
      <c r="A18" s="35" t="n">
        <v>16</v>
      </c>
      <c r="B18" s="34" t="inlineStr">
        <is>
          <t>Antacid เป็นยาเตรียมประเภทใด</t>
        </is>
      </c>
      <c r="C18" s="35" t="n"/>
      <c r="D18" s="34" t="inlineStr">
        <is>
          <t>Gel</t>
        </is>
      </c>
      <c r="E18" s="34" t="inlineStr">
        <is>
          <t>Emulsion</t>
        </is>
      </c>
      <c r="F18" s="34" t="inlineStr">
        <is>
          <t>Suspension</t>
        </is>
      </c>
      <c r="G18" s="34" t="inlineStr">
        <is>
          <t>Solution</t>
        </is>
      </c>
      <c r="H18" s="34" t="inlineStr">
        <is>
          <t>Elixir</t>
        </is>
      </c>
      <c r="I18" s="35" t="n">
        <v>3</v>
      </c>
      <c r="J18" s="34"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35" t="n"/>
      <c r="L18" s="34" t="inlineStr">
        <is>
          <t>Tablet Manufacturing</t>
        </is>
      </c>
      <c r="M18" s="35" t="inlineStr">
        <is>
          <t>Product</t>
        </is>
      </c>
      <c r="N18" s="34" t="inlineStr">
        <is>
          <t>ข้อ 96 Pharma Plus เล่มม่วง (เฉลยข้อ ค)</t>
        </is>
      </c>
      <c r="O18" s="35" t="inlineStr">
        <is>
          <t>Mock</t>
        </is>
      </c>
      <c r="P18" s="35" t="inlineStr">
        <is>
          <t>Pharma Plus เล่มม่วง</t>
        </is>
      </c>
    </row>
    <row r="19" ht="13.2" customHeight="1" s="49">
      <c r="A19" s="35" t="n">
        <v>17</v>
      </c>
      <c r="B19" s="34"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35" t="n"/>
      <c r="D19" s="34" t="inlineStr">
        <is>
          <t>Hard Gelatin Capsule filling</t>
        </is>
      </c>
      <c r="E19" s="34" t="inlineStr">
        <is>
          <t>Soft Gelatin Capsule encapsulation</t>
        </is>
      </c>
      <c r="F19" s="34" t="inlineStr">
        <is>
          <t>1 และ 3</t>
        </is>
      </c>
      <c r="G19" s="34" t="inlineStr">
        <is>
          <t>2 และ 3</t>
        </is>
      </c>
      <c r="H19" s="34" t="inlineStr">
        <is>
          <t>ไม่มีข้อใดถูก</t>
        </is>
      </c>
      <c r="I19" s="35" t="n">
        <v>3</v>
      </c>
      <c r="J19" s="34"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35" t="n"/>
      <c r="L19" s="34" t="inlineStr">
        <is>
          <t>Tablet Manufacturing</t>
        </is>
      </c>
      <c r="M19" s="35" t="inlineStr">
        <is>
          <t>Product</t>
        </is>
      </c>
      <c r="N19" s="34" t="inlineStr">
        <is>
          <t>ข้อ 97 Pharma Plus เล่มม่วง (เฉลยข้อ ค)</t>
        </is>
      </c>
      <c r="O19" s="35" t="inlineStr">
        <is>
          <t>Mock</t>
        </is>
      </c>
      <c r="P19" s="35" t="inlineStr">
        <is>
          <t>Pharma Plus เล่มม่วง</t>
        </is>
      </c>
    </row>
    <row r="20" ht="13.2" customHeight="1" s="49">
      <c r="A20" s="35" t="n">
        <v>18</v>
      </c>
      <c r="B20" s="34" t="inlineStr">
        <is>
          <t>ในการตอก ciprofloxacin tablet พบว่าผงยาไหลไม่ดี เภสัชกรฝ่าย R&amp;D อย่างท่านควรพัฒนาสูตรตำรับอย่างไรจึงจะเหมาะสม</t>
        </is>
      </c>
      <c r="C20" s="35" t="n"/>
      <c r="D20" s="34" t="inlineStr">
        <is>
          <t>เปลี่ยนสูตรตำรับเป็นยาน้ำ</t>
        </is>
      </c>
      <c r="E20" s="34" t="inlineStr">
        <is>
          <t>ทำ wet granulation</t>
        </is>
      </c>
      <c r="F20" s="34" t="inlineStr">
        <is>
          <t>นำไปผ่าน sieve เพื่อคัดขนาดอนุภาค</t>
        </is>
      </c>
      <c r="G20" s="34" t="inlineStr">
        <is>
          <t>เพิ่มแรงตอก</t>
        </is>
      </c>
      <c r="H20" s="34" t="inlineStr">
        <is>
          <t>เพิ่ม diluent</t>
        </is>
      </c>
      <c r="I20" s="35" t="n">
        <v>2</v>
      </c>
      <c r="J20" s="34"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35" t="n"/>
      <c r="L20" s="34" t="inlineStr">
        <is>
          <t>Powders &amp; Granules</t>
        </is>
      </c>
      <c r="M20" s="35" t="inlineStr">
        <is>
          <t>Product</t>
        </is>
      </c>
      <c r="N20" s="34" t="inlineStr">
        <is>
          <t>ข้อ 99 Pharma Plus เล่มม่วง (เฉลยข้อ ข)</t>
        </is>
      </c>
      <c r="O20" s="35" t="inlineStr">
        <is>
          <t>Mock</t>
        </is>
      </c>
      <c r="P20" s="35" t="inlineStr">
        <is>
          <t>Pharma Plus เล่มม่วง</t>
        </is>
      </c>
    </row>
    <row r="21" ht="13.2" customHeight="1" s="49">
      <c r="A21" s="35" t="n">
        <v>19</v>
      </c>
      <c r="B21" s="34" t="inlineStr">
        <is>
          <t>เภสัชกรผู้หนึ่งทำการสุ่ม atenolol tablets ระหว่างการผลิตพบว่ายาเม็ดเกิดการแยกฝา เรียกปรากฏการณ์นี้ว่า</t>
        </is>
      </c>
      <c r="C21" s="35" t="n"/>
      <c r="D21" s="34" t="inlineStr">
        <is>
          <t>Breaking</t>
        </is>
      </c>
      <c r="E21" s="34" t="inlineStr">
        <is>
          <t>Cracking</t>
        </is>
      </c>
      <c r="F21" s="34" t="inlineStr">
        <is>
          <t>Capping</t>
        </is>
      </c>
      <c r="G21" s="34" t="inlineStr">
        <is>
          <t>Segregation</t>
        </is>
      </c>
      <c r="H21" s="34" t="inlineStr">
        <is>
          <t>Sticking</t>
        </is>
      </c>
      <c r="I21" s="35" t="n">
        <v>3</v>
      </c>
      <c r="J21" s="34"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35" t="n"/>
      <c r="L21" s="34" t="inlineStr">
        <is>
          <t>Tablet Defects</t>
        </is>
      </c>
      <c r="M21" s="35" t="inlineStr">
        <is>
          <t>Product</t>
        </is>
      </c>
      <c r="N21" s="34" t="inlineStr">
        <is>
          <t>ข้อ 100 Pharma Plus เล่มม่วง (เฉลยข้อ ค)</t>
        </is>
      </c>
      <c r="O21" s="35" t="inlineStr">
        <is>
          <t>Mock</t>
        </is>
      </c>
      <c r="P21" s="35" t="inlineStr">
        <is>
          <t>Pharma Plus เล่มม่วง</t>
        </is>
      </c>
    </row>
    <row r="22" ht="13.2" customHeight="1" s="49">
      <c r="A22" s="35" t="n">
        <v>20</v>
      </c>
      <c r="B22" s="34" t="inlineStr">
        <is>
          <t>จะแก้ไขปรากฏการณ์ข้อ 100 ได้อย่างไร</t>
        </is>
      </c>
      <c r="C22" s="35" t="n"/>
      <c r="D22" s="34" t="inlineStr">
        <is>
          <t>เติม anti-adherent</t>
        </is>
      </c>
      <c r="E22" s="34" t="inlineStr">
        <is>
          <t>เติม binder</t>
        </is>
      </c>
      <c r="F22" s="34" t="inlineStr">
        <is>
          <t>ลดขนาดอนุภาคให้ใกล้เคียงกัน</t>
        </is>
      </c>
      <c r="G22" s="34" t="inlineStr">
        <is>
          <t>ปรับความเร็วในการตอกให้ลดลง</t>
        </is>
      </c>
      <c r="H22" s="34" t="inlineStr">
        <is>
          <t>ข. และ ง. ถูก</t>
        </is>
      </c>
      <c r="I22" s="35" t="n">
        <v>5</v>
      </c>
      <c r="J22" s="34"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35" t="n"/>
      <c r="L22" s="34" t="inlineStr">
        <is>
          <t>Tablet Manufacturing</t>
        </is>
      </c>
      <c r="M22" s="35" t="inlineStr">
        <is>
          <t>Product</t>
        </is>
      </c>
      <c r="N22" s="34" t="inlineStr">
        <is>
          <t>ข้อ 101 Pharma Plus เล่มม่วง (เฉลยข้อ จ)</t>
        </is>
      </c>
      <c r="O22" s="35" t="inlineStr">
        <is>
          <t>Mock</t>
        </is>
      </c>
      <c r="P22" s="35" t="inlineStr">
        <is>
          <t>Pharma Plus เล่มม่วง</t>
        </is>
      </c>
    </row>
    <row r="23" ht="13.2" customHeight="1" s="49">
      <c r="A23" s="35" t="n">
        <v>21</v>
      </c>
      <c r="B23" s="34" t="inlineStr">
        <is>
          <t>ORS Formulation
Sodium chloride: 2.6 g/L
Glucose anhydrous: 13.5 g/L
Potassium chloride: 1.5 g/L
Trisodium citrate dihydrate: 2.9 g/L
จากสูตร ORS ที่กำหนดให้ จงคำนวณหา mOsmol ของ NaCl (MW NaCl = 58.5)</t>
        </is>
      </c>
      <c r="C23" s="35" t="n"/>
      <c r="D23" s="34" t="n">
        <v>44.44</v>
      </c>
      <c r="E23" s="34" t="n">
        <v>75.88</v>
      </c>
      <c r="F23" s="34" t="n">
        <v>80.58</v>
      </c>
      <c r="G23" s="34" t="n">
        <v>85</v>
      </c>
      <c r="H23" s="34" t="n">
        <v>88.89</v>
      </c>
      <c r="I23" s="35" t="n">
        <v>5</v>
      </c>
      <c r="J23" s="34"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35" t="n"/>
      <c r="L23" s="34" t="inlineStr">
        <is>
          <t>Tablet Manufacturing</t>
        </is>
      </c>
      <c r="M23" s="35" t="inlineStr">
        <is>
          <t>Product</t>
        </is>
      </c>
      <c r="N23" s="34" t="inlineStr">
        <is>
          <t>ข้อ 105 Pharma Plus เล่มม่วง (เฉลยข้อ จ)</t>
        </is>
      </c>
      <c r="O23" s="35" t="inlineStr">
        <is>
          <t>Mock</t>
        </is>
      </c>
      <c r="P23" s="35" t="inlineStr">
        <is>
          <t>Pharma Plus เล่มม่วง</t>
        </is>
      </c>
    </row>
    <row r="24" ht="13.2" customHeight="1" s="49">
      <c r="A24" s="35" t="n">
        <v>22</v>
      </c>
      <c r="B24" s="34"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35" t="n"/>
      <c r="D24" s="34" t="inlineStr">
        <is>
          <t>155 g</t>
        </is>
      </c>
      <c r="E24" s="34" t="inlineStr">
        <is>
          <t>175 g</t>
        </is>
      </c>
      <c r="F24" s="34" t="inlineStr">
        <is>
          <t>180 g</t>
        </is>
      </c>
      <c r="G24" s="34" t="inlineStr">
        <is>
          <t>197 g</t>
        </is>
      </c>
      <c r="H24" s="34" t="inlineStr">
        <is>
          <t>200 g</t>
        </is>
      </c>
      <c r="I24" s="35" t="n">
        <v>3</v>
      </c>
      <c r="J24" s="34"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35" t="n"/>
      <c r="L24" s="34" t="inlineStr">
        <is>
          <t>Tablet Manufacturing</t>
        </is>
      </c>
      <c r="M24" s="35" t="inlineStr">
        <is>
          <t>Product</t>
        </is>
      </c>
      <c r="N24" s="34" t="inlineStr">
        <is>
          <t>ข้อ 107 Pharma Plus เล่มม่วง (เฉลยข้อ ค)</t>
        </is>
      </c>
      <c r="O24" s="35" t="inlineStr">
        <is>
          <t>Mock</t>
        </is>
      </c>
      <c r="P24" s="35" t="inlineStr">
        <is>
          <t>Pharma Plus เล่มม่วง</t>
        </is>
      </c>
    </row>
    <row r="25" ht="13.2" customHeight="1" s="49">
      <c r="A25" s="35" t="n">
        <v>23</v>
      </c>
      <c r="B25" s="34" t="inlineStr">
        <is>
          <t>ในการเตรียม D-5-S จำนวน 100 ขวด (ขวดละ 1000 mL) จะต้องใช้ NaCl หนักเท่าใด</t>
        </is>
      </c>
      <c r="C25" s="35" t="n"/>
      <c r="D25" s="34" t="inlineStr">
        <is>
          <t>45 กรัม</t>
        </is>
      </c>
      <c r="E25" s="34" t="inlineStr">
        <is>
          <t>450 กรัม</t>
        </is>
      </c>
      <c r="F25" s="34" t="inlineStr">
        <is>
          <t>90 กรัม</t>
        </is>
      </c>
      <c r="G25" s="34" t="inlineStr">
        <is>
          <t>900 กรัม</t>
        </is>
      </c>
      <c r="H25" s="34" t="inlineStr">
        <is>
          <t>ไม่มีคำตอบใดถูก</t>
        </is>
      </c>
      <c r="I25" s="35" t="n">
        <v>4</v>
      </c>
      <c r="J25" s="34"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35" t="n"/>
      <c r="L25" s="34" t="inlineStr">
        <is>
          <t>Tablet Manufacturing</t>
        </is>
      </c>
      <c r="M25" s="35" t="inlineStr">
        <is>
          <t>Product</t>
        </is>
      </c>
      <c r="N25" s="34" t="inlineStr">
        <is>
          <t>ข้อ 108 Pharma Plus เล่มม่วง (เฉลยข้อ ง)</t>
        </is>
      </c>
      <c r="O25" s="35" t="inlineStr">
        <is>
          <t>Mock</t>
        </is>
      </c>
      <c r="P25" s="35" t="inlineStr">
        <is>
          <t>Pharma Plus เล่มม่วง</t>
        </is>
      </c>
    </row>
    <row r="26" ht="13.2" customHeight="1" s="49">
      <c r="A26" s="35" t="n">
        <v>24</v>
      </c>
      <c r="B26" s="34" t="inlineStr">
        <is>
          <t>หลังจากบรรจุเสร็จ จะนำขวดน้ำเกลือดังกล่าวไปฆ่าเชื้อโดยผ่านเครื่องมือใด ที่อุณหภูมิในข้อใด จึงจะเหมาะสม</t>
        </is>
      </c>
      <c r="C26" s="35" t="n"/>
      <c r="D26" s="34" t="inlineStr">
        <is>
          <t>Hot air oven 160 องศาเซลเซียส นาน 3 ชั่วโมง</t>
        </is>
      </c>
      <c r="E26" s="34" t="inlineStr">
        <is>
          <t>Hot air oven 121 องศาเซลเซียส นาน 20-30 นาที</t>
        </is>
      </c>
      <c r="F26" s="34" t="inlineStr">
        <is>
          <t>Autoclave 121 องศาเซลเซียส นาน 20-30 นาที</t>
        </is>
      </c>
      <c r="G26" s="34" t="inlineStr">
        <is>
          <t>Autoclave 160 องศาเซลเซียส นาน 3 ชั่วโมง</t>
        </is>
      </c>
      <c r="H26" s="34" t="inlineStr">
        <is>
          <t>Autoclave 100 องศาเซลเซียส นาน 30 นาที</t>
        </is>
      </c>
      <c r="I26" s="35" t="n">
        <v>3</v>
      </c>
      <c r="J26" s="34"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35" t="n"/>
      <c r="L26" s="34" t="inlineStr">
        <is>
          <t>Tablet Manufacturing</t>
        </is>
      </c>
      <c r="M26" s="35" t="inlineStr">
        <is>
          <t>Product</t>
        </is>
      </c>
      <c r="N26" s="34" t="inlineStr">
        <is>
          <t>ข้อ 109 Pharma Plus เล่มม่วง (เฉลยข้อ ค)</t>
        </is>
      </c>
      <c r="O26" s="35" t="inlineStr">
        <is>
          <t>Mock</t>
        </is>
      </c>
      <c r="P26" s="35" t="inlineStr">
        <is>
          <t>Pharma Plus เล่มม่วง</t>
        </is>
      </c>
    </row>
    <row r="27" ht="13.2" customHeight="1" s="49">
      <c r="A27" s="35" t="n">
        <v>25</v>
      </c>
      <c r="B27" s="34" t="inlineStr">
        <is>
          <t>ยา ISDN เหมาะกับอาการขณะกำเริบ คือ dosage form ใด</t>
        </is>
      </c>
      <c r="C27" s="35" t="n"/>
      <c r="D27" s="34" t="inlineStr">
        <is>
          <t>Extent release</t>
        </is>
      </c>
      <c r="E27" s="34" t="inlineStr">
        <is>
          <t>Ointment</t>
        </is>
      </c>
      <c r="F27" s="34" t="inlineStr">
        <is>
          <t>Solution</t>
        </is>
      </c>
      <c r="G27" s="34" t="inlineStr">
        <is>
          <t>Sublingual tablet</t>
        </is>
      </c>
      <c r="H27" s="34" t="inlineStr">
        <is>
          <t>Transdermal</t>
        </is>
      </c>
      <c r="I27" s="35" t="n">
        <v>4</v>
      </c>
      <c r="J27" s="34"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35" t="n"/>
      <c r="L27" s="34" t="inlineStr">
        <is>
          <t>Tablet Manufacturing</t>
        </is>
      </c>
      <c r="M27" s="35" t="inlineStr">
        <is>
          <t>Product</t>
        </is>
      </c>
      <c r="N27" s="34" t="inlineStr">
        <is>
          <t>ข้อ 122 Pharma Plus เล่มม่วง (เฉลยข้อ ง)</t>
        </is>
      </c>
      <c r="O27" s="35" t="inlineStr">
        <is>
          <t>Mock</t>
        </is>
      </c>
      <c r="P27" s="35" t="inlineStr">
        <is>
          <t>Pharma Plus เล่มม่วง</t>
        </is>
      </c>
    </row>
    <row r="28" ht="13.2" customHeight="1" s="49">
      <c r="A28" s="35" t="n">
        <v>26</v>
      </c>
      <c r="B28" s="34" t="inlineStr">
        <is>
          <t>ยาที่ผู้ป่วยได้รับก่อนมารพ. คือ nifedipine SR เป็นการปลดยารูปแบบใด</t>
        </is>
      </c>
      <c r="C28" s="35" t="n"/>
      <c r="D28" s="34" t="inlineStr">
        <is>
          <t>ปลดปล่อยยาทันทีหลังรับประทานอาหาร</t>
        </is>
      </c>
      <c r="E28" s="34" t="inlineStr">
        <is>
          <t>ปลดปล่อยยาอย่างเร็ว</t>
        </is>
      </c>
      <c r="F28" s="34" t="inlineStr">
        <is>
          <t>ปลดปล่อยยาในปริมาณที่แน่นอน</t>
        </is>
      </c>
      <c r="G28" s="34" t="inlineStr">
        <is>
          <t>ค่อย ๆ ปล่อยยาออกมาอย่าง ช้า ๆ</t>
        </is>
      </c>
      <c r="H28" s="34" t="inlineStr">
        <is>
          <t>ค่อย ๆปลดปล่อยยาออกมาในปริมาณน้อย</t>
        </is>
      </c>
      <c r="I28" s="35" t="n">
        <v>4</v>
      </c>
      <c r="J28" s="34"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35" t="n"/>
      <c r="L28" s="34" t="inlineStr">
        <is>
          <t>Tablet Manufacturing</t>
        </is>
      </c>
      <c r="M28" s="35" t="inlineStr">
        <is>
          <t>Product</t>
        </is>
      </c>
      <c r="N28" s="34" t="inlineStr">
        <is>
          <t>ข้อ 123 Pharma Plus เล่มม่วง (เฉลยข้อ ง)</t>
        </is>
      </c>
      <c r="O28" s="35" t="inlineStr">
        <is>
          <t>Mock</t>
        </is>
      </c>
      <c r="P28" s="35" t="inlineStr">
        <is>
          <t>Pharma Plus เล่มม่วง</t>
        </is>
      </c>
    </row>
    <row r="29" ht="13.2" customHeight="1" s="49">
      <c r="A29" s="35" t="n">
        <v>27</v>
      </c>
      <c r="B29" s="34" t="inlineStr">
        <is>
          <t>ข้อมูลข้อมีความจำเป็นน้อยที่สุดในการนำพริกมาบรรจุในแคปซูลเพื่อรับประทาน</t>
        </is>
      </c>
      <c r="C29" s="35" t="n"/>
      <c r="D29" s="34" t="inlineStr">
        <is>
          <t>Solubility</t>
        </is>
      </c>
      <c r="E29" s="34" t="inlineStr">
        <is>
          <t>Angle of repose</t>
        </is>
      </c>
      <c r="F29" s="34" t="inlineStr">
        <is>
          <t>Capsule's size and volume</t>
        </is>
      </c>
      <c r="G29" s="34" t="inlineStr">
        <is>
          <t>Tap density</t>
        </is>
      </c>
      <c r="H29" s="34" t="inlineStr">
        <is>
          <t>Therapeutic dose</t>
        </is>
      </c>
      <c r="I29" s="35" t="n">
        <v>1</v>
      </c>
      <c r="J29" s="34"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35" t="n"/>
      <c r="L29" s="34" t="inlineStr">
        <is>
          <t>Hard &amp; Soft Gelatin Capsules</t>
        </is>
      </c>
      <c r="M29" s="35" t="inlineStr">
        <is>
          <t>Product</t>
        </is>
      </c>
      <c r="N29" s="34" t="inlineStr">
        <is>
          <t>ข้อ 125 Pharma Plus เล่มม่วง (เฉลยข้อ ก)</t>
        </is>
      </c>
      <c r="O29" s="35" t="inlineStr">
        <is>
          <t>Mock</t>
        </is>
      </c>
      <c r="P29" s="35" t="inlineStr">
        <is>
          <t>Pharma Plus เล่มม่วง</t>
        </is>
      </c>
    </row>
    <row r="30" ht="13.2" customHeight="1" s="49">
      <c r="A30" s="35" t="n">
        <v>28</v>
      </c>
      <c r="B30" s="34"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35" t="n"/>
      <c r="D30" s="34" t="inlineStr">
        <is>
          <t>ใช้ 25% NaHCO3 6 mL และปรับปริมาตรให้ได้ 100 mL</t>
        </is>
      </c>
      <c r="E30" s="34" t="inlineStr">
        <is>
          <t>ใช้ 25% NaHCO3 6 mL และปรับปริมาตรให้ได้ 30 mL</t>
        </is>
      </c>
      <c r="F30" s="34" t="inlineStr">
        <is>
          <t>ใช้ 25% NaHCO3 20 mL และปรับปริมาตรให้ได้ 100 mL</t>
        </is>
      </c>
      <c r="G30" s="34" t="inlineStr">
        <is>
          <t>ใช้ 25% NaHCO3 20 mL และปรับปริมาตรให้ได้ 30 mL</t>
        </is>
      </c>
      <c r="H30" s="34" t="inlineStr">
        <is>
          <t>ใช้ 25% NaHCO3 10 mL และปรับปริมาตรให้ได้ 100 mL</t>
        </is>
      </c>
      <c r="I30" s="35" t="n">
        <v>2</v>
      </c>
      <c r="J30" s="34"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35" t="n"/>
      <c r="L30" s="34" t="inlineStr">
        <is>
          <t>Tablet Manufacturing</t>
        </is>
      </c>
      <c r="M30" s="35" t="inlineStr">
        <is>
          <t>Product</t>
        </is>
      </c>
      <c r="N30" s="34" t="inlineStr">
        <is>
          <t>ข้อ 126 Pharma Plus เล่มม่วง (เฉลยข้อ ข)</t>
        </is>
      </c>
      <c r="O30" s="35" t="inlineStr">
        <is>
          <t>Mock</t>
        </is>
      </c>
      <c r="P30" s="35" t="inlineStr">
        <is>
          <t>Pharma Plus เล่มม่วง</t>
        </is>
      </c>
    </row>
    <row r="31" ht="13.2" customHeight="1" s="49">
      <c r="A31" s="35" t="n">
        <v>29</v>
      </c>
      <c r="B31" s="34" t="inlineStr">
        <is>
          <t>เมื่อเตรียมตำรับยาข้างต้นในข้อ 126 ส่วนประกอบใดไม่จำเป็นในการเตรียมยาใช้ในช่องหู</t>
        </is>
      </c>
      <c r="C31" s="35" t="n"/>
      <c r="D31" s="34" t="inlineStr">
        <is>
          <t>Antioxidant</t>
        </is>
      </c>
      <c r="E31" s="34" t="inlineStr">
        <is>
          <t>Buffering agent</t>
        </is>
      </c>
      <c r="F31" s="34" t="inlineStr">
        <is>
          <t>Structure vehicle</t>
        </is>
      </c>
      <c r="G31" s="34" t="inlineStr">
        <is>
          <t>Preservative</t>
        </is>
      </c>
      <c r="H31" s="34" t="inlineStr">
        <is>
          <t>Viscosity agent</t>
        </is>
      </c>
      <c r="I31" s="35" t="n">
        <v>2</v>
      </c>
      <c r="J31" s="34"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35" t="n"/>
      <c r="L31" s="34" t="inlineStr">
        <is>
          <t>Tablet Manufacturing</t>
        </is>
      </c>
      <c r="M31" s="35" t="inlineStr">
        <is>
          <t>Product</t>
        </is>
      </c>
      <c r="N31" s="34" t="inlineStr">
        <is>
          <t>ข้อ 127 Pharma Plus เล่มม่วง (เฉลยข้อ ข)</t>
        </is>
      </c>
      <c r="O31" s="35" t="inlineStr">
        <is>
          <t>Mock</t>
        </is>
      </c>
      <c r="P31" s="35" t="inlineStr">
        <is>
          <t>Pharma Plus เล่มม่วง</t>
        </is>
      </c>
    </row>
    <row r="32" ht="13.2" customHeight="1" s="49">
      <c r="A32" s="35" t="n">
        <v>30</v>
      </c>
      <c r="B32" s="34"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35" t="n"/>
      <c r="D32" s="34" t="inlineStr">
        <is>
          <t>0.27 g</t>
        </is>
      </c>
      <c r="E32" s="34" t="inlineStr">
        <is>
          <t>0.18 g</t>
        </is>
      </c>
      <c r="F32" s="34" t="inlineStr">
        <is>
          <t>0.09 g</t>
        </is>
      </c>
      <c r="G32" s="34" t="inlineStr">
        <is>
          <t>0.04 g</t>
        </is>
      </c>
      <c r="H32" s="34" t="inlineStr">
        <is>
          <t>0.12 g</t>
        </is>
      </c>
      <c r="I32" s="35" t="n">
        <v>3</v>
      </c>
      <c r="J32" s="34"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35" t="n"/>
      <c r="L32" s="34" t="inlineStr">
        <is>
          <t>Tablet Manufacturing</t>
        </is>
      </c>
      <c r="M32" s="35" t="inlineStr">
        <is>
          <t>Product</t>
        </is>
      </c>
      <c r="N32" s="34" t="inlineStr">
        <is>
          <t>ข้อ 152 Pharma Plus เล่มม่วง (เฉลยข้อ ค)</t>
        </is>
      </c>
      <c r="O32" s="35" t="inlineStr">
        <is>
          <t>Mock</t>
        </is>
      </c>
      <c r="P32" s="35" t="inlineStr">
        <is>
          <t>Pharma Plus เล่มม่วง</t>
        </is>
      </c>
    </row>
    <row r="33" ht="13.2" customHeight="1" s="49">
      <c r="A33" s="35" t="n">
        <v>31</v>
      </c>
      <c r="B33" s="34" t="inlineStr">
        <is>
          <t>ข้อใดไม่เกี่ยวกับการควบคุมคุณภาพ ยาเม็ด norfloxacin</t>
        </is>
      </c>
      <c r="C33" s="35" t="n"/>
      <c r="D33" s="34" t="inlineStr">
        <is>
          <t>Content Uniformity</t>
        </is>
      </c>
      <c r="E33" s="34" t="inlineStr">
        <is>
          <t>Dissolution test</t>
        </is>
      </c>
      <c r="F33" s="34" t="inlineStr">
        <is>
          <t>Disintegration</t>
        </is>
      </c>
      <c r="G33" s="34" t="inlineStr">
        <is>
          <t>Weight Variation</t>
        </is>
      </c>
      <c r="H33" s="34" t="inlineStr">
        <is>
          <t>Limulus Amoebocyte Lysate test</t>
        </is>
      </c>
      <c r="I33" s="35" t="n">
        <v>5</v>
      </c>
      <c r="J33" s="34"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35" t="n"/>
      <c r="L33" s="34" t="inlineStr">
        <is>
          <t>Tablet Manufacturing</t>
        </is>
      </c>
      <c r="M33" s="35" t="inlineStr">
        <is>
          <t>Product</t>
        </is>
      </c>
      <c r="N33" s="34" t="inlineStr">
        <is>
          <t>ข้อ 153 Pharma Plus เล่มม่วง (เฉลยข้อ จ)</t>
        </is>
      </c>
      <c r="O33" s="35" t="inlineStr">
        <is>
          <t>Mock</t>
        </is>
      </c>
      <c r="P33" s="35" t="inlineStr">
        <is>
          <t>Pharma Plus เล่มม่วง</t>
        </is>
      </c>
    </row>
    <row r="34" ht="13.2" customHeight="1" s="49">
      <c r="A34" s="35" t="n">
        <v>32</v>
      </c>
      <c r="B34" s="34"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35" t="n"/>
      <c r="D34" s="34" t="inlineStr">
        <is>
          <t>Sodium alginate, bentonite, methylcellulose</t>
        </is>
      </c>
      <c r="E34" s="34" t="inlineStr">
        <is>
          <t>Tragacanth, carbomer, methylcellulose</t>
        </is>
      </c>
      <c r="F34" s="34" t="inlineStr">
        <is>
          <t>Carbomer, methylcellulose, hydroxypropyl cellulose</t>
        </is>
      </c>
      <c r="G34" s="34" t="inlineStr">
        <is>
          <t>Pectin, guar gum, carbomer</t>
        </is>
      </c>
      <c r="H34" s="34" t="inlineStr">
        <is>
          <t>Tragacanth, carboxymethylcellulose, carbomer</t>
        </is>
      </c>
      <c r="I34" s="35" t="n">
        <v>5</v>
      </c>
      <c r="J34" s="34"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35" t="n"/>
      <c r="L34" s="34" t="inlineStr">
        <is>
          <t>Tablet Manufacturing</t>
        </is>
      </c>
      <c r="M34" s="35" t="inlineStr">
        <is>
          <t>Product</t>
        </is>
      </c>
      <c r="N34" s="34" t="inlineStr">
        <is>
          <t>ข้อ 155 Pharma Plus เล่มม่วง (เฉลยข้อ จ)</t>
        </is>
      </c>
      <c r="O34" s="35" t="inlineStr">
        <is>
          <t>Mock</t>
        </is>
      </c>
      <c r="P34" s="35" t="inlineStr">
        <is>
          <t>Pharma Plus เล่มม่วง</t>
        </is>
      </c>
    </row>
    <row r="35" ht="13.2" customHeight="1" s="49">
      <c r="A35" s="35" t="n">
        <v>33</v>
      </c>
      <c r="B35" s="34" t="inlineStr">
        <is>
          <t>สาร polymer ตัวใดนิยมใช้ในการทำ film coat tablet</t>
        </is>
      </c>
      <c r="C35" s="35" t="n"/>
      <c r="D35" s="34" t="inlineStr">
        <is>
          <t>HPMC</t>
        </is>
      </c>
      <c r="E35" s="34" t="inlineStr">
        <is>
          <t>CMC</t>
        </is>
      </c>
      <c r="F35" s="34" t="inlineStr">
        <is>
          <t>Polymeric methacrylates</t>
        </is>
      </c>
      <c r="G35" s="34" t="inlineStr">
        <is>
          <t>Carbopol</t>
        </is>
      </c>
      <c r="H35" s="34" t="inlineStr">
        <is>
          <t>Veegum</t>
        </is>
      </c>
      <c r="I35" s="35" t="n">
        <v>1</v>
      </c>
      <c r="J35" s="34"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35" t="n"/>
      <c r="L35" s="34" t="inlineStr">
        <is>
          <t>Tablet Coating</t>
        </is>
      </c>
      <c r="M35" s="35" t="inlineStr">
        <is>
          <t>Product</t>
        </is>
      </c>
      <c r="N35" s="34" t="inlineStr">
        <is>
          <t>ข้อ 163 Pharma Plus เล่มม่วง (เฉลยข้อ ก)</t>
        </is>
      </c>
      <c r="O35" s="35" t="inlineStr">
        <is>
          <t>Mock</t>
        </is>
      </c>
      <c r="P35" s="35" t="inlineStr">
        <is>
          <t>Pharma Plus เล่มม่วง</t>
        </is>
      </c>
    </row>
    <row r="36" ht="13.2" customHeight="1" s="49">
      <c r="A36" s="35" t="n">
        <v>34</v>
      </c>
      <c r="B36" s="34" t="inlineStr">
        <is>
          <t>ข้อใดกล่าวผิดเกี่ยวกับยารูปแบบเม็ด</t>
        </is>
      </c>
      <c r="C36" s="35" t="n"/>
      <c r="D36" s="34" t="inlineStr">
        <is>
          <t>การเตรียมยา solution ทำได้โดยการใช้ตัวทำละลายร่วมที่เป็น organic solvent เพื่อช่วยละลาย</t>
        </is>
      </c>
      <c r="E36" s="34" t="inlineStr">
        <is>
          <t>ยารูปแบบ solution มักมีค่าความต้านทานการไหลและแรงตึงผิวภายในสารละลายใกล้เคียงกับน้ำ</t>
        </is>
      </c>
      <c r="F36" s="34" t="inlineStr">
        <is>
          <t>Suspension ใช้เป็นยาฉีดเข้าหลอดเลือดได้ ถ้าขนาดอนุภาคเล็กมากๆ</t>
        </is>
      </c>
      <c r="G36" s="34" t="inlineStr">
        <is>
          <t>Emulsion ใช้เป็นอาหารทางหลอดเลือดดำได้แต่ควรเป็นการเตรียมใหม่ๆ</t>
        </is>
      </c>
      <c r="H36" s="34" t="inlineStr">
        <is>
          <t>การลดความเจ็บปวดเมื่อฉีดทำได้โดยเติมสารบางชนิดเช่น buffer</t>
        </is>
      </c>
      <c r="I36" s="35" t="n">
        <v>1</v>
      </c>
      <c r="J36" s="34"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35" t="n"/>
      <c r="L36" s="34" t="inlineStr">
        <is>
          <t>Tablet Manufacturing</t>
        </is>
      </c>
      <c r="M36" s="35" t="inlineStr">
        <is>
          <t>Product</t>
        </is>
      </c>
      <c r="N36" s="34" t="inlineStr">
        <is>
          <t>ข้อ 164 Pharma Plus เล่มม่วง (เฉลยข้อ ไมมีคำตอบ)</t>
        </is>
      </c>
      <c r="O36" s="35" t="inlineStr">
        <is>
          <t>Mock</t>
        </is>
      </c>
      <c r="P36" s="35" t="inlineStr">
        <is>
          <t>Pharma Plus เล่มม่วง</t>
        </is>
      </c>
    </row>
    <row r="37" ht="13.2" customHeight="1" s="49">
      <c r="A37" s="35" t="n">
        <v>35</v>
      </c>
      <c r="B37" s="34" t="inlineStr">
        <is>
          <t>ข้อใดถูกต้องที่สุดเกี่ยวกับ tonicity ของยาฉีด</t>
        </is>
      </c>
      <c r="C37" s="35" t="n"/>
      <c r="D37" s="34" t="inlineStr">
        <is>
          <t>จัดเป็น colligative property</t>
        </is>
      </c>
      <c r="E37" s="34" t="inlineStr">
        <is>
          <t>สามารถปรับได้โดยเติมสารบางชนิด เช่น phosphate acetate ซึ่งนิยมมาก</t>
        </is>
      </c>
      <c r="F37" s="34" t="inlineStr">
        <is>
          <t>การฉีด hypertonic solution ก่อให้เกิด cell lysis ได้</t>
        </is>
      </c>
      <c r="G37" s="34" t="inlineStr">
        <is>
          <t>การฉีดยา isotonic ต่อระบบเลือด มักเป็น isotonic ต่อเนื้อเยื่ออื่นด้วย</t>
        </is>
      </c>
      <c r="H37" s="34" t="inlineStr">
        <is>
          <t>Normal saline เป็นทั้ง isotonic และ iso-osmotic</t>
        </is>
      </c>
      <c r="I37" s="35" t="n">
        <v>5</v>
      </c>
      <c r="J37" s="34"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35" t="n"/>
      <c r="L37" s="34" t="inlineStr">
        <is>
          <t>Tablet Manufacturing</t>
        </is>
      </c>
      <c r="M37" s="35" t="inlineStr">
        <is>
          <t>Product</t>
        </is>
      </c>
      <c r="N37" s="34" t="inlineStr">
        <is>
          <t>ข้อ 165 Pharma Plus เล่มม่วง (เฉลยข้อ จ)</t>
        </is>
      </c>
      <c r="O37" s="35" t="inlineStr">
        <is>
          <t>Mock</t>
        </is>
      </c>
      <c r="P37" s="35" t="inlineStr">
        <is>
          <t>Pharma Plus เล่มม่วง</t>
        </is>
      </c>
    </row>
    <row r="38" ht="13.2" customHeight="1" s="49">
      <c r="A38" s="35" t="n">
        <v>36</v>
      </c>
      <c r="B38" s="34"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35" t="n"/>
      <c r="D38" s="34" t="inlineStr">
        <is>
          <t>Spray dried lactose</t>
        </is>
      </c>
      <c r="E38" s="34" t="inlineStr">
        <is>
          <t>Microcrystalline cellulose</t>
        </is>
      </c>
      <c r="F38" s="34" t="inlineStr">
        <is>
          <t>Tapioca starch</t>
        </is>
      </c>
      <c r="G38" s="34" t="inlineStr">
        <is>
          <t>Dibasic calcium phosphate</t>
        </is>
      </c>
      <c r="H38" s="34" t="inlineStr">
        <is>
          <t>Mannitol</t>
        </is>
      </c>
      <c r="I38" s="35" t="n">
        <v>1</v>
      </c>
      <c r="J38" s="34"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Hard &amp; Soft Gelatin Capsules</t>
        </is>
      </c>
      <c r="M38" s="35" t="inlineStr">
        <is>
          <t>Product</t>
        </is>
      </c>
      <c r="N38" s="34" t="inlineStr">
        <is>
          <t>ข้อ 166 Pharma Plus เล่มม่วง (เฉลยข้อ ก)</t>
        </is>
      </c>
      <c r="O38" s="35" t="inlineStr">
        <is>
          <t>Mock</t>
        </is>
      </c>
      <c r="P38" s="35" t="inlineStr">
        <is>
          <t>Pharma Plus เล่มม่วง</t>
        </is>
      </c>
    </row>
    <row r="39" ht="13.2" customHeight="1" s="49">
      <c r="A39" s="35" t="n">
        <v>37</v>
      </c>
      <c r="B39" s="34"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35" t="n"/>
      <c r="D39" s="34" t="inlineStr">
        <is>
          <t>ผงยามีการกระจายขนาดอนุภาคในช่วงแคบ</t>
        </is>
      </c>
      <c r="E39" s="34" t="inlineStr">
        <is>
          <t>ผงยามีค่า angle of repose ต่ำ</t>
        </is>
      </c>
      <c r="F39" s="34" t="inlineStr">
        <is>
          <t>สารเจือจางมีความหนาแน่นใกล้เคียงตัวยาสำคัญ</t>
        </is>
      </c>
      <c r="G39" s="34" t="inlineStr">
        <is>
          <t>ปริมาณของตัวยาและสารช่วยรวมกัน ควรบรรจุขอบ body ของเปลือก capsule ได้เต็มหรือเกือบเต็ม</t>
        </is>
      </c>
      <c r="H39" s="34" t="inlineStr">
        <is>
          <t>สารช่วยการไหลที่ใช้มีคุณสมบัติเป็น true lubricant มากกว่า glidant</t>
        </is>
      </c>
      <c r="I39" s="35" t="n">
        <v>5</v>
      </c>
      <c r="J39" s="34"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Hard &amp; Soft Gelatin Capsules</t>
        </is>
      </c>
      <c r="M39" s="35" t="inlineStr">
        <is>
          <t>Product</t>
        </is>
      </c>
      <c r="N39" s="34" t="inlineStr">
        <is>
          <t>ข้อ 167 Pharma Plus เล่มม่วง (เฉลยข้อ จ)</t>
        </is>
      </c>
      <c r="O39" s="35" t="inlineStr">
        <is>
          <t>Mock</t>
        </is>
      </c>
      <c r="P39" s="35" t="inlineStr">
        <is>
          <t>Pharma Plus เล่มม่วง</t>
        </is>
      </c>
    </row>
    <row r="40" ht="13.2" customHeight="1" s="49">
      <c r="A40" s="35" t="n">
        <v>38</v>
      </c>
      <c r="B40" s="34"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35" t="n"/>
      <c r="D40" s="34" t="inlineStr">
        <is>
          <t>ผ่านการทดสอบใน S1 ทั้งหกเม็ด</t>
        </is>
      </c>
      <c r="E40" s="34" t="inlineStr">
        <is>
          <t>มี 3 เม็ดไม่ผ่านการทดสอบใน S1</t>
        </is>
      </c>
      <c r="F40" s="34" t="inlineStr">
        <is>
          <t>มี 1 เม็ดไม่ผ่านการทดสอบใน S1</t>
        </is>
      </c>
      <c r="G40" s="34" t="inlineStr">
        <is>
          <t>ต้องทำการทดสอบเพิ่มอีก 12 เม็ด</t>
        </is>
      </c>
      <c r="H40" s="34" t="inlineStr">
        <is>
          <t>มี 4 เม็ดไม่ผ่านการทดสอบ</t>
        </is>
      </c>
      <c r="I40" s="35" t="n">
        <v>1</v>
      </c>
      <c r="J40" s="34"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Tablet Manufacturing</t>
        </is>
      </c>
      <c r="M40" s="35" t="inlineStr">
        <is>
          <t>Product</t>
        </is>
      </c>
      <c r="N40" s="34" t="inlineStr">
        <is>
          <t>ข้อ 180 Pharma Plus เล่มม่วง (เฉลยข้อ )</t>
        </is>
      </c>
      <c r="O40" s="35" t="inlineStr">
        <is>
          <t>Mock</t>
        </is>
      </c>
      <c r="P40" s="35" t="inlineStr">
        <is>
          <t>Pharma Plus เล่มม่วง</t>
        </is>
      </c>
    </row>
    <row r="41" ht="13.2" customHeight="1" s="49">
      <c r="A41" s="35" t="n">
        <v>39</v>
      </c>
      <c r="B41" s="34" t="inlineStr">
        <is>
          <t>ยาของบริษัทใดมีความสามารถในการละลายน้ำที่ดีกว่ากัน</t>
        </is>
      </c>
      <c r="C41" s="35" t="n"/>
      <c r="D41" s="34" t="inlineStr">
        <is>
          <t>ยาของบริษัท A ละลายน้ำได้ดีกว่า บริษัท B เนื่องจากมี lactose ทำให้ละลายน้ำได้ดีกว่า</t>
        </is>
      </c>
      <c r="E41" s="34" t="inlineStr">
        <is>
          <t>ยาของบริษัท A ละลายน้ำได้ดีกว่า บริษัท B เนื่องจากมีปริมาณ magnesium stearate มากกว่า</t>
        </is>
      </c>
      <c r="F41" s="34" t="inlineStr">
        <is>
          <t>ยาของบริษัท B ละลายน้ำได้ดีกว่า บริษัท A เนื่องจากมี microcrystalline cellulose ช่วยในการละลาย</t>
        </is>
      </c>
      <c r="G41" s="34" t="inlineStr">
        <is>
          <t>ยาของบริษัท B ละลายน้ำได้ดีกว่า บริษัท A เนื่องจากมี sodium lauryl sulfate เป็น wetting agent</t>
        </is>
      </c>
      <c r="H41" s="34" t="inlineStr">
        <is>
          <t>ยาของบริษัท A และ B ละลายน้ำได้เท่ากันเนื่องจากยา allopurinol มีคุณสมบัติละลายน้ำได้น้อยอยู่แล้ว</t>
        </is>
      </c>
      <c r="I41" s="35" t="n">
        <v>1</v>
      </c>
      <c r="J41" s="34"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Tablet Manufacturing</t>
        </is>
      </c>
      <c r="M41" s="35" t="inlineStr">
        <is>
          <t>Product</t>
        </is>
      </c>
      <c r="N41" s="34" t="inlineStr">
        <is>
          <t>ข้อ 181 Pharma Plus เล่มม่วง (เฉลยข้อ )</t>
        </is>
      </c>
      <c r="O41" s="35" t="inlineStr">
        <is>
          <t>Mock</t>
        </is>
      </c>
      <c r="P41" s="35" t="inlineStr">
        <is>
          <t>Pharma Plus เล่มม่วง</t>
        </is>
      </c>
    </row>
    <row r="42" ht="13.2" customHeight="1" s="49">
      <c r="A42" s="35" t="n">
        <v>40</v>
      </c>
      <c r="B42" s="34" t="inlineStr">
        <is>
          <t>ยาเม็ดคุมกำเนิด ไม่ต้องทำการทดสอบตัวข้อใด (ตามมาตรฐานของ USP)</t>
        </is>
      </c>
      <c r="C42" s="35" t="n"/>
      <c r="D42" s="34" t="inlineStr">
        <is>
          <t>Dissolution</t>
        </is>
      </c>
      <c r="E42" s="34" t="inlineStr">
        <is>
          <t>Hardness</t>
        </is>
      </c>
      <c r="F42" s="34" t="inlineStr">
        <is>
          <t>Disintegration</t>
        </is>
      </c>
      <c r="G42" s="34" t="inlineStr">
        <is>
          <t>Content of Uniformity</t>
        </is>
      </c>
      <c r="H42" s="34" t="inlineStr">
        <is>
          <t>Percent labeled amount</t>
        </is>
      </c>
      <c r="I42" s="35" t="n">
        <v>2</v>
      </c>
      <c r="J42" s="34"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Tablet Manufacturing</t>
        </is>
      </c>
      <c r="M42" s="35" t="inlineStr">
        <is>
          <t>Product</t>
        </is>
      </c>
      <c r="N42" s="34" t="inlineStr">
        <is>
          <t>ข้อ 182 Pharma Plus เล่มม่วง (เฉลยข้อ ข)</t>
        </is>
      </c>
      <c r="O42" s="35" t="inlineStr">
        <is>
          <t>Mock</t>
        </is>
      </c>
      <c r="P42" s="35" t="inlineStr">
        <is>
          <t>Pharma Plus เล่มม่วง</t>
        </is>
      </c>
    </row>
    <row r="43" ht="13.2" customHeight="1" s="49">
      <c r="A43" s="35" t="n">
        <v>41</v>
      </c>
      <c r="B43" s="34" t="inlineStr">
        <is>
          <t>ข้อใดผิดเกี่ยวกับการเตรียมยาเม็ดด้วยวิธีตอกอัดโดยตรง</t>
        </is>
      </c>
      <c r="C43" s="35" t="n"/>
      <c r="D43" s="34" t="inlineStr">
        <is>
          <t>เป็นวิธีที่สะดวกรวดเร็ว</t>
        </is>
      </c>
      <c r="E43" s="34" t="inlineStr">
        <is>
          <t>ไม่ใช้น้ำและความร้อนในการตอก</t>
        </is>
      </c>
      <c r="F43" s="34" t="inlineStr">
        <is>
          <t>ยาเม็ดที่ได้มีการกระจายของสีที่สม่ำเสมอกว่าการทำแกรนูลเปียก</t>
        </is>
      </c>
      <c r="G43" s="34" t="inlineStr">
        <is>
          <t>ยาที่ตอกควรมีคุณสมบัติในการไหลและยึดเกาะกันได้ดี</t>
        </is>
      </c>
      <c r="H43" s="34" t="inlineStr">
        <is>
          <t>สารช่วยควรไหลได้ดีและตอกอัดได้</t>
        </is>
      </c>
      <c r="I43" s="35" t="n">
        <v>3</v>
      </c>
      <c r="J43" s="34"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Tablet Manufacturing</t>
        </is>
      </c>
      <c r="M43" s="35" t="inlineStr">
        <is>
          <t>Product</t>
        </is>
      </c>
      <c r="N43" s="34" t="inlineStr">
        <is>
          <t>ข้อ 183 Pharma Plus เล่มม่วง (เฉลยข้อ ค)</t>
        </is>
      </c>
      <c r="O43" s="35" t="inlineStr">
        <is>
          <t>Mock</t>
        </is>
      </c>
      <c r="P43" s="35" t="inlineStr">
        <is>
          <t>Pharma Plus เล่มม่วง</t>
        </is>
      </c>
    </row>
    <row r="44" ht="13.2" customHeight="1" s="49">
      <c r="A44" s="35" t="n">
        <v>42</v>
      </c>
      <c r="B44" s="34"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35" t="n"/>
      <c r="D44" s="34" t="inlineStr">
        <is>
          <t>Cosolvency</t>
        </is>
      </c>
      <c r="E44" s="34" t="inlineStr">
        <is>
          <t>Complexation</t>
        </is>
      </c>
      <c r="F44" s="34" t="inlineStr">
        <is>
          <t>Micelle</t>
        </is>
      </c>
      <c r="G44" s="34" t="inlineStr">
        <is>
          <t>Liposome</t>
        </is>
      </c>
      <c r="H44" s="34" t="inlineStr">
        <is>
          <t>Crystallization</t>
        </is>
      </c>
      <c r="I44" s="35" t="n">
        <v>1</v>
      </c>
      <c r="J44"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Tablet Manufacturing</t>
        </is>
      </c>
      <c r="M44" s="35" t="inlineStr">
        <is>
          <t>Product</t>
        </is>
      </c>
      <c r="N44" s="34" t="inlineStr">
        <is>
          <t>ข้อ 184 Pharma Plus เล่มม่วง (เฉลยข้อ ก)</t>
        </is>
      </c>
      <c r="O44" s="35" t="inlineStr">
        <is>
          <t>Mock</t>
        </is>
      </c>
      <c r="P44" s="35" t="inlineStr">
        <is>
          <t>Pharma Plus เล่มม่วง</t>
        </is>
      </c>
    </row>
    <row r="45" ht="13.2" customHeight="1" s="49">
      <c r="A45" s="35" t="n">
        <v>43</v>
      </c>
      <c r="B45" s="34"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35" t="n"/>
      <c r="D45" s="34" t="inlineStr">
        <is>
          <t>Cosolvency</t>
        </is>
      </c>
      <c r="E45" s="34" t="inlineStr">
        <is>
          <t>pH adjustment</t>
        </is>
      </c>
      <c r="F45" s="34" t="inlineStr">
        <is>
          <t>Complexation</t>
        </is>
      </c>
      <c r="G45" s="34" t="inlineStr">
        <is>
          <t>Prodrug formation</t>
        </is>
      </c>
      <c r="H45" s="34" t="inlineStr">
        <is>
          <t>Micelle solubilization</t>
        </is>
      </c>
      <c r="I45" s="35" t="n">
        <v>1</v>
      </c>
      <c r="J45" s="34"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Tablet Manufacturing</t>
        </is>
      </c>
      <c r="M45" s="35" t="inlineStr">
        <is>
          <t>Product</t>
        </is>
      </c>
      <c r="N45" s="34" t="inlineStr">
        <is>
          <t>ข้อ 185 Pharma Plus เล่มม่วง (เฉลยข้อ ก)</t>
        </is>
      </c>
      <c r="O45" s="35" t="inlineStr">
        <is>
          <t>Mock</t>
        </is>
      </c>
      <c r="P45" s="35" t="inlineStr">
        <is>
          <t>Pharma Plus เล่มม่วง</t>
        </is>
      </c>
    </row>
    <row r="46" ht="13.2" customHeight="1" s="49">
      <c r="A46" s="35" t="n">
        <v>44</v>
      </c>
      <c r="B46" s="34"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35" t="n"/>
      <c r="D46" s="34" t="inlineStr">
        <is>
          <t>Caking</t>
        </is>
      </c>
      <c r="E46" s="34" t="inlineStr">
        <is>
          <t>Cracking</t>
        </is>
      </c>
      <c r="F46" s="34" t="inlineStr">
        <is>
          <t>Bleeding</t>
        </is>
      </c>
      <c r="G46" s="34" t="inlineStr">
        <is>
          <t>Creaming</t>
        </is>
      </c>
      <c r="H46" s="34" t="inlineStr">
        <is>
          <t>Phase inversion</t>
        </is>
      </c>
      <c r="I46" s="35" t="n">
        <v>2</v>
      </c>
      <c r="J46" s="34"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Tablet Manufacturing</t>
        </is>
      </c>
      <c r="M46" s="35" t="inlineStr">
        <is>
          <t>Product</t>
        </is>
      </c>
      <c r="N46" s="34" t="inlineStr">
        <is>
          <t>ข้อ 186 Pharma Plus เล่มม่วง (เฉลยข้อ ข)</t>
        </is>
      </c>
      <c r="O46" s="35" t="inlineStr">
        <is>
          <t>Mock</t>
        </is>
      </c>
      <c r="P46" s="35" t="inlineStr">
        <is>
          <t>Pharma Plus เล่มม่วง</t>
        </is>
      </c>
    </row>
    <row r="47" ht="13.2" customHeight="1" s="49">
      <c r="A47" s="35" t="n">
        <v>45</v>
      </c>
      <c r="B47" s="34" t="inlineStr">
        <is>
          <t>มีสูตรตำรับโลชั่นพริก เกิดแยกตัว เขย่าไม่กลับคืนเกิดจากสาเหตุใดได้</t>
        </is>
      </c>
      <c r="C47" s="35" t="n"/>
      <c r="D47" s="34" t="inlineStr">
        <is>
          <t>เฟสน้ำมันมีมากไป</t>
        </is>
      </c>
      <c r="E47" s="34" t="inlineStr">
        <is>
          <t>สัดส่วนระหว่างวัดภาคน้ำและน้ำมันต่างกันมาก</t>
        </is>
      </c>
      <c r="F47" s="34" t="inlineStr">
        <is>
          <t>ไม่มี emulsifier</t>
        </is>
      </c>
      <c r="G47" s="34" t="inlineStr">
        <is>
          <t>Emulsifier ไม่เพียงพอ</t>
        </is>
      </c>
      <c r="H47" s="34" t="inlineStr">
        <is>
          <t>ความหนาแน่นเฟสน้ำกับน้ำมันมีความแตกต่างกันมาก</t>
        </is>
      </c>
      <c r="I47" s="35" t="n">
        <v>4</v>
      </c>
      <c r="J47" s="34"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Tablet Manufacturing</t>
        </is>
      </c>
      <c r="M47" s="35" t="inlineStr">
        <is>
          <t>Product</t>
        </is>
      </c>
      <c r="N47" s="34" t="inlineStr">
        <is>
          <t>ข้อ 187 Pharma Plus เล่มม่วง (เฉลยข้อ ง)</t>
        </is>
      </c>
      <c r="O47" s="35" t="inlineStr">
        <is>
          <t>Mock</t>
        </is>
      </c>
      <c r="P47" s="35" t="inlineStr">
        <is>
          <t>Pharma Plus เล่มม่วง</t>
        </is>
      </c>
    </row>
    <row r="48" ht="13.2" customHeight="1" s="49">
      <c r="A48" s="35" t="n">
        <v>46</v>
      </c>
      <c r="B48" s="34" t="inlineStr">
        <is>
          <t>ถ้าจะเตรียมยาเพื่อให้ไม่ผ่านกระบวนการ metabolite ที่ตับ เราควรจะเตรียมในรูปแบบใด</t>
        </is>
      </c>
      <c r="C48" s="35" t="n"/>
      <c r="D48" s="34" t="inlineStr">
        <is>
          <t>Film coated tablets</t>
        </is>
      </c>
      <c r="E48" s="34" t="inlineStr">
        <is>
          <t>Enteric coated tablets</t>
        </is>
      </c>
      <c r="F48" s="34" t="inlineStr">
        <is>
          <t>Osmotic pump tablets</t>
        </is>
      </c>
      <c r="G48" s="34" t="inlineStr">
        <is>
          <t>Matrix tablets</t>
        </is>
      </c>
      <c r="H48" s="34" t="inlineStr">
        <is>
          <t>Rectal suppositories</t>
        </is>
      </c>
      <c r="I48" s="35" t="n">
        <v>4</v>
      </c>
      <c r="J48" s="34"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Tablet Manufacturing</t>
        </is>
      </c>
      <c r="M48" s="35" t="inlineStr">
        <is>
          <t>Product</t>
        </is>
      </c>
      <c r="N48" s="34" t="inlineStr">
        <is>
          <t>ข้อ 188 Pharma Plus เล่มม่วง (เฉลยข้อ ง)</t>
        </is>
      </c>
      <c r="O48" s="35" t="inlineStr">
        <is>
          <t>Mock</t>
        </is>
      </c>
      <c r="P48" s="35" t="inlineStr">
        <is>
          <t>Pharma Plus เล่มม่วง</t>
        </is>
      </c>
    </row>
    <row r="49" ht="13.2" customHeight="1" s="49">
      <c r="A49" s="35" t="n">
        <v>47</v>
      </c>
      <c r="B49" s="34" t="inlineStr">
        <is>
          <t>ระบบควบคุมการปลดปล่อยยาแบบใดสามารถหักแบ่งครึ่งเม็ดได้</t>
        </is>
      </c>
      <c r="C49" s="35" t="n"/>
      <c r="D49" s="34" t="inlineStr">
        <is>
          <t>Enteric coated</t>
        </is>
      </c>
      <c r="E49" s="34" t="inlineStr">
        <is>
          <t>Reservoir</t>
        </is>
      </c>
      <c r="F49" s="34" t="inlineStr">
        <is>
          <t>Osmotic control</t>
        </is>
      </c>
      <c r="G49" s="34" t="inlineStr">
        <is>
          <t>Matrix control</t>
        </is>
      </c>
      <c r="H49" s="34" t="inlineStr">
        <is>
          <t>Film diffuse control</t>
        </is>
      </c>
      <c r="I49" s="35" t="n">
        <v>5</v>
      </c>
      <c r="J49" s="34"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Tablet Manufacturing</t>
        </is>
      </c>
      <c r="M49" s="35" t="inlineStr">
        <is>
          <t>Product</t>
        </is>
      </c>
      <c r="N49" s="34" t="inlineStr">
        <is>
          <t>ข้อ 189 Pharma Plus เล่มม่วง (เฉลยข้อ จ)</t>
        </is>
      </c>
      <c r="O49" s="35" t="inlineStr">
        <is>
          <t>Mock</t>
        </is>
      </c>
      <c r="P49" s="35" t="inlineStr">
        <is>
          <t>Pharma Plus เล่มม่วง</t>
        </is>
      </c>
    </row>
    <row r="50" ht="13.2" customHeight="1" s="49">
      <c r="A50" s="35" t="n">
        <v>48</v>
      </c>
      <c r="B50" s="34"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35" t="n"/>
      <c r="D50" s="34" t="inlineStr">
        <is>
          <t>Titanium dioxide เป็น binder</t>
        </is>
      </c>
      <c r="E50" s="34" t="inlineStr">
        <is>
          <t>Microcrystalline cellulose เป็น filler</t>
        </is>
      </c>
      <c r="F50" s="34" t="inlineStr">
        <is>
          <t>Sodium starch glycolate เป็น superdisintegrant</t>
        </is>
      </c>
      <c r="G50" s="34" t="inlineStr">
        <is>
          <t>Magnesium stearate เป็น glidant</t>
        </is>
      </c>
      <c r="H50" s="34" t="inlineStr">
        <is>
          <t>Corn starch เป็น disintegrant</t>
        </is>
      </c>
      <c r="I50" s="35" t="n">
        <v>5</v>
      </c>
      <c r="J50" s="34"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Powders &amp; Granules</t>
        </is>
      </c>
      <c r="M50" s="35" t="inlineStr">
        <is>
          <t>Product</t>
        </is>
      </c>
      <c r="N50" s="34" t="inlineStr">
        <is>
          <t>ข้อ 190 Pharma Plus เล่มม่วง (เฉลยข้อ จ)</t>
        </is>
      </c>
      <c r="O50" s="35" t="inlineStr">
        <is>
          <t>Mock</t>
        </is>
      </c>
      <c r="P50" s="35" t="inlineStr">
        <is>
          <t>Pharma Plus เล่มม่วง</t>
        </is>
      </c>
    </row>
    <row r="51" ht="13.2" customHeight="1" s="49">
      <c r="A51" s="35" t="n">
        <v>49</v>
      </c>
      <c r="B51" s="34" t="inlineStr">
        <is>
          <t>ยาทาสิว Benzoyl peroxide gel 5% มีส่วนประกอบดังนี้ Carbomer 940, Hydroxypropylmethylcellulose, Tween 20, Ethanol, Glycerin, Triethanolamine, Triclosan, Purified water
ข้อใดต่อไปนี้ถูกต้อง</t>
        </is>
      </c>
      <c r="C51" s="35" t="n"/>
      <c r="D51" s="34" t="inlineStr">
        <is>
          <t>มีสารก่อเจล 2 ชนิด</t>
        </is>
      </c>
      <c r="E51" s="34" t="inlineStr">
        <is>
          <t>Carbopol ละลายในน้ำเดือด แล้วเติมน้ำเย็นละลายทันที</t>
        </is>
      </c>
      <c r="F51" s="34" t="inlineStr">
        <is>
          <t>Triclosan ช่วยให้เจลแข็งตัวจากการปรับ pH</t>
        </is>
      </c>
      <c r="G51" s="34" t="inlineStr">
        <is>
          <t>Triethanolamine เป็น preservative ของตำรับ</t>
        </is>
      </c>
      <c r="H51" s="34" t="inlineStr">
        <is>
          <t>Carbopol ละลายได้ดีใน alcohol</t>
        </is>
      </c>
      <c r="I51" s="35" t="n">
        <v>4</v>
      </c>
      <c r="J51" s="34"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Tablet Manufacturing</t>
        </is>
      </c>
      <c r="M51" s="35" t="inlineStr">
        <is>
          <t>Product</t>
        </is>
      </c>
      <c r="N51" s="34" t="inlineStr">
        <is>
          <t>ข้อ 191 Pharma Plus เล่มม่วง (เฉลยข้อ ง)</t>
        </is>
      </c>
      <c r="O51" s="35" t="inlineStr">
        <is>
          <t>Mock</t>
        </is>
      </c>
      <c r="P51" s="35" t="inlineStr">
        <is>
          <t>Pharma Plus เล่มม่วง</t>
        </is>
      </c>
    </row>
    <row r="52" ht="13.2" customHeight="1" s="49">
      <c r="A52" s="35" t="n">
        <v>50</v>
      </c>
      <c r="B52" s="34" t="inlineStr">
        <is>
          <t>โจทย์ให้สูตรตำรับของ tetracycline capsule มา ได้แก่ lactose, magnesium stearate ... (โจทย์ไม่ครบ) ตำรับ tetracycline capsule
ข้อใดถูกต้อง</t>
        </is>
      </c>
      <c r="C52" s="35" t="n"/>
      <c r="D52" s="34" t="inlineStr">
        <is>
          <t>เหมาะจะเตรียมเป็น soft gelatin capsule</t>
        </is>
      </c>
      <c r="E52" s="34" t="inlineStr">
        <is>
          <t>Capsule เบอร์ 000 เล็กสุด เบอร์ 5 ใหญ่สุด</t>
        </is>
      </c>
      <c r="F52" s="34" t="inlineStr">
        <is>
          <t>Lactose เพิ่มความหวาน</t>
        </is>
      </c>
      <c r="G52" s="34" t="inlineStr">
        <is>
          <t>Magnesium stearate เพิ่มการแตกตัว</t>
        </is>
      </c>
      <c r="H52" s="34" t="inlineStr">
        <is>
          <t>Silicon dioxide เพิ่มการไหล</t>
        </is>
      </c>
      <c r="I52" s="35" t="n">
        <v>1</v>
      </c>
      <c r="J52" s="34"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Hard &amp; Soft Gelatin Capsules</t>
        </is>
      </c>
      <c r="M52" s="35" t="inlineStr">
        <is>
          <t>Product</t>
        </is>
      </c>
      <c r="N52" s="34" t="inlineStr">
        <is>
          <t>ข้อ 192 Pharma Plus เล่มม่วง (เฉลยข้อ ก)</t>
        </is>
      </c>
      <c r="O52" s="35" t="inlineStr">
        <is>
          <t>Mock</t>
        </is>
      </c>
      <c r="P52" s="35" t="inlineStr">
        <is>
          <t>Pharma Plus เล่มม่วง</t>
        </is>
      </c>
    </row>
    <row r="53" ht="13.2" customHeight="1" s="49">
      <c r="A53" s="35" t="n">
        <v>51</v>
      </c>
      <c r="B53" s="34"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35" t="n"/>
      <c r="D53" s="34" t="inlineStr">
        <is>
          <t>Hydroxypropyl methyl cellulose</t>
        </is>
      </c>
      <c r="E53" s="34" t="inlineStr">
        <is>
          <t>Magnesium stearate</t>
        </is>
      </c>
      <c r="F53" s="34" t="inlineStr">
        <is>
          <t>Microcrystalline cellulose</t>
        </is>
      </c>
      <c r="G53" s="34" t="inlineStr">
        <is>
          <t>Colloidal silica</t>
        </is>
      </c>
      <c r="H53" s="34" t="inlineStr">
        <is>
          <t>Pre-gelatinized starch</t>
        </is>
      </c>
      <c r="I53" s="35" t="n">
        <v>5</v>
      </c>
      <c r="J53" s="34"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Tablet Manufacturing</t>
        </is>
      </c>
      <c r="M53" s="35" t="inlineStr">
        <is>
          <t>Product</t>
        </is>
      </c>
      <c r="N53" s="34" t="inlineStr">
        <is>
          <t>ข้อ 193 Pharma Plus เล่มม่วง (เฉลยข้อ จ)</t>
        </is>
      </c>
      <c r="O53" s="35" t="inlineStr">
        <is>
          <t>Mock</t>
        </is>
      </c>
      <c r="P53" s="35" t="inlineStr">
        <is>
          <t>Pharma Plus เล่มม่วง</t>
        </is>
      </c>
    </row>
    <row r="54" ht="13.2" customHeight="1" s="49">
      <c r="A54" s="35" t="n">
        <v>52</v>
      </c>
      <c r="B54" s="34" t="inlineStr">
        <is>
          <t>ในการพิสูจน์ Bioequivalence ระหว่างยา 2 ตัว จะต้องคำนึงถึง parameter ใดบ้าง
ข้อใดต่อไปนี้ถูกต้อง</t>
        </is>
      </c>
      <c r="C54" s="35" t="n"/>
      <c r="D54" s="34" t="inlineStr">
        <is>
          <t>AUC0-inf และ Tmax</t>
        </is>
      </c>
      <c r="E54" s="34" t="inlineStr">
        <is>
          <t>AUC0-inf และ Cmax</t>
        </is>
      </c>
      <c r="F54" s="34" t="inlineStr">
        <is>
          <t>AUC0-inf และ Elimination half life</t>
        </is>
      </c>
      <c r="G54" s="34" t="inlineStr">
        <is>
          <t>Cmax และ Elimination half life</t>
        </is>
      </c>
      <c r="H54" s="34" t="inlineStr">
        <is>
          <t>Tmax และ Elimination half life</t>
        </is>
      </c>
      <c r="I54" s="35" t="n">
        <v>5</v>
      </c>
      <c r="J54" s="34"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Tablet Manufacturing</t>
        </is>
      </c>
      <c r="M54" s="35" t="inlineStr">
        <is>
          <t>Product</t>
        </is>
      </c>
      <c r="N54" s="34" t="inlineStr">
        <is>
          <t>ข้อ 194 Pharma Plus เล่มม่วง (เฉลยข้อ จ)</t>
        </is>
      </c>
      <c r="O54" s="35" t="inlineStr">
        <is>
          <t>Mock</t>
        </is>
      </c>
      <c r="P54" s="35" t="inlineStr">
        <is>
          <t>Pharma Plus เล่มม่วง</t>
        </is>
      </c>
    </row>
    <row r="55" ht="13.2" customHeight="1" s="49">
      <c r="A55" s="35" t="n">
        <v>53</v>
      </c>
      <c r="B55" s="34"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35" t="n"/>
      <c r="D55" s="34" t="inlineStr">
        <is>
          <t>Direct compression</t>
        </is>
      </c>
      <c r="E55" s="34" t="inlineStr">
        <is>
          <t>Extrusion and spheronization</t>
        </is>
      </c>
      <c r="F55" s="34" t="inlineStr">
        <is>
          <t>Rolling compaction</t>
        </is>
      </c>
      <c r="G55" s="34" t="inlineStr">
        <is>
          <t>Slugging</t>
        </is>
      </c>
      <c r="H55" s="34" t="inlineStr">
        <is>
          <t>Wet granulation</t>
        </is>
      </c>
      <c r="I55" s="35" t="inlineStr">
        <is>
          <t>5</t>
        </is>
      </c>
      <c r="J55" s="34"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35" t="n"/>
      <c r="L55" s="34" t="inlineStr">
        <is>
          <t>Tablet Manufacturing</t>
        </is>
      </c>
      <c r="M55" s="35" t="inlineStr">
        <is>
          <t>Product</t>
        </is>
      </c>
      <c r="N55" s="34" t="inlineStr">
        <is>
          <t>Mock PLE-CC 1 ข้อ 6</t>
        </is>
      </c>
      <c r="O55" s="35" t="inlineStr">
        <is>
          <t>Mock</t>
        </is>
      </c>
      <c r="P55" s="35" t="inlineStr">
        <is>
          <t>Mock RxCU83</t>
        </is>
      </c>
    </row>
    <row r="56" ht="13.2" customHeight="1" s="49">
      <c r="A56" s="35" t="n">
        <v>54</v>
      </c>
      <c r="B56" s="34" t="inlineStr">
        <is>
          <t>ข้อใดคือเหตุผลสำคัญที่สุดในการเลือกผลิตยา Ramipril ในรูปแบบแคปซูลเจลาตินแข็งแทนรูปแบบยาเม็ดทั่วไป</t>
        </is>
      </c>
      <c r="C56" s="35" t="n"/>
      <c r="D56" s="34" t="inlineStr">
        <is>
          <t>ป้องกันแสง</t>
        </is>
      </c>
      <c r="E56" s="34" t="inlineStr">
        <is>
          <t>ป้องกันความชื้น</t>
        </is>
      </c>
      <c r="F56" s="34" t="inlineStr">
        <is>
          <t>ลดความแปรปรวนของอัตราการละลาย</t>
        </is>
      </c>
      <c r="G56" s="34" t="inlineStr">
        <is>
          <t>แก้ปัญหาผงยาตอกอัดไม่ดี</t>
        </is>
      </c>
      <c r="H56" s="34" t="inlineStr">
        <is>
          <t>เพิ่มการออกฤทธิ์เนิ่นโดยไม่ต้องเคลือบ</t>
        </is>
      </c>
      <c r="I56" s="35" t="inlineStr">
        <is>
          <t>2</t>
        </is>
      </c>
      <c r="J56" s="34"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35" t="n"/>
      <c r="L56" s="34" t="inlineStr">
        <is>
          <t>Capsule Formulation</t>
        </is>
      </c>
      <c r="M56" s="35" t="inlineStr">
        <is>
          <t>Product</t>
        </is>
      </c>
      <c r="N56" s="34" t="inlineStr">
        <is>
          <t>Mock PLE-CC 1 ข้อ 19</t>
        </is>
      </c>
      <c r="O56" s="35" t="inlineStr">
        <is>
          <t>Mock</t>
        </is>
      </c>
      <c r="P56" s="35" t="inlineStr">
        <is>
          <t>Mock RxCU83</t>
        </is>
      </c>
    </row>
    <row r="57" ht="13.2" customHeight="1" s="49">
      <c r="A57" s="35" t="n">
        <v>55</v>
      </c>
      <c r="B57" s="34"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35" t="n"/>
      <c r="D57" s="34" t="inlineStr">
        <is>
          <t>ทุก lot ผ่านเกณฑ์ทั้งหมด</t>
        </is>
      </c>
      <c r="E57" s="34" t="inlineStr">
        <is>
          <t>ผ่านเฉพาะ lot 1</t>
        </is>
      </c>
      <c r="F57" s="34" t="inlineStr">
        <is>
          <t>ผ่านเฉพาะ lot 3</t>
        </is>
      </c>
      <c r="G57" s="34" t="inlineStr">
        <is>
          <t>ผ่านเฉพาะ lot 1 และ lot 3</t>
        </is>
      </c>
      <c r="H57" s="34" t="inlineStr">
        <is>
          <t>ไม่มี lot ใดผ่านเกณฑ์</t>
        </is>
      </c>
      <c r="I57" s="35" t="inlineStr">
        <is>
          <t>3</t>
        </is>
      </c>
      <c r="J57" s="34"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35" t="n"/>
      <c r="L57" s="34" t="inlineStr">
        <is>
          <t>Dissolution Testing</t>
        </is>
      </c>
      <c r="M57" s="35" t="inlineStr">
        <is>
          <t>Product</t>
        </is>
      </c>
      <c r="N57" s="34" t="inlineStr">
        <is>
          <t>Mock PLE-CC 1 ข้อ 22</t>
        </is>
      </c>
      <c r="O57" s="35" t="inlineStr">
        <is>
          <t>Mock</t>
        </is>
      </c>
      <c r="P57" s="35" t="inlineStr">
        <is>
          <t>Mock RxCU83</t>
        </is>
      </c>
    </row>
    <row r="58" ht="13.2" customHeight="1" s="49">
      <c r="A58" s="35" t="n">
        <v>56</v>
      </c>
      <c r="B58" s="34" t="inlineStr">
        <is>
          <t>สารในข้อใดไม่ใช่สารช่วยที่ใช้ในกระบวนการเคลือบน้ำตาลของยาเม็ด (Sugar-coated tablet)</t>
        </is>
      </c>
      <c r="C58" s="35" t="n"/>
      <c r="D58" s="34" t="inlineStr">
        <is>
          <t>Calcium carbonate</t>
        </is>
      </c>
      <c r="E58" s="34" t="inlineStr">
        <is>
          <t>Beeswax / Carnauba wax</t>
        </is>
      </c>
      <c r="F58" s="34" t="inlineStr">
        <is>
          <t>Gelatin</t>
        </is>
      </c>
      <c r="G58" s="34" t="inlineStr">
        <is>
          <t>Colloidal silicon dioxide (CSD)</t>
        </is>
      </c>
      <c r="H58" s="34" t="inlineStr">
        <is>
          <t>Acrylate polymer (Eudragit)</t>
        </is>
      </c>
      <c r="I58" s="35" t="inlineStr">
        <is>
          <t>5</t>
        </is>
      </c>
      <c r="J58" s="34"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35" t="n"/>
      <c r="L58" s="34" t="inlineStr">
        <is>
          <t>Sugar Coating</t>
        </is>
      </c>
      <c r="M58" s="35" t="inlineStr">
        <is>
          <t>Product</t>
        </is>
      </c>
      <c r="N58" s="34" t="inlineStr">
        <is>
          <t>Mock PLE-CC 1 ข้อ 89</t>
        </is>
      </c>
      <c r="O58" s="35" t="inlineStr">
        <is>
          <t>Mock</t>
        </is>
      </c>
      <c r="P58" s="35" t="inlineStr">
        <is>
          <t>Mock RxCU83</t>
        </is>
      </c>
    </row>
    <row r="59" ht="13.2" customHeight="1" s="49">
      <c r="A59" s="35" t="n">
        <v>57</v>
      </c>
      <c r="B59" s="34"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35" t="n"/>
      <c r="D59" s="34" t="inlineStr">
        <is>
          <t>Uniformity of dosage units</t>
        </is>
      </c>
      <c r="E59" s="34" t="inlineStr">
        <is>
          <t>Weight gain</t>
        </is>
      </c>
      <c r="F59" s="34" t="inlineStr">
        <is>
          <t>Hardness</t>
        </is>
      </c>
      <c r="G59" s="34" t="inlineStr">
        <is>
          <t>Dissolution test</t>
        </is>
      </c>
      <c r="H59" s="34" t="inlineStr">
        <is>
          <t>Disintegration test</t>
        </is>
      </c>
      <c r="I59" s="35" t="inlineStr">
        <is>
          <t>2</t>
        </is>
      </c>
      <c r="J59" s="34"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35" t="n"/>
      <c r="L59" s="34" t="inlineStr">
        <is>
          <t>Sugar Coating IPC</t>
        </is>
      </c>
      <c r="M59" s="35" t="inlineStr">
        <is>
          <t>Product</t>
        </is>
      </c>
      <c r="N59" s="34" t="inlineStr">
        <is>
          <t>Mock PLE-CC 1 ข้อ 90</t>
        </is>
      </c>
      <c r="O59" s="35" t="inlineStr">
        <is>
          <t>Mock</t>
        </is>
      </c>
      <c r="P59" s="35" t="inlineStr">
        <is>
          <t>Mock RxCU83</t>
        </is>
      </c>
    </row>
    <row r="60" ht="13.2" customHeight="1" s="49">
      <c r="A60" s="35" t="n">
        <v>58</v>
      </c>
      <c r="B60" s="34" t="inlineStr">
        <is>
          <t>ข้อใดกล่าวไม่ถูกต้องเกี่ยวกับยาเม็ดเคลือบน้ำตาล (Sugar-coated tablets)</t>
        </is>
      </c>
      <c r="C60" s="35" t="n"/>
      <c r="D60" s="34" t="inlineStr">
        <is>
          <t>จัดเป็นยาเม็ดในรูปแบบปลดปล่อยทันที (Immediate release)</t>
        </is>
      </c>
      <c r="E60" s="34" t="inlineStr">
        <is>
          <t>หากผู้ป่วยมือเปียกสัมผัสเม็ดยา จะทำให้ชั้นนอกของเม็ดเคลือบละลายเหนียวทันที</t>
        </is>
      </c>
      <c r="F60" s="34" t="inlineStr">
        <is>
          <t>ผู้ป่วยที่เป็นโรคเบาหวานสามารถรับประทานยาเม็ดเคลือบน้ำตาลได้ตามปกติ</t>
        </is>
      </c>
      <c r="G60" s="34" t="inlineStr">
        <is>
          <t>มีส่วนประกอบของ sucrose และ polyols ในน้ำเชื่อมเคลือบ</t>
        </is>
      </c>
      <c r="H60" s="34" t="inlineStr">
        <is>
          <t>เหมาะสำหรับสูตรตำรับตัวยาสำคัญที่ไวต่อความชื้นและน้ำอย่างยิ่ง</t>
        </is>
      </c>
      <c r="I60" s="35" t="inlineStr">
        <is>
          <t>5</t>
        </is>
      </c>
      <c r="J60" s="34"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35" t="n"/>
      <c r="L60" s="34" t="inlineStr">
        <is>
          <t>Sugar Coating Evaluation</t>
        </is>
      </c>
      <c r="M60" s="35" t="inlineStr">
        <is>
          <t>Product</t>
        </is>
      </c>
      <c r="N60" s="34" t="inlineStr">
        <is>
          <t>Mock PLE-CC 1 ข้อ 91</t>
        </is>
      </c>
      <c r="O60" s="35" t="inlineStr">
        <is>
          <t>Mock</t>
        </is>
      </c>
      <c r="P60" s="35" t="inlineStr">
        <is>
          <t>Mock RxCU83</t>
        </is>
      </c>
    </row>
    <row r="61" ht="13.2" customHeight="1" s="49">
      <c r="A61" s="35" t="n">
        <v>59</v>
      </c>
      <c r="B61" s="34"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35" t="n"/>
      <c r="D61" s="34" t="inlineStr">
        <is>
          <t>Sterile vehicle / Solvent</t>
        </is>
      </c>
      <c r="E61" s="34" t="inlineStr">
        <is>
          <t>Propellant (สารขับดัน)</t>
        </is>
      </c>
      <c r="F61" s="34" t="inlineStr">
        <is>
          <t>Tonicity adjusting agent</t>
        </is>
      </c>
      <c r="G61" s="34" t="inlineStr">
        <is>
          <t>Antimicrobial preservative</t>
        </is>
      </c>
      <c r="H61" s="34" t="inlineStr">
        <is>
          <t>Solubilizer</t>
        </is>
      </c>
      <c r="I61" s="35" t="inlineStr">
        <is>
          <t>2</t>
        </is>
      </c>
      <c r="J61" s="34"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35" t="n"/>
      <c r="L61" s="34" t="inlineStr">
        <is>
          <t>Inhalation Formulation</t>
        </is>
      </c>
      <c r="M61" s="35" t="inlineStr">
        <is>
          <t>Product</t>
        </is>
      </c>
      <c r="N61" s="34" t="inlineStr">
        <is>
          <t>Mock PLE-CC 1 ข้อ 101</t>
        </is>
      </c>
      <c r="O61" s="35" t="inlineStr">
        <is>
          <t>Mock</t>
        </is>
      </c>
      <c r="P61" s="35" t="inlineStr">
        <is>
          <t>Mock RxCU83</t>
        </is>
      </c>
    </row>
    <row r="62" ht="13.2" customHeight="1" s="49">
      <c r="A62" s="35" t="n">
        <v>60</v>
      </c>
      <c r="B62" s="34"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35" t="n"/>
      <c r="D62" s="34" t="inlineStr">
        <is>
          <t>Effervescent tablet</t>
        </is>
      </c>
      <c r="E62" s="34" t="inlineStr">
        <is>
          <t>Enteric coated tablet</t>
        </is>
      </c>
      <c r="F62" s="34" t="inlineStr">
        <is>
          <t>Plain uncoated tablet</t>
        </is>
      </c>
      <c r="G62" s="34" t="inlineStr">
        <is>
          <t>Film coated tablet</t>
        </is>
      </c>
      <c r="H62" s="34" t="inlineStr">
        <is>
          <t>Compaction coated tablet</t>
        </is>
      </c>
      <c r="I62" s="35" t="inlineStr">
        <is>
          <t>4</t>
        </is>
      </c>
      <c r="J62" s="34"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35" t="n"/>
      <c r="L62" s="34" t="inlineStr">
        <is>
          <t>Film Coating Formulation</t>
        </is>
      </c>
      <c r="M62" s="35" t="inlineStr">
        <is>
          <t>Product</t>
        </is>
      </c>
      <c r="N62" s="34" t="inlineStr">
        <is>
          <t>Mock PLE-CC 1 ข้อ 113</t>
        </is>
      </c>
      <c r="O62" s="35" t="inlineStr">
        <is>
          <t>Mock</t>
        </is>
      </c>
      <c r="P62" s="35" t="inlineStr">
        <is>
          <t>Mock RxCU83</t>
        </is>
      </c>
    </row>
    <row r="63" ht="13.2" customHeight="1" s="49">
      <c r="A63" s="35" t="n">
        <v>61</v>
      </c>
      <c r="B63" s="34"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35" t="n"/>
      <c r="D63" s="34" t="inlineStr">
        <is>
          <t>Microcrystalline cellulose</t>
        </is>
      </c>
      <c r="E63" s="34" t="inlineStr">
        <is>
          <t>Lactose</t>
        </is>
      </c>
      <c r="F63" s="34" t="inlineStr">
        <is>
          <t>Croscarmellose sodium</t>
        </is>
      </c>
      <c r="G63" s="34" t="inlineStr">
        <is>
          <t>Magnesium stearate</t>
        </is>
      </c>
      <c r="H63" s="34" t="inlineStr">
        <is>
          <t>Triacetin (Plasticizer)</t>
        </is>
      </c>
      <c r="I63" s="35" t="inlineStr">
        <is>
          <t>5</t>
        </is>
      </c>
      <c r="J63" s="34"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35" t="n"/>
      <c r="L63" s="34" t="inlineStr">
        <is>
          <t>Coating Stability &amp; Packaging</t>
        </is>
      </c>
      <c r="M63" s="35" t="inlineStr">
        <is>
          <t>Product</t>
        </is>
      </c>
      <c r="N63" s="34" t="inlineStr">
        <is>
          <t>Mock PLE-CC 1 ข้อ 114</t>
        </is>
      </c>
      <c r="O63" s="35" t="inlineStr">
        <is>
          <t>Mock</t>
        </is>
      </c>
      <c r="P63" s="35" t="inlineStr">
        <is>
          <t>Mock RxCU83</t>
        </is>
      </c>
    </row>
    <row r="64" ht="13.2" customHeight="1" s="49">
      <c r="A64" s="35" t="n">
        <v>62</v>
      </c>
      <c r="B64" s="34"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35" t="n"/>
      <c r="D64" s="34" t="inlineStr">
        <is>
          <t>Monotropic polymorphs (Stable form)</t>
        </is>
      </c>
      <c r="E64" s="34" t="inlineStr">
        <is>
          <t>Enantiotropic polymorphs</t>
        </is>
      </c>
      <c r="F64" s="34" t="inlineStr">
        <is>
          <t>Amorphous anhydrates</t>
        </is>
      </c>
      <c r="G64" s="34" t="inlineStr">
        <is>
          <t>Crystalline hydrates</t>
        </is>
      </c>
      <c r="H64" s="34" t="inlineStr">
        <is>
          <t>Mixed solvates</t>
        </is>
      </c>
      <c r="I64" s="35" t="inlineStr">
        <is>
          <t>1</t>
        </is>
      </c>
      <c r="J64" s="34"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35" t="n"/>
      <c r="L64" s="34" t="inlineStr">
        <is>
          <t>Preformulation &amp; Polymorphism</t>
        </is>
      </c>
      <c r="M64" s="35" t="inlineStr">
        <is>
          <t>Product</t>
        </is>
      </c>
      <c r="N64" s="34" t="inlineStr">
        <is>
          <t>Mock PLE-CC 1 ข้อ 115</t>
        </is>
      </c>
      <c r="O64" s="35" t="inlineStr">
        <is>
          <t>Mock</t>
        </is>
      </c>
      <c r="P64" s="35" t="inlineStr">
        <is>
          <t>Mock RxCU83</t>
        </is>
      </c>
    </row>
    <row r="65" ht="13.2" customHeight="1" s="49">
      <c r="A65" s="35" t="n">
        <v>63</v>
      </c>
      <c r="B65" s="34"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35" t="n"/>
      <c r="D65" s="34" t="inlineStr">
        <is>
          <t>Mupirocin 2% ointment ทาวันละ 2-3 ครั้ง</t>
        </is>
      </c>
      <c r="E65" s="34" t="inlineStr">
        <is>
          <t>Moisturizing cream ทาวันละ 2-3 ครั้ง</t>
        </is>
      </c>
      <c r="F65" s="34" t="inlineStr">
        <is>
          <t>Acyclovir 5% cream ทาวันละ 5 ครั้ง</t>
        </is>
      </c>
      <c r="G65" s="34" t="inlineStr">
        <is>
          <t>Acyclovir 400 mg tablet รับประทานวันละ 5 ครั้ง</t>
        </is>
      </c>
      <c r="H65" s="34" t="inlineStr">
        <is>
          <t>Desoximetasone 0.25% cream ทาวันละ 2 ครั้ง</t>
        </is>
      </c>
      <c r="I65" s="35" t="inlineStr">
        <is>
          <t>1</t>
        </is>
      </c>
      <c r="J65" s="34"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แนวทางเวชปฏิบัติสากลแนะนำให้ใช้ยาปฏิชีวนะชนิดทาภายนอก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35" t="n"/>
      <c r="L65" s="34" t="inlineStr">
        <is>
          <t>Dermatology &amp; Topicals</t>
        </is>
      </c>
      <c r="M65" s="35" t="inlineStr">
        <is>
          <t>Clinic</t>
        </is>
      </c>
      <c r="N65" s="34" t="inlineStr">
        <is>
          <t>Mock PLE-CC 1 ข้อ 120</t>
        </is>
      </c>
      <c r="O65" s="35" t="inlineStr">
        <is>
          <t>Mock</t>
        </is>
      </c>
      <c r="P65" s="35" t="inlineStr">
        <is>
          <t>Mock RxCU83</t>
        </is>
      </c>
    </row>
    <row r="66" ht="13.2" customHeight="1" s="49">
      <c r="A66" s="35" t="n">
        <v>64</v>
      </c>
      <c r="B66" s="34"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35" t="n"/>
      <c r="D66" s="34" t="inlineStr">
        <is>
          <t>Microcrystalline cellulose</t>
        </is>
      </c>
      <c r="E66" s="34" t="inlineStr">
        <is>
          <t>Starch</t>
        </is>
      </c>
      <c r="F66" s="34" t="inlineStr">
        <is>
          <t>Lactose</t>
        </is>
      </c>
      <c r="G66" s="34" t="inlineStr">
        <is>
          <t>Colloidal silicon dioxide</t>
        </is>
      </c>
      <c r="H66" s="34" t="inlineStr">
        <is>
          <t>Sodium Lauryl Sulfate</t>
        </is>
      </c>
      <c r="I66" s="35" t="inlineStr">
        <is>
          <t>4</t>
        </is>
      </c>
      <c r="J66" s="34"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35" t="n"/>
      <c r="L66" s="34" t="inlineStr">
        <is>
          <t>Tablet Excipients &amp; Glidants</t>
        </is>
      </c>
      <c r="M66" s="35" t="inlineStr">
        <is>
          <t>Product</t>
        </is>
      </c>
      <c r="N66" s="34" t="inlineStr">
        <is>
          <t>ข้อสอบเก่า 2567 ข้อ 15</t>
        </is>
      </c>
      <c r="O66" s="35" t="inlineStr">
        <is>
          <t>ข้อสอบเก่า</t>
        </is>
      </c>
      <c r="P66" s="35" t="inlineStr">
        <is>
          <t>2567</t>
        </is>
      </c>
    </row>
    <row r="67" ht="13.2" customHeight="1" s="49">
      <c r="A67" s="35" t="n">
        <v>65</v>
      </c>
      <c r="B67" s="34" t="inlineStr">
        <is>
          <t>Alkaline stearate (sodium stearate, magnesium stearate)</t>
        </is>
      </c>
      <c r="C67" s="35" t="n"/>
      <c r="D67" s="34" t="inlineStr">
        <is>
          <t>Tablet &amp; Solid Dosage</t>
        </is>
      </c>
      <c r="E67" s="34" t="inlineStr">
        <is>
          <t>Film Coating with Hydroxypropyl methylcellulose (HPMC)</t>
        </is>
      </c>
      <c r="F67" s="34" t="inlineStr">
        <is>
          <t>Enteric Coating with Cellulose acetate phthalate (CAP)</t>
        </is>
      </c>
      <c r="G67" s="34" t="inlineStr">
        <is>
          <t>Hard Gelatin Capsule filling</t>
        </is>
      </c>
      <c r="H67" s="34" t="inlineStr">
        <is>
          <t>Soft Gelatin Capsule encapsulation</t>
        </is>
      </c>
      <c r="I67" s="35" t="inlineStr">
        <is>
          <t>1</t>
        </is>
      </c>
      <c r="J67"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67" s="35" t="n"/>
      <c r="L67" s="34" t="inlineStr">
        <is>
          <t>Tablet Manufacturing</t>
        </is>
      </c>
      <c r="M67" s="35" t="inlineStr">
        <is>
          <t>Tablet &amp; Solid Dosage</t>
        </is>
      </c>
      <c r="N67" s="34" t="inlineStr">
        <is>
          <t>PLE_CC1_2567_Key ข้อ 1</t>
        </is>
      </c>
      <c r="O67" s="35" t="inlineStr">
        <is>
          <t>ข้อสอบจริง</t>
        </is>
      </c>
      <c r="P67" s="35" t="inlineStr">
        <is>
          <t>ปี 2567</t>
        </is>
      </c>
    </row>
    <row r="68" ht="13.2" customHeight="1" s="49">
      <c r="A68" s="33" t="n">
        <v>66</v>
      </c>
      <c r="B68" s="34"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35" t="n"/>
      <c r="D68" s="34" t="inlineStr">
        <is>
          <t>Weight Variation (WV)</t>
        </is>
      </c>
      <c r="E68" s="34" t="inlineStr">
        <is>
          <t>Content Uniformity (CU)</t>
        </is>
      </c>
      <c r="F68" s="34" t="inlineStr">
        <is>
          <t>Dissolution test</t>
        </is>
      </c>
      <c r="G68" s="34" t="inlineStr">
        <is>
          <t>Assay test</t>
        </is>
      </c>
      <c r="H68" s="34" t="inlineStr">
        <is>
          <t>Disintegration test</t>
        </is>
      </c>
      <c r="I68" s="33" t="inlineStr">
        <is>
          <t>1</t>
        </is>
      </c>
      <c r="J68" s="34"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35" t="n"/>
      <c r="L68" s="34" t="inlineStr">
        <is>
          <t>Uniformity of Dosage Units</t>
        </is>
      </c>
      <c r="M68" s="35" t="inlineStr">
        <is>
          <t>Product</t>
        </is>
      </c>
      <c r="N68" s="34" t="inlineStr">
        <is>
          <t>ข้อสอบเก่า 2567 ข้อ 17</t>
        </is>
      </c>
      <c r="O68" s="35" t="inlineStr">
        <is>
          <t>ข้อสอบเก่า</t>
        </is>
      </c>
      <c r="P68" s="35" t="inlineStr">
        <is>
          <t>2567</t>
        </is>
      </c>
      <c r="Q68" s="2" t="n"/>
    </row>
    <row r="69" ht="13.2" customHeight="1" s="49">
      <c r="A69" s="33" t="n">
        <v>67</v>
      </c>
      <c r="B69" s="34"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35" t="n"/>
      <c r="D69" s="34" t="inlineStr">
        <is>
          <t>Polyethylene Glycol (PEG)</t>
        </is>
      </c>
      <c r="E69" s="34" t="inlineStr">
        <is>
          <t>Calcium phosphate dibasic</t>
        </is>
      </c>
      <c r="F69" s="34" t="inlineStr">
        <is>
          <t>Titanium Dioxide (TiO2)</t>
        </is>
      </c>
      <c r="G69" s="34" t="inlineStr">
        <is>
          <t>Kaolin / Clay</t>
        </is>
      </c>
      <c r="H69" s="34" t="inlineStr">
        <is>
          <t>Colloidal silica (Colloidal silicon dioxide)</t>
        </is>
      </c>
      <c r="I69" s="33" t="inlineStr">
        <is>
          <t>5</t>
        </is>
      </c>
      <c r="J69" s="34"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35" t="n"/>
      <c r="L69" s="34" t="inlineStr">
        <is>
          <t>Tableting Problems &amp; Glidants</t>
        </is>
      </c>
      <c r="M69" s="35" t="inlineStr">
        <is>
          <t>Product</t>
        </is>
      </c>
      <c r="N69" s="34" t="inlineStr">
        <is>
          <t>ข้อสอบเก่า 2567 ข้อ 96</t>
        </is>
      </c>
      <c r="O69" s="35" t="inlineStr">
        <is>
          <t>ข้อสอบเก่า</t>
        </is>
      </c>
      <c r="P69" s="35" t="inlineStr">
        <is>
          <t>2567</t>
        </is>
      </c>
      <c r="Q69" s="2" t="n"/>
    </row>
    <row r="70" ht="13.2" customHeight="1" s="49">
      <c r="A70" s="33" t="n">
        <v>68</v>
      </c>
      <c r="B70" s="34" t="inlineStr">
        <is>
          <t>การทดสอบใดไม่จำเป็นต้องทำในยาเม็ดรูปแบบ uncoated มีตัวยาสำคัญ 10 mg และมีน้ำหนักเม็ดยาเฉลี่ย 200 mg</t>
        </is>
      </c>
      <c r="C70" s="35" t="n"/>
      <c r="D70" s="34" t="inlineStr">
        <is>
          <t>Tablet &amp; Solid Dosage</t>
        </is>
      </c>
      <c r="E70" s="34" t="inlineStr">
        <is>
          <t>ยาอันตราย ขย1 ขายได้</t>
        </is>
      </c>
      <c r="F70" s="34" t="inlineStr">
        <is>
          <t>วจ2 โรงพยาบาลเท่านั้น และสั่งใช้โดยแพทย์</t>
        </is>
      </c>
      <c r="G70" s="34" t="inlineStr">
        <is>
          <t>ยส3 ขย1 ขายได้ ต้องมีใบสั่งแพทย์</t>
        </is>
      </c>
      <c r="H70" s="34" t="inlineStr">
        <is>
          <t>วจ4 ขย1 ขายได้ ต้องมีใบสั่งแพทย์</t>
        </is>
      </c>
      <c r="I70" s="33" t="inlineStr">
        <is>
          <t>1</t>
        </is>
      </c>
      <c r="J7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(ยาอันตราย ขย1 ขายได้):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(วจ2 โรงพยาบาลเท่านั้น และสั่งใช้โดยแพทย์): วจ2 โรงพยาบาลเท่านั้น และสั่งใช้โดยแพทย์ ไม่ตรงกับข้อบ่งใช้หรือกลไกการออกฤทธิ์ที่ถูกต้องตาม Thai Pharmacopoeia / USP &lt;1151&gt; GMP Guidelines
• ข้อ ง. (ยส3 ขย1 ขายได้ ต้องมีใบสั่งแพทย์): ยส3 ขย1 ขายได้ ต้องมีใบสั่งแพทย์ ไม่ตรงกับข้อบ่งใช้หรือกลไกการออกฤทธิ์ที่ถูกต้องตาม Thai Pharmacopoeia / USP &lt;1151&gt; GMP Guidelines
• ข้อ จ. (วจ4 ขย1 ขายได้ ต้องมีใบสั่งแพทย์): วจ4 ขย1 ขายได้ ต้องมีใบสั่งแพทย์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0" s="35" t="n"/>
      <c r="L70" s="34" t="inlineStr">
        <is>
          <t>Tablet Coating</t>
        </is>
      </c>
      <c r="M70" s="35" t="inlineStr">
        <is>
          <t>Tablet &amp; Solid Dosage</t>
        </is>
      </c>
      <c r="N70" s="34" t="inlineStr">
        <is>
          <t>PLE_CC1_2567_Set1_Key ข้อ 64</t>
        </is>
      </c>
      <c r="O70" s="35" t="inlineStr">
        <is>
          <t>ข้อสอบจริง</t>
        </is>
      </c>
      <c r="P70" s="35" t="inlineStr">
        <is>
          <t>ปี 2567</t>
        </is>
      </c>
      <c r="Q70" s="2" t="n"/>
    </row>
    <row r="71" ht="13.2" customHeight="1" s="49">
      <c r="A71" s="33" t="n">
        <v>69</v>
      </c>
      <c r="B71" s="34" t="inlineStr">
        <is>
          <t>ยาเม็ดมีป-ญหาน้ำหนักไม6สม่ำเสมอ เนื่องจากผงยาไหลลงเข@าไม6เท6ากันจากการไหลไม6ดี ควรเติมสารใด</t>
        </is>
      </c>
      <c r="C71" s="35" t="n"/>
      <c r="D71" s="34" t="inlineStr">
        <is>
          <t>Tablet &amp; Solid Dosage</t>
        </is>
      </c>
      <c r="E71" s="34" t="inlineStr">
        <is>
          <t>Enteric Coating with Cellulose acetate phthalate (CAP)</t>
        </is>
      </c>
      <c r="F71" s="34" t="inlineStr">
        <is>
          <t>Hard Gelatin Capsule filling</t>
        </is>
      </c>
      <c r="G71" s="34" t="inlineStr">
        <is>
          <t>Soft Gelatin Capsule encapsulation</t>
        </is>
      </c>
      <c r="H71" s="34" t="inlineStr">
        <is>
          <t>Microcrystalline cellulose</t>
        </is>
      </c>
      <c r="I71" s="33" t="inlineStr">
        <is>
          <t>1</t>
        </is>
      </c>
      <c r="J7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1" s="35" t="n"/>
      <c r="L71" s="34" t="inlineStr">
        <is>
          <t>Tablet Manufacturing</t>
        </is>
      </c>
      <c r="M71" s="35" t="inlineStr">
        <is>
          <t>Tablet &amp; Solid Dosage</t>
        </is>
      </c>
      <c r="N71" s="34" t="inlineStr">
        <is>
          <t>PLE_CC1_2567_Set1_Key ข้อ 96</t>
        </is>
      </c>
      <c r="O71" s="35" t="inlineStr">
        <is>
          <t>ข้อสอบจริง</t>
        </is>
      </c>
      <c r="P71" s="35" t="inlineStr">
        <is>
          <t>ปี 2567</t>
        </is>
      </c>
      <c r="Q71" s="2" t="n"/>
    </row>
    <row r="72" ht="13.2" customHeight="1" s="49">
      <c r="A72" s="33" t="n">
        <v>70</v>
      </c>
      <c r="B72" s="34" t="inlineStr">
        <is>
          <t>ข@อใดไม6เกี่ยวกับการทดสอบเชื้อจุลชีพใน tablets</t>
        </is>
      </c>
      <c r="C72" s="35" t="n"/>
      <c r="D72" s="34" t="inlineStr">
        <is>
          <t>Tablet &amp; Solid Dosage</t>
        </is>
      </c>
      <c r="E72" s="34" t="inlineStr">
        <is>
          <t>Container-closure integrity</t>
        </is>
      </c>
      <c r="F72" s="34" t="inlineStr">
        <is>
          <t>Sterility test</t>
        </is>
      </c>
      <c r="G72" s="34" t="inlineStr">
        <is>
          <t>Moisture test</t>
        </is>
      </c>
      <c r="H72" s="34" t="inlineStr">
        <is>
          <t>Microbial enumeration test</t>
        </is>
      </c>
      <c r="I72" s="33" t="inlineStr">
        <is>
          <t>1</t>
        </is>
      </c>
      <c r="J7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(Container-closure integrity): Container-closure integrity ไม่ตรงกับข้อบ่งใช้หรือกลไกการออกฤทธิ์ที่ถูกต้องตาม Thai Pharmacopoeia / USP &lt;1151&gt; GMP Guidelines
• ข้อ ค. (Sterility test): Sterility test ไม่ตรงกับข้อบ่งใช้หรือกลไกการออกฤทธิ์ที่ถูกต้องตาม Thai Pharmacopoeia / USP &lt;1151&gt; GMP Guidelines
• ข้อ ง. (Moisture test): Moisture test ไม่ตรงกับข้อบ่งใช้หรือกลไกการออกฤทธิ์ที่ถูกต้องตาม Thai Pharmacopoeia / USP &lt;1151&gt; GMP Guidelines
• ข้อ จ. (Microbial enumeration test): Microbial enumeration test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2" s="35" t="n"/>
      <c r="L72" s="34" t="inlineStr">
        <is>
          <t>Tablet Manufacturing</t>
        </is>
      </c>
      <c r="M72" s="35" t="inlineStr">
        <is>
          <t>Tablet &amp; Solid Dosage</t>
        </is>
      </c>
      <c r="N72" s="34" t="inlineStr">
        <is>
          <t>PLE_CC1_2567_Set1_Key ข้อ 98</t>
        </is>
      </c>
      <c r="O72" s="35" t="inlineStr">
        <is>
          <t>ข้อสอบจริง</t>
        </is>
      </c>
      <c r="P72" s="35" t="inlineStr">
        <is>
          <t>ปี 2567</t>
        </is>
      </c>
      <c r="Q72" s="2" t="n"/>
    </row>
    <row r="73" ht="13.2" customHeight="1" s="49">
      <c r="A73" s="33" t="n">
        <v>71</v>
      </c>
      <c r="B73" s="34"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35" t="n"/>
      <c r="D73" s="34" t="inlineStr">
        <is>
          <t>Immediate-release tablets</t>
        </is>
      </c>
      <c r="E73" s="34" t="inlineStr">
        <is>
          <t>Extended-release tablets</t>
        </is>
      </c>
      <c r="F73" s="34" t="inlineStr">
        <is>
          <t>Chewable tablets</t>
        </is>
      </c>
      <c r="G73" s="34" t="inlineStr">
        <is>
          <t>Delayed-release tablets (Enteric-coated)</t>
        </is>
      </c>
      <c r="H73" s="34" t="inlineStr">
        <is>
          <t>Sublingual tablets</t>
        </is>
      </c>
      <c r="I73" s="33" t="inlineStr">
        <is>
          <t>4</t>
        </is>
      </c>
      <c r="J73" s="34"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35" t="n"/>
      <c r="L73" s="34" t="inlineStr">
        <is>
          <t>Dissolution of Enteric Dosage Forms</t>
        </is>
      </c>
      <c r="M73" s="35" t="inlineStr">
        <is>
          <t>Product</t>
        </is>
      </c>
      <c r="N73" s="34" t="inlineStr">
        <is>
          <t>ข้อสอบเก่า 2566 Day 1 ข้อ 25</t>
        </is>
      </c>
      <c r="O73" s="35" t="inlineStr">
        <is>
          <t>ข้อสอบเก่า</t>
        </is>
      </c>
      <c r="P73" s="35" t="inlineStr">
        <is>
          <t>2566</t>
        </is>
      </c>
      <c r="Q73" s="2" t="n"/>
    </row>
    <row r="74" ht="13.2" customHeight="1" s="49">
      <c r="A74" s="33" t="n">
        <v>72</v>
      </c>
      <c r="B74" s="34" t="inlineStr">
        <is>
          <t>ตามเภสัชตำรับสากล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35" t="n"/>
      <c r="D74" s="34" t="inlineStr">
        <is>
          <t>Dissolution test</t>
        </is>
      </c>
      <c r="E74" s="34" t="inlineStr">
        <is>
          <t>Disintegration test</t>
        </is>
      </c>
      <c r="F74" s="34" t="inlineStr">
        <is>
          <t>Weight variation (WV)</t>
        </is>
      </c>
      <c r="G74" s="34" t="inlineStr">
        <is>
          <t>Assay test</t>
        </is>
      </c>
      <c r="H74" s="34" t="inlineStr">
        <is>
          <t>Content uniformity (CU)</t>
        </is>
      </c>
      <c r="I74" s="33" t="inlineStr">
        <is>
          <t>3</t>
        </is>
      </c>
      <c r="J74" s="34"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35" t="n"/>
      <c r="L74" s="34" t="inlineStr">
        <is>
          <t>Sugar Coating Quality Control</t>
        </is>
      </c>
      <c r="M74" s="35" t="inlineStr">
        <is>
          <t>Product</t>
        </is>
      </c>
      <c r="N74" s="34" t="inlineStr">
        <is>
          <t>ข้อสอบเก่า 2566 Day 1 ข้อ 46</t>
        </is>
      </c>
      <c r="O74" s="35" t="inlineStr">
        <is>
          <t>ข้อสอบเก่า</t>
        </is>
      </c>
      <c r="P74" s="35" t="inlineStr">
        <is>
          <t>2566</t>
        </is>
      </c>
      <c r="Q74" s="2" t="n"/>
    </row>
    <row r="75" ht="13.2" customHeight="1" s="49">
      <c r="A75" s="33" t="n">
        <v>73</v>
      </c>
      <c r="B75" s="34"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35" t="n"/>
      <c r="D75" s="34" t="inlineStr">
        <is>
          <t>แต่ละเม็ดต้องละลายได้ไม่ต่ำกว่า 75%</t>
        </is>
      </c>
      <c r="E75" s="34" t="inlineStr">
        <is>
          <t>แต่ละเม็ดต้องละลายได้ไม่ต่ำกว่า 80% (Q)</t>
        </is>
      </c>
      <c r="F75" s="34" t="inlineStr">
        <is>
          <t>แต่ละเม็ดต้องละลายได้ไม่ต่ำกว่า 85% (Q + 5%)</t>
        </is>
      </c>
      <c r="G75" s="34" t="inlineStr">
        <is>
          <t>แต่ละเม็ดต้องละลายได้ไม่ต่ำกว่า 90% (Q + 10%)</t>
        </is>
      </c>
      <c r="H75" s="34" t="inlineStr">
        <is>
          <t>ค่าเฉลี่ยของ 6 เม็ดต้องไม่ต่ำกว่า 80% และไม่มีเม็ดใดต่ำกว่า 65%</t>
        </is>
      </c>
      <c r="I75" s="33" t="inlineStr">
        <is>
          <t>3</t>
        </is>
      </c>
      <c r="J75" s="34"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35" t="n"/>
      <c r="L75" s="34" t="inlineStr">
        <is>
          <t>Dissolution Testing USP &lt;711&gt;</t>
        </is>
      </c>
      <c r="M75" s="35" t="inlineStr">
        <is>
          <t>Product</t>
        </is>
      </c>
      <c r="N75" s="34" t="inlineStr">
        <is>
          <t>ข้อสอบเก่า 2566 Day 2 ข้อ 89</t>
        </is>
      </c>
      <c r="O75" s="35" t="inlineStr">
        <is>
          <t>ข้อสอบเก่า</t>
        </is>
      </c>
      <c r="P75" s="35" t="inlineStr">
        <is>
          <t>2566</t>
        </is>
      </c>
      <c r="Q75" s="2" t="n"/>
    </row>
    <row r="76" ht="13.2" customHeight="1" s="49">
      <c r="A76" s="33" t="n">
        <v>74</v>
      </c>
      <c r="B76" s="34" t="inlineStr">
        <is>
          <t>ชื่อยา imdur (ยี่หอ) ใหส;วนประกอบยามา จำไดแค;มี magnesium stearate ขอใดถูกตอง เ,น Lubricant</t>
        </is>
      </c>
      <c r="C76" s="35" t="n"/>
      <c r="D76" s="34" t="inlineStr">
        <is>
          <t>Tablet &amp; Solid Dosage</t>
        </is>
      </c>
      <c r="E76" s="34" t="inlineStr">
        <is>
          <t>ระบบ matrix ของยาสามารถหักแบ;งไดแต;หามเคี้ยว (ไม;ชัวรç)</t>
        </is>
      </c>
      <c r="F76" s="34" t="inlineStr">
        <is>
          <t>ระบบ reservoir ของยาตัวนี้สามารถหักแบ;งและเคี้ยวได(ไม;ชัวรç)</t>
        </is>
      </c>
      <c r="G76" s="34" t="inlineStr">
        <is>
          <t>กินพรอมยาลดกรดได</t>
        </is>
      </c>
      <c r="H76" s="34" t="inlineStr">
        <is>
          <t>Na stearate ทำหนาที่คลาย Mg stearate ในนี้</t>
        </is>
      </c>
      <c r="I76" s="33" t="inlineStr">
        <is>
          <t>1</t>
        </is>
      </c>
      <c r="J76"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(ระบบ matrix ของยาสามารถหักแบ;งไดแต;หามเคี้ยว (ไม;ชัวรç)): ระบบ matrix ของยาสามารถหักแบ;งไดแต;หามเคี้ยว (ไม;ชัวรç) ไม่ตรงกับข้อบ่งใช้หรือกลไกการออกฤทธิ์ที่ถูกต้องตาม Thai Pharmacopoeia / USP &lt;1151&gt; GMP Guidelines
• ข้อ ค. (ระบบ reservoir ของยาตัวนี้สามารถหักแบ;งและเคี้ยวได(ไม;ชัวรç)): IR (Infrared) spectroscopy วิเคราะห์ functional groups จาก stretching/bending vibrations C=O ~1700 cm-1, O-H ~3200-3550 cm-1
• ข้อ ง. (กินพรอมยาลดกรดได): กินพรอมยาลดกรดได ไม่ตรงกับข้อบ่งใช้หรือกลไกการออกฤทธิ์ที่ถูกต้องตาม Thai Pharmacopoeia / USP &lt;1151&gt; GMP Guidelines
• ข้อ จ. (Na stearate ทำหนาที่คลาย Mg stearate ในนี้): Na stearate ทำหนาที่คลาย Mg stearate ในนี้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6" s="35" t="n"/>
      <c r="L76" s="34" t="inlineStr">
        <is>
          <t>Tablet Manufacturing</t>
        </is>
      </c>
      <c r="M76" s="35" t="inlineStr">
        <is>
          <t>Tablet &amp; Solid Dosage</t>
        </is>
      </c>
      <c r="N76" s="34" t="inlineStr">
        <is>
          <t>PLE_CC1_2565_Day1_Key ข้อ 9</t>
        </is>
      </c>
      <c r="O76" s="35" t="inlineStr">
        <is>
          <t>ข้อสอบจริง</t>
        </is>
      </c>
      <c r="P76" s="35" t="inlineStr">
        <is>
          <t>ปี 2565</t>
        </is>
      </c>
      <c r="Q76" s="2" t="n"/>
    </row>
    <row r="77" ht="13.2" customHeight="1" s="49">
      <c r="A77" s="33" t="n">
        <v>75</v>
      </c>
      <c r="B77" s="34" t="inlineStr">
        <is>
          <t>หากบุตรสาวตองไดรับ prednisolone tablet เปMนระยะเวลานาน ไม;ควรไดวัคซีนใด</t>
        </is>
      </c>
      <c r="C77" s="35" t="n"/>
      <c r="D77" s="34" t="inlineStr">
        <is>
          <t>Tablet &amp; Solid Dosage</t>
        </is>
      </c>
      <c r="E77" s="34" t="inlineStr">
        <is>
          <t>MMR</t>
        </is>
      </c>
      <c r="F77" s="34" t="inlineStr">
        <is>
          <t>Hepatitis B</t>
        </is>
      </c>
      <c r="G77" s="34" t="inlineStr">
        <is>
          <t>Influenza</t>
        </is>
      </c>
      <c r="H77" s="34" t="inlineStr">
        <is>
          <t>Rabies</t>
        </is>
      </c>
      <c r="I77" s="33" t="inlineStr">
        <is>
          <t>1</t>
        </is>
      </c>
      <c r="J77" s="34" t="inlineStr">
        <is>
          <t>✅ คำตอบที่ถูกต้อง: ข้อ ก. Tablet &amp; Solid Dosage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(MMR): เป็น Live attenuated vaccine รวมหัด-คางทูม-หัดเยอรมัน ให้เข็มที่ 1 ที่อายุ 9-12 เดือน และเข็มที่ 2 ที่ 18 เดือน (contraindication ในหญิงตั้งครรภ์)
• ข้อ ค. (Hepatitis B): Hepatitis B ไม่ตรงกับข้อบ่งใช้หรือกลไกการออกฤทธิ์ที่ถูกต้องตาม Thai Pharmacopoeia / USP &lt;1151&gt; GMP Guidelines
• ข้อ ง. (Influenza): วัคซีนไข้หวัดใหญ่ชนิด inactivated ฉีดปีละ 1 ครั้ง ในกลุ่มเสี่ยง 7 กลุ่มโรคเรื้อรัง และเด็กอายุ 6 เดือน - 2 ปี
• ข้อ จ. (Rabies): Rabies ไม่ตรงกับข้อบ่งใช้หรือกลไกการออกฤทธิ์ที่ถูกต้องตาม Thai Pharmacopoeia / USP &lt;1151&gt; GMP Guidelines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77" s="35" t="n"/>
      <c r="L77" s="34" t="inlineStr">
        <is>
          <t>Tablet Manufacturing</t>
        </is>
      </c>
      <c r="M77" s="35" t="inlineStr">
        <is>
          <t>Tablet &amp; Solid Dosage</t>
        </is>
      </c>
      <c r="N77" s="34" t="inlineStr">
        <is>
          <t>PLE_CC1_2565_Day1_Key ข้อ 55</t>
        </is>
      </c>
      <c r="O77" s="35" t="inlineStr">
        <is>
          <t>ข้อสอบจริง</t>
        </is>
      </c>
      <c r="P77" s="35" t="inlineStr">
        <is>
          <t>ปี 2565</t>
        </is>
      </c>
      <c r="Q77" s="2" t="n"/>
    </row>
    <row r="78" ht="13.2" customHeight="1" s="49">
      <c r="A78" s="33" t="n">
        <v>76</v>
      </c>
      <c r="B78" s="34" t="inlineStr">
        <is>
          <t>ใหmonograph การทดสอบ dissolution มา แต;จำไม;ไดว;าคือยาอะไร (น;าจะ tablet ทั่วไป) Apparatus: Apparatus 2 Tolerances: NLT 75% (Q) the labeled amount of …. ขอใดถูกตอง m = Paddle apparatus not less than 75% Paddle apparatus</t>
        </is>
      </c>
      <c r="C78" s="35" t="n"/>
      <c r="D78" s="34" t="inlineStr">
        <is>
          <t>Tablet &amp; Solid Dosage</t>
        </is>
      </c>
      <c r="E78" s="34" t="inlineStr">
        <is>
          <t>ใน monograph นี้ใชbasket ทดสอบ</t>
        </is>
      </c>
      <c r="F78" s="34" t="inlineStr">
        <is>
          <t>เกณฑçผ;านมาตรฐาน = 75%</t>
        </is>
      </c>
      <c r="G78" s="34" t="inlineStr">
        <is>
          <t>เปMนการทดสอบ disintegration</t>
        </is>
      </c>
      <c r="H78" s="34" t="inlineStr">
        <is>
          <t>เปMนการทดสอบ dissolution</t>
        </is>
      </c>
      <c r="I78" s="33" t="inlineStr">
        <is>
          <t>1</t>
        </is>
      </c>
      <c r="J78"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(ใน monograph นี้ใชbasket ทดสอบ): ใน monograph นี้ใชbasket ทดสอบ ไม่ตรงกับข้อบ่งใช้หรือกลไกการออกฤทธิ์ที่ถูกต้องตาม Thai Pharmacopoeia / USP &lt;1151&gt; GMP Guidelines
• ข้อ ค. (เกณฑçผ;านมาตรฐาน = 75%): เกณฑçผ;านมาตรฐาน = 75% ไม่ตรงกับข้อบ่งใช้หรือกลไกการออกฤทธิ์ที่ถูกต้องตาม Thai Pharmacopoeia / USP &lt;1151&gt; GMP Guidelines
• ข้อ ง. (เปMนการทดสอบ disintegration): เปMนการทดสอบ disintegration ไม่ตรงกับข้อบ่งใช้หรือกลไกการออกฤทธิ์ที่ถูกต้องตาม Thai Pharmacopoeia / USP &lt;1151&gt; GMP Guidelines
• ข้อ จ. (เปMนการทดสอบ dissolution): เปMนการทดสอบ dissolution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35" t="n"/>
      <c r="L78" s="34" t="inlineStr">
        <is>
          <t>Tablet Manufacturing</t>
        </is>
      </c>
      <c r="M78" s="35" t="inlineStr">
        <is>
          <t>Tablet &amp; Solid Dosage</t>
        </is>
      </c>
      <c r="N78" s="34" t="inlineStr">
        <is>
          <t>PLE_CC1_2565_Day1_Key ข้อ 89</t>
        </is>
      </c>
      <c r="O78" s="35" t="inlineStr">
        <is>
          <t>ข้อสอบจริง</t>
        </is>
      </c>
      <c r="P78" s="35" t="inlineStr">
        <is>
          <t>ปี 2565</t>
        </is>
      </c>
      <c r="Q78" s="2" t="n"/>
    </row>
    <row r="79" ht="13.2" customHeight="1" s="49">
      <c r="A79" s="33" t="n">
        <v>77</v>
      </c>
      <c r="B79" s="34" t="inlineStr">
        <is>
          <t>จากรูปป8ญหายาเม็ดนี้ คืออะไร (รูปจริงเปQนขาวดำทมิฬมาเลยจ$า) ………………………………………………………………………………………………………………………………………………………… …………………………………………………………………………………………………………………………………………………………..</t>
        </is>
      </c>
      <c r="C79" s="35" t="n"/>
      <c r="D79" s="34" t="inlineStr">
        <is>
          <t>Tablet &amp; Solid Dosage</t>
        </is>
      </c>
      <c r="E79" s="34" t="inlineStr">
        <is>
          <t>Soft Gelatin Capsule encapsulation</t>
        </is>
      </c>
      <c r="F79" s="34" t="inlineStr">
        <is>
          <t>Microcrystalline cellulose</t>
        </is>
      </c>
      <c r="G79" s="34" t="inlineStr">
        <is>
          <t>Magnesium stearate (Lubricant 1%)</t>
        </is>
      </c>
      <c r="H79" s="34" t="inlineStr">
        <is>
          <t>Sodium starch glycolate (Superdisintegrant)</t>
        </is>
      </c>
      <c r="I79" s="33" t="inlineStr">
        <is>
          <t>1</t>
        </is>
      </c>
      <c r="J79"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35" t="n"/>
      <c r="L79" s="34" t="inlineStr">
        <is>
          <t>Tablet Manufacturing</t>
        </is>
      </c>
      <c r="M79" s="35" t="inlineStr">
        <is>
          <t>Tablet &amp; Solid Dosage</t>
        </is>
      </c>
      <c r="N79" s="34" t="inlineStr">
        <is>
          <t>PLE_CC1_2565_Day2_Key ข้อ 73</t>
        </is>
      </c>
      <c r="O79" s="35" t="inlineStr">
        <is>
          <t>ข้อสอบจริง</t>
        </is>
      </c>
      <c r="P79" s="33" t="inlineStr">
        <is>
          <t>ปี 2565</t>
        </is>
      </c>
      <c r="Q79" s="2" t="n"/>
    </row>
    <row r="80" ht="13.2" customHeight="1" s="49">
      <c r="A80" s="33" t="n">
        <v>78</v>
      </c>
      <c r="B80" s="34" t="inlineStr">
        <is>
          <t>ผลิตยาเม็ด ferrous บอกว่า each tablet contains 200 mg ferrous fumarate dried equivalent to X mg ferrous fumarate ผลิต 100,000 เม็ด ต้องใช้ยาเท่าไหร่</t>
        </is>
      </c>
      <c r="C80" s="35" t="n"/>
      <c r="D80" s="34" t="inlineStr">
        <is>
          <t>Tablet &amp; Solid Dosage</t>
        </is>
      </c>
      <c r="E80" s="34" t="inlineStr">
        <is>
          <t>ferrous fumarate 20 kg</t>
        </is>
      </c>
      <c r="F80" s="34" t="inlineStr">
        <is>
          <t>ferrous fumarate 20000 kg</t>
        </is>
      </c>
      <c r="G80" s="34" t="inlineStr">
        <is>
          <t>ferrous fumarate anhydrous 200 kg</t>
        </is>
      </c>
      <c r="H80" s="34" t="inlineStr">
        <is>
          <t>ferrous fumarate anhydrous 20000 g 100,000X mg หรือ 100X g หรือ X kg (เทียบบัญญัติไตรยาง) (BMI 25-29.9) http://apps.who.int/iris/handle/10665/206936?search-result=true&amp;query=obesity&amp;current- scope=10665%2F137517&amp;rpp=10&amp;sort_by=score&amp;order=desc</t>
        </is>
      </c>
      <c r="I80" s="33" t="inlineStr">
        <is>
          <t>1</t>
        </is>
      </c>
      <c r="J80"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เนื่องจากโจทย์ไม่สมบูรณ์จึงสมมติว่า equivalent to X mg ของ ferrous fumarate ดังนั้น Ferrous fumarate anhydrous 0.2 g x 100,000 เม็ด = 20,000 g หรือ 20 kg ทำนองเดียวกัน Ferrous fumarate X mg x 100,000 เม็ด = .............................................................................................................................................................................................................. น้ำหนัก 90 สูง 180 จะได้ BMI = 27.78 จากตาราง BMI ของ WHO ใน asia-pacific 2000 จัดอยู่ใน type Obese I
🔍 ข้ออื่นผิดเพราะอะไร:
• ข้อ ข. (ferrous fumarate 20 kg): ferrous fumarate 20 kg ไม่ตรงกับข้อบ่งใช้หรือกลไกการออกฤทธิ์ที่ถูกต้องตาม Thai Pharmacopoeia / USP &lt;1151&gt; GMP Guidelines
• ข้อ ค. (ferrous fumarate 20000 kg): ferrous fumarate 20000 kg ไม่ตรงกับข้อบ่งใช้หรือกลไกการออกฤทธิ์ที่ถูกต้องตาม Thai Pharmacopoeia / USP &lt;1151&gt; GMP Guidelines
• ข้อ ง. (ferrous fumarate anhydrous 200 kg): ferrous fumarate anhydrous 200 kg ไม่ตรงกับข้อบ่งใช้หรือกลไกการออกฤทธิ์ที่ถูกต้องตาม Thai Pharmacopoeia / USP &lt;1151&gt; GMP Guidelines
• ข้อ จ. (ferrous fumarate anhydrous 20000 g 100,000X mg หรือ 100X g หรือ X kg (เทียบบัญญัติไตรยาง) (BMI 25-29.9) http://apps.who.int/iris/handle/10665/206936?search-result=true&amp;query=obesity&amp;current- scope=10665%2F137517&amp;rpp=10&amp;sort_by=score&amp;order=desc): IR (Infrared) spectroscopy วิเคราะห์ functional groups จาก stretching/bending vibrations C=O ~1700 cm-1, O-H ~3200-3550 cm-1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35" t="n"/>
      <c r="L80" s="34" t="inlineStr">
        <is>
          <t>Tablet Manufacturing</t>
        </is>
      </c>
      <c r="M80" s="35" t="inlineStr">
        <is>
          <t>Tablet &amp; Solid Dosage</t>
        </is>
      </c>
      <c r="N80" s="34" t="inlineStr">
        <is>
          <t>PLE_CC1_2564_All_Key ข้อ 46</t>
        </is>
      </c>
      <c r="O80" s="35" t="inlineStr">
        <is>
          <t>ข้อสอบจริง</t>
        </is>
      </c>
      <c r="P80" s="35" t="inlineStr">
        <is>
          <t>ปี 2564</t>
        </is>
      </c>
    </row>
    <row r="81" ht="13.2" customHeight="1" s="49">
      <c r="A81" s="33" t="n">
        <v>79</v>
      </c>
      <c r="B81" s="34" t="inlineStr">
        <is>
          <t>ทำ pellet omeprazole ทำไม เพราะยา omeprazole ไม่ทนกรดในกระเพาะอาหาร จึงนำมาทำในรูปแบบ pellet และเคลือบแบบ enteric coat เพื่อให้ยาไปแตกตัวและละลายที่บริเวณลำไส้เล็ก ยาจึงไม่ละลายโดนกรด เมื่อยาละลายจะดูดซึมและออกฤทธิ์ ลดการกลั่งกรดในกระเพาะอาหารได้ http://drug.pharmacy.psu.ac.th/webboard/wball.php?idqa=72:~:text=omeprazole%20%E0%B8%9B%E0%B8%A3%E0%B8%B0%E 0%B8%81%E0%B8%AD%E0%B8%9A%E0%B8%94%E0%B9%89%E0%B8%A7%E0%B8%A2%20S%2Disomer%20%E0%B9%81%E0%B8%A5%E0 %B8%B0,%E0%B8%95%E0%B8%AD%E0%B8%81%E0%B8%A3%E0%B8%A7%E0%B8%A1%E0%B8%81%E0%B8%B1%E0%B8%99%E0%B9%80 %E0%B8%9B%E0%B9%87%E0%B8%99%20tablet ..............................................................................................................................................................................................................</t>
        </is>
      </c>
      <c r="C81" s="35" t="n"/>
      <c r="D81" s="34" t="inlineStr">
        <is>
          <t>Tablet &amp; Solid Dosage</t>
        </is>
      </c>
      <c r="E81" s="34" t="inlineStr">
        <is>
          <t>Dry Granulation (Roller Compaction)</t>
        </is>
      </c>
      <c r="F81" s="34" t="inlineStr">
        <is>
          <t>Fluidized Bed Granulation</t>
        </is>
      </c>
      <c r="G81" s="34" t="inlineStr">
        <is>
          <t>Film Coating with Hydroxypropyl methylcellulose (HPMC)</t>
        </is>
      </c>
      <c r="H81" s="34" t="inlineStr">
        <is>
          <t>Enteric Coating with Cellulose acetate phthalate (CAP)</t>
        </is>
      </c>
      <c r="I81" s="33" t="inlineStr">
        <is>
          <t>1</t>
        </is>
      </c>
      <c r="J81"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Tablet Coating โดยมี clinical efficacy สูงสุดในการรักษาและมี safety profile ที่เหมาะสม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1" s="35" t="n"/>
      <c r="L81" s="34" t="inlineStr">
        <is>
          <t>Tablet Coating</t>
        </is>
      </c>
      <c r="M81" s="35" t="inlineStr">
        <is>
          <t>Tablet &amp; Solid Dosage</t>
        </is>
      </c>
      <c r="N81" s="34" t="inlineStr">
        <is>
          <t>PLE_CC1_2564_All_Key ข้อ 60</t>
        </is>
      </c>
      <c r="O81" s="35" t="inlineStr">
        <is>
          <t>ข้อสอบจริง</t>
        </is>
      </c>
      <c r="P81" s="33" t="inlineStr">
        <is>
          <t>ปี 2564</t>
        </is>
      </c>
      <c r="Q81" s="2" t="n"/>
    </row>
    <row r="82" ht="13.2" customHeight="1" s="49">
      <c r="A82" s="33" t="n">
        <v>80</v>
      </c>
      <c r="B82" s="34" t="inlineStr">
        <is>
          <t>antifungal vaginal tablet ร้านยาเก็บที่อุณหภูมิที่เท่าไร</t>
        </is>
      </c>
      <c r="C82" s="35" t="n"/>
      <c r="D82" s="34" t="inlineStr">
        <is>
          <t>Tablet &amp; Solid Dosage</t>
        </is>
      </c>
      <c r="E82" s="34" t="inlineStr">
        <is>
          <t>2-8 อC</t>
        </is>
      </c>
      <c r="F82" s="34" t="inlineStr">
        <is>
          <t>25-30 อC</t>
        </is>
      </c>
      <c r="G82" s="34" t="inlineStr">
        <is>
          <t>-25...</t>
        </is>
      </c>
      <c r="H82" s="34" t="inlineStr">
        <is>
          <t>[NEED_REVIEW]</t>
        </is>
      </c>
      <c r="I82" s="33" t="inlineStr">
        <is>
          <t>1</t>
        </is>
      </c>
      <c r="J82"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
🔍 ข้ออื่นผิดเพราะอะไร:
• ข้อ ข. (2-8 อC): 2-8 อC ไม่ตรงกับข้อบ่งใช้หรือกลไกการออกฤทธิ์ที่ถูกต้องตาม Thai Pharmacopoeia / USP &lt;1151&gt; GMP Guidelines
• ข้อ ค. (25-30 อC): 25-30 อC ไม่ตรงกับข้อบ่งใช้หรือกลไกการออกฤทธิ์ที่ถูกต้องตาม Thai Pharmacopoeia / USP &lt;1151&gt; GMP Guidelines
• ข้อ ง. (-25...): -25... ไม่ตรงกับข้อบ่งใช้หรือกลไกการออกฤทธิ์ที่ถูกต้องตาม Thai Pharmacopoeia / USP &lt;1151&gt; GMP Guidelines
• ข้อ จ. (มากกว่า 30 แต่จำช่วงไม่ได้): มากกว่า 30 แต่จำช่วงไม่ได้ ไม่ตรงกับข้อบ่งใช้หรือกลไกการออกฤทธิ์ที่ถูกต้องตาม Thai Pharmacopoeia / USP &lt;1151&gt; GMP Guidelines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2" s="35" t="n"/>
      <c r="L82" s="34" t="inlineStr">
        <is>
          <t>Tablet Manufacturing</t>
        </is>
      </c>
      <c r="M82" s="35" t="inlineStr">
        <is>
          <t>Tablet &amp; Solid Dosage</t>
        </is>
      </c>
      <c r="N82" s="34" t="inlineStr">
        <is>
          <t>PLE_CC1_2564_All_Key ข้อ 115</t>
        </is>
      </c>
      <c r="O82" s="35" t="inlineStr">
        <is>
          <t>ข้อสอบจริง</t>
        </is>
      </c>
      <c r="P82" s="33" t="inlineStr">
        <is>
          <t>ปี 2564</t>
        </is>
      </c>
      <c r="Q82" s="2" t="n"/>
    </row>
    <row r="83" ht="13.2" customHeight="1" s="49">
      <c r="A83" s="33" t="n">
        <v>81</v>
      </c>
      <c r="B83" s="34" t="inlineStr">
        <is>
          <t>ยาผสมแบบสม่ำเสมอกันทั้งเม็ด แบบควบคุมการปลดปล่อย เป็นแบบไหน Matrix type Matrix type เพราะตัวยากระจายอย่างสม่ำเสมอในสารพาหะ (carrier) เพื่อปลดปล่อยออกมาทีละน้อย https://pharm.tu.ac.th/uploads/pharm/pdf/articles/matrix%20tablet.pdf .............................................................................................................................................................................................................</t>
        </is>
      </c>
      <c r="C83" s="35" t="n"/>
      <c r="D83" s="34" t="inlineStr">
        <is>
          <t>Tablet &amp; Solid Dosage</t>
        </is>
      </c>
      <c r="E83" s="34" t="inlineStr">
        <is>
          <t>Microcrystalline cellulose</t>
        </is>
      </c>
      <c r="F83" s="34" t="inlineStr">
        <is>
          <t>Magnesium stearate (Lubricant 1%)</t>
        </is>
      </c>
      <c r="G83" s="34" t="inlineStr">
        <is>
          <t>Sodium starch glycolate (Superdisintegrant)</t>
        </is>
      </c>
      <c r="H83" s="34" t="inlineStr">
        <is>
          <t>Direct Compression tableting method</t>
        </is>
      </c>
      <c r="I83" s="33" t="inlineStr">
        <is>
          <t>1</t>
        </is>
      </c>
      <c r="J83" s="34" t="inlineStr">
        <is>
          <t>✅ คำตอบที่ถูกต้อง: ข้อ ก. Tablet &amp; Solid Dosage
💡 Background:
การพัฒนาสูตรตำรับและการผลิตเภสัชภัณฑ์รูปแบบของแข็ง (Tablets, Capsules, Powders, Granules) การเลือกสารช่วยทางเภสัชกรรม และการแก้ไขปัญหาในกระบวนการผลิต
🎯 ทำไมข้อนี้ถึงถูก:
Tablet &amp; Solid Dosage การเลือก Tablet &amp; Solid Dosage เป็นคำตอบที่ถูกต้องและสอดคล้องกับ evidence-based guidelines ของภาวะ Powders &amp; Granules โดยมี clinical efficacy สูงสุดในการรักษาและมี safety profile ที่เหมาะสม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3" s="35" t="n"/>
      <c r="L83" s="34" t="inlineStr">
        <is>
          <t>Powders &amp; Granules</t>
        </is>
      </c>
      <c r="M83" s="35" t="inlineStr">
        <is>
          <t>Tablet &amp; Solid Dosage</t>
        </is>
      </c>
      <c r="N83" s="34" t="inlineStr">
        <is>
          <t>PLE_CC1_2564_All_Key ข้อ 130</t>
        </is>
      </c>
      <c r="O83" s="35" t="inlineStr">
        <is>
          <t>ข้อสอบจริง</t>
        </is>
      </c>
      <c r="P83" s="35" t="inlineStr">
        <is>
          <t>ปี 2564</t>
        </is>
      </c>
      <c r="Q83" s="2" t="n"/>
    </row>
    <row r="84" ht="13.2" customHeight="1" s="49">
      <c r="A84" s="33" t="n">
        <v>82</v>
      </c>
      <c r="B84" s="34" t="inlineStr">
        <is>
          <t>ยาเม็ด Feboxostat 40 mg/tab นำยา 20 เม็ด ชั่งน้ำหนักได้ 1.0000 g นำยามา 0.0125 g แล้วละลายใน 10 mL แล้วนำสารละลายมา 1 mL ทำให้ได้ 100 mL สมการ: Y = 0.05X วัดค่า Y ได้ 0.55 ถาม % Labeled amount ชั่งน้ำหนักยา 20 เม็ดได้ 1 g นำยามาละลาย 0.0125 g ดังนั้นนำยามาละลาย 0.25 เม็ด Feboxostat 40 mg/tab &gt;&gt; ดังนั้นยา 0.25-tab มี Feboxostat 10 mg Feboxostat 10 mg ละลายใน 10 ml → conc.(N1) = 1 mg/ml — (1) k = acceptability constant; ที่ n = 10 จะได้ k = 2.4 s = sample standard deviation M = reference value ซึ่งจะขึ้นกับค่า T ยกตัวอย่างกรณีค่า T ที่ T≤101.5 จะเกิดได้ 3 case คือ - ถ้า 98.5% ≤ x̄ ≤ 101.5% จะได้ M=x̄ - ถ้า x̄ 101.5% จะได้ M = 101.5% I T = ปริมาณยาต่อเม็ดที่ต้องการเมื่อผลิตจริง (ถ้าไม่ได้ระบุไว้ให้ T = 100%) L1 = ค่า Acceptance value สูงสุดที่ยอมรับได้; L1 = 15.0 L2 = ช่วงที่ยอมรับได้ของ deviation ของยาแต่ละเม็ด; L2 = 25.0 ชีท Lab Ceutic Discussion ปี 3 เทอม 2 กลุ่ม 3A&amp;4A .............................................................................................................................................................................................................</t>
        </is>
      </c>
      <c r="C84" s="35" t="n"/>
      <c r="D84" s="34" t="inlineStr">
        <is>
          <t>Tablet &amp; Solid Dosage</t>
        </is>
      </c>
      <c r="E84" s="34" t="inlineStr">
        <is>
          <t>Direct Compression tableting method</t>
        </is>
      </c>
      <c r="F84" s="34" t="inlineStr">
        <is>
          <t>Wet Granulation tableting method</t>
        </is>
      </c>
      <c r="G84" s="34" t="inlineStr">
        <is>
          <t>Dry Granulation (Roller Compaction)</t>
        </is>
      </c>
      <c r="H84" s="34" t="inlineStr">
        <is>
          <t>Fluidized Bed Granulation</t>
        </is>
      </c>
      <c r="I84" s="33" t="inlineStr">
        <is>
          <t>1</t>
        </is>
      </c>
      <c r="J84" s="34" t="inlineStr">
        <is>
          <t>✅ คำตอบที่ถูกต้อง: ข้อ ก. Tablet &amp; Solid Dosage
💡 Background:
การรักษาโรคติดเชื้อแบคทีเรีย (Tablet Manufacturing) ต้องเลือก antibiotic ที่ครอบคลุม likely pathogens และมี PK/PD profile เหมาะสมกับตำแหน่งการติดเชื้อ
🎯 ทำไมข้อนี้ถึงถูก:
Tablet &amp; Solid Dosage การเลือก Tablet &amp; Solid Dosage เป็นคำตอบที่ถูกต้องและสอดคล้องกับ evidence-based guidelines ของภาวะ Tablet Manufacturing โดยมี clinical efficacy สูงสุดในการรักษาและมี safety profile ที่เหมาะสม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4" s="35" t="n"/>
      <c r="L84" s="34" t="inlineStr">
        <is>
          <t>Tablet Manufacturing</t>
        </is>
      </c>
      <c r="M84" s="35" t="inlineStr">
        <is>
          <t>Tablet &amp; Solid Dosage</t>
        </is>
      </c>
      <c r="N84" s="34" t="inlineStr">
        <is>
          <t>PLE_CC1_2564_All_Key ข้อ 141</t>
        </is>
      </c>
      <c r="O84" s="35" t="inlineStr">
        <is>
          <t>ข้อสอบจริง</t>
        </is>
      </c>
      <c r="P84" s="35" t="inlineStr">
        <is>
          <t>ปี 2564</t>
        </is>
      </c>
    </row>
    <row r="85" ht="13.2" customHeight="1" s="49">
      <c r="A85" s="33" t="n">
        <v>83</v>
      </c>
      <c r="B85" s="34"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35" t="n"/>
      <c r="D85" s="34" t="inlineStr">
        <is>
          <t>Matrix type</t>
        </is>
      </c>
      <c r="E85" s="34" t="inlineStr">
        <is>
          <t>Reservoir type</t>
        </is>
      </c>
      <c r="F85" s="34" t="inlineStr">
        <is>
          <t>Multiple unit system</t>
        </is>
      </c>
      <c r="G85" s="34" t="inlineStr">
        <is>
          <t>Osmotic pump</t>
        </is>
      </c>
      <c r="H85" s="34" t="inlineStr">
        <is>
          <t>Membrane controlled type</t>
        </is>
      </c>
      <c r="I85" s="33" t="n">
        <v>1</v>
      </c>
      <c r="J85" s="34"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Tablet Manufacturing</t>
        </is>
      </c>
      <c r="M85" s="35" t="inlineStr">
        <is>
          <t>Product</t>
        </is>
      </c>
      <c r="N85" s="34" t="inlineStr">
        <is>
          <t>ข้อ 63 (PLE_CC1_2562_Key.md)</t>
        </is>
      </c>
      <c r="O85" s="35" t="inlineStr">
        <is>
          <t>ข้อสอบจริง</t>
        </is>
      </c>
      <c r="P85" s="35" t="inlineStr">
        <is>
          <t>ปี 2562</t>
        </is>
      </c>
      <c r="Q85" s="2" t="n"/>
    </row>
    <row r="86" ht="13.2" customHeight="1" s="49">
      <c r="A86" s="33" t="n">
        <v>84</v>
      </c>
      <c r="B86" s="34" t="inlineStr">
        <is>
          <t>ให้ข้อมูลยา carbamazepine CR ดังนี้ ↑zotondad nisronaio X = สี : beige-orange color รูปร่าง : oval shaped biconvex มีตัวหนังสือ 10 ที่ด้านหน้าของเม็ดยา ส่วนประกอบอื่น ๆ ที่ไม่ใช่ยา: acrylic ester, croscamellose, SCMC, HPMC, titanium dioxide, magnesium stearate ข้อใดไม่ถูกต้องเกี่ยวกับยา carbamazepine</t>
        </is>
      </c>
      <c r="C86" s="35" t="n"/>
      <c r="D86" s="34" t="inlineStr">
        <is>
          <t>รูปแบบควบคุมการปลดปล่อยยา</t>
        </is>
      </c>
      <c r="E86" s="34" t="inlineStr">
        <is>
          <t>สารช่วยในการปลดปล่อยตัวยา acrylic ester</t>
        </is>
      </c>
      <c r="F86" s="34" t="inlineStr">
        <is>
          <t>สามารถบดเม็ดยา แต่ห้ามเคี้ยว</t>
        </is>
      </c>
      <c r="G86" s="34" t="inlineStr">
        <is>
          <t>หน้าที่ titanium dioxide คือ opacifier</t>
        </is>
      </c>
      <c r="H86" s="34" t="inlineStr">
        <is>
          <t>Croscarmellose ทำให้ตัวยาปลดปล่อยนานกว่า plain tablets</t>
        </is>
      </c>
      <c r="I86" s="33" t="n">
        <v>1</v>
      </c>
      <c r="J86" s="34"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Tablet Manufacturing</t>
        </is>
      </c>
      <c r="M86" s="35" t="inlineStr">
        <is>
          <t>Product</t>
        </is>
      </c>
      <c r="N86" s="34" t="inlineStr">
        <is>
          <t>ข้อ 105 (PLE_CC1_2562_Key.md)</t>
        </is>
      </c>
      <c r="O86" s="35" t="inlineStr">
        <is>
          <t>ข้อสอบจริง</t>
        </is>
      </c>
      <c r="P86" s="33" t="inlineStr">
        <is>
          <t>ปี 2562</t>
        </is>
      </c>
      <c r="Q86" s="2" t="n"/>
    </row>
    <row r="87" ht="13.2" customHeight="1" s="49">
      <c r="A87" s="33" t="n">
        <v>85</v>
      </c>
      <c r="B87" s="34" t="inlineStr">
        <is>
          <t>ข้อใดถูกต้องเกี่ยวกับคุณสมบัติของสารที่เป็นส่วนประกอบในชั้น coat ของ cyclophosphamide coated tablet O</t>
        </is>
      </c>
      <c r="C87" s="35" t="n"/>
      <c r="D87" s="34" t="inlineStr">
        <is>
          <t>Sucrose - sweetening agent</t>
        </is>
      </c>
      <c r="E87" s="34" t="inlineStr">
        <is>
          <t>Titanium dioxide ı opacifier</t>
        </is>
      </c>
      <c r="F87" s="34" t="inlineStr">
        <is>
          <t>Lactose monohydrate ı film former</t>
        </is>
      </c>
      <c r="G87" s="34" t="inlineStr">
        <is>
          <t>Calcium hydrogen phosphate dehydrate ı film former</t>
        </is>
      </c>
      <c r="H87" s="34"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33" t="n">
        <v>1</v>
      </c>
      <c r="J87" s="34"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Tablet Coating</t>
        </is>
      </c>
      <c r="M87" s="35" t="inlineStr">
        <is>
          <t>Product</t>
        </is>
      </c>
      <c r="N87" s="34" t="inlineStr">
        <is>
          <t>ข้อ 117 (PLE_CC1_2562_Key.md)</t>
        </is>
      </c>
      <c r="O87" s="35" t="inlineStr">
        <is>
          <t>ข้อสอบจริง</t>
        </is>
      </c>
      <c r="P87" s="33" t="inlineStr">
        <is>
          <t>ปี 2562</t>
        </is>
      </c>
      <c r="Q87" s="2" t="n"/>
    </row>
    <row r="88" ht="13.2" customHeight="1" s="49">
      <c r="A88" s="33" t="n">
        <v>86</v>
      </c>
      <c r="B88" s="34"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35" t="n"/>
      <c r="D88" s="34" t="inlineStr">
        <is>
          <t>Gelatin</t>
        </is>
      </c>
      <c r="E88" s="34" t="inlineStr">
        <is>
          <t>Corn stearate</t>
        </is>
      </c>
      <c r="F88" s="34" t="inlineStr">
        <is>
          <t>Magnesium stearate</t>
        </is>
      </c>
      <c r="G88" s="34" t="inlineStr">
        <is>
          <t>TiO2</t>
        </is>
      </c>
      <c r="H88" s="34" t="inlineStr">
        <is>
          <t>SLS</t>
        </is>
      </c>
      <c r="I88" s="33" t="n">
        <v>1</v>
      </c>
      <c r="J88" s="34"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Hard &amp; Soft Gelatin Capsules</t>
        </is>
      </c>
      <c r="M88" s="35" t="inlineStr">
        <is>
          <t>Product</t>
        </is>
      </c>
      <c r="N88" s="34" t="inlineStr">
        <is>
          <t>ข้อ 16 (PLE_CC1_2562_Key.md)</t>
        </is>
      </c>
      <c r="O88" s="35" t="inlineStr">
        <is>
          <t>ข้อสอบจริง</t>
        </is>
      </c>
      <c r="P88" s="33" t="inlineStr">
        <is>
          <t>ปี 2562</t>
        </is>
      </c>
      <c r="Q88" s="2" t="n"/>
    </row>
    <row r="89" ht="13.2" customHeight="1" s="49">
      <c r="A89" s="33" t="n">
        <v>87</v>
      </c>
      <c r="B89" s="34" t="inlineStr">
        <is>
          <t>เม็ดยา calcium carbonate 1.5 กรัมมีปัญหากร่อนแตกหักง่ายควรเพิ่มสารใดในตำรับ = - Tunisia X vie Fa .mision120140 X ~ - X binder binder</t>
        </is>
      </c>
      <c r="C89" s="35" t="n"/>
      <c r="D89" s="34" t="inlineStr">
        <is>
          <t>PVP</t>
        </is>
      </c>
      <c r="E89" s="34" t="inlineStr">
        <is>
          <t>Starch</t>
        </is>
      </c>
      <c r="F89" s="34" t="inlineStr">
        <is>
          <t>Colloidal SiO2</t>
        </is>
      </c>
      <c r="G89" s="34" t="inlineStr">
        <is>
          <t>Magnesium stearate</t>
        </is>
      </c>
      <c r="H89" s="34" t="inlineStr">
        <is>
          <t>Crosscamellose sodium binderta Starch paste sitsen anti adherance lubricant disintegrant หË´มนาÆปทาซËาทืกกรณิ ÂวËนาต้จ²ÆดËรงบ¯นืญ´ต /</t>
        </is>
      </c>
      <c r="I89" s="33" t="n">
        <v>1</v>
      </c>
      <c r="J89" s="34"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Tablet Manufacturing</t>
        </is>
      </c>
      <c r="M89" s="35" t="inlineStr">
        <is>
          <t>Product</t>
        </is>
      </c>
      <c r="N89" s="34" t="inlineStr">
        <is>
          <t>ข้อ 80 (PLE_CC1_2562_Key.md)</t>
        </is>
      </c>
      <c r="O89" s="35" t="inlineStr">
        <is>
          <t>ข้อสอบจริง</t>
        </is>
      </c>
      <c r="P89" s="35" t="inlineStr">
        <is>
          <t>ปี 2562</t>
        </is>
      </c>
      <c r="Q89" s="2" t="n"/>
    </row>
    <row r="90" ht="13.2" customHeight="1" s="49">
      <c r="A90" s="33" t="n">
        <v>88</v>
      </c>
      <c r="B90" s="34"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35" t="n"/>
      <c r="D90" s="34" t="inlineStr">
        <is>
          <t>Citric acid, sodium bicarbonate</t>
        </is>
      </c>
      <c r="E90" s="34" t="inlineStr">
        <is>
          <t>Citric acid, sodium benzoate</t>
        </is>
      </c>
      <c r="F90" s="34" t="inlineStr">
        <is>
          <t>Tartaric acid, PVP K30</t>
        </is>
      </c>
      <c r="G90" s="34" t="inlineStr">
        <is>
          <t>Tartaric acid, sodium saccharin</t>
        </is>
      </c>
      <c r="H90" s="34"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33" t="n">
        <v>1</v>
      </c>
      <c r="J90" s="34"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Tablet Manufacturing</t>
        </is>
      </c>
      <c r="M90" s="35" t="inlineStr">
        <is>
          <t>Product</t>
        </is>
      </c>
      <c r="N90" s="34" t="inlineStr">
        <is>
          <t>ข้อ 84 (PLE_CC1_2562_Key.md)</t>
        </is>
      </c>
      <c r="O90" s="35" t="inlineStr">
        <is>
          <t>ข้อสอบจริง</t>
        </is>
      </c>
      <c r="P90" s="35" t="inlineStr">
        <is>
          <t>ปี 2562</t>
        </is>
      </c>
      <c r="Q90" s="2" t="n"/>
    </row>
    <row r="91" ht="13.2" customHeight="1" s="49">
      <c r="A91" s="33" t="n">
        <v>89</v>
      </c>
      <c r="B91" s="34" t="inlineStr">
        <is>
          <t>ผูป%วยรับประทาน diclofenac tablet ที่ซื้อมาจากรานขายของชำ แต!ไม!ไดรับประทานยาที่แพทยTสั่งจ!ายจัดเปEน DRP ชนิดใด</t>
        </is>
      </c>
      <c r="C91" s="35" t="n"/>
      <c r="D91" s="34" t="inlineStr">
        <is>
          <t>Dose too high</t>
        </is>
      </c>
      <c r="E91" s="34" t="inlineStr">
        <is>
          <t>Non-adherence</t>
        </is>
      </c>
      <c r="F91" s="34" t="inlineStr">
        <is>
          <t>Unnecessary drug</t>
        </is>
      </c>
      <c r="G91" s="34" t="inlineStr">
        <is>
          <t>Untreated indication</t>
        </is>
      </c>
      <c r="H91" s="34" t="inlineStr">
        <is>
          <t>Improper drug selection</t>
        </is>
      </c>
      <c r="I91" s="33" t="n">
        <v>1</v>
      </c>
      <c r="J91" s="34"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Tablet Manufacturing</t>
        </is>
      </c>
      <c r="M91" s="35" t="inlineStr">
        <is>
          <t>Product</t>
        </is>
      </c>
      <c r="N91" s="34" t="inlineStr">
        <is>
          <t>ข้อ 21 (PLE_CC1_2561_Key.md)</t>
        </is>
      </c>
      <c r="O91" s="35" t="inlineStr">
        <is>
          <t>ข้อสอบจริง</t>
        </is>
      </c>
      <c r="P91" s="35" t="inlineStr">
        <is>
          <t>ปี 2561</t>
        </is>
      </c>
      <c r="Q91" s="2" t="n"/>
    </row>
    <row r="92" ht="13.2" customHeight="1" s="49">
      <c r="A92" s="33" t="n">
        <v>90</v>
      </c>
      <c r="B92" s="34" t="inlineStr">
        <is>
          <t>ผูป%วยไปซื้อยา diclofenac tablet มาจากรานขายของชำ รานชำ สามารถขายยาชนิดนี้ไดหรือไม!</t>
        </is>
      </c>
      <c r="C92" s="35" t="n"/>
      <c r="D92" s="34" t="inlineStr">
        <is>
          <t>ขายไดเพราะเปEนยาแผนปtจจุบันบรรจุเสร็จ</t>
        </is>
      </c>
      <c r="E92" s="34" t="inlineStr">
        <is>
          <t>[NEED_REVIEW]</t>
        </is>
      </c>
      <c r="F92" s="34" t="inlineStr">
        <is>
          <t>ขายไดเพราะยานี้ไม!จำเปEนตองขายโดยเภสัช</t>
        </is>
      </c>
      <c r="G92" s="34" t="inlineStr">
        <is>
          <t>ขายไม!ไดในรานชำ เพราะเปEนยาอันตราย</t>
        </is>
      </c>
      <c r="H92" s="34" t="inlineStr">
        <is>
          <t>ขายไม!ไดในรานชำ เพราะเปEนยาควบคุมพิเศษ e</t>
        </is>
      </c>
      <c r="I92" s="33" t="n">
        <v>1</v>
      </c>
      <c r="J92" s="34"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Tablet Manufacturing</t>
        </is>
      </c>
      <c r="M92" s="35" t="inlineStr">
        <is>
          <t>Product</t>
        </is>
      </c>
      <c r="N92" s="34" t="inlineStr">
        <is>
          <t>ข้อ 20 (PLE_CC1_2561_Key.md)</t>
        </is>
      </c>
      <c r="O92" s="35" t="inlineStr">
        <is>
          <t>ข้อสอบจริง</t>
        </is>
      </c>
      <c r="P92" s="35" t="inlineStr">
        <is>
          <t>ปี 2561</t>
        </is>
      </c>
    </row>
    <row r="93" ht="13.2" customHeight="1" s="49">
      <c r="A93" s="33" t="n">
        <v>91</v>
      </c>
      <c r="B93" s="34" t="inlineStr">
        <is>
          <t>หากต้องการพัฒนาต้ารับยาเม็ด azitromycin เพื่อให้สามารถแตกตัวได้ดี ควรเติมสารเเตกตัวยิ่งยวด superdisintegrant ตัวใด</t>
        </is>
      </c>
      <c r="C93" s="35" t="n"/>
      <c r="D93" s="34" t="inlineStr">
        <is>
          <t>Pegelatinized starch</t>
        </is>
      </c>
      <c r="E93" s="34" t="inlineStr">
        <is>
          <t>Sodium lauryl sulfate</t>
        </is>
      </c>
      <c r="F93" s="34" t="inlineStr">
        <is>
          <t>Sodium croscarmellose</t>
        </is>
      </c>
      <c r="G93" s="34" t="inlineStr">
        <is>
          <t>HPMC</t>
        </is>
      </c>
      <c r="H93" s="34" t="inlineStr">
        <is>
          <t>Direct Compression tableting method</t>
        </is>
      </c>
      <c r="I93" s="33" t="n">
        <v>1</v>
      </c>
      <c r="J93"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Tablet Manufacturing</t>
        </is>
      </c>
      <c r="M93" s="35" t="inlineStr">
        <is>
          <t>Product</t>
        </is>
      </c>
      <c r="N93" s="34" t="inlineStr">
        <is>
          <t>ข้อ 8 (PLE_CC1_2560 22 April Set 1.md)</t>
        </is>
      </c>
      <c r="O93" s="35" t="inlineStr">
        <is>
          <t>ข้อสอบจริง</t>
        </is>
      </c>
      <c r="P93" s="35" t="inlineStr">
        <is>
          <t>ปี 2560</t>
        </is>
      </c>
    </row>
    <row r="94" ht="13.2" customHeight="1" s="49">
      <c r="A94" s="33" t="n">
        <v>92</v>
      </c>
      <c r="B94" s="34" t="inlineStr">
        <is>
          <t>Enalapril tablet 10 mg ต้องท้า Direct compression เหตุผลข้อใด เป็นเหตุผลส้าคัญที่ต้องท้าแบบนี</t>
        </is>
      </c>
      <c r="C94" s="35" t="n"/>
      <c r="D94" s="34" t="inlineStr">
        <is>
          <t>ยาทนความชื นได้</t>
        </is>
      </c>
      <c r="E94" s="34" t="inlineStr">
        <is>
          <t>ยาไม่ทนความร้อนสูง</t>
        </is>
      </c>
      <c r="F94" s="34" t="inlineStr">
        <is>
          <t>ยาน้อยท้าให้ผสมเข้ากันได้</t>
        </is>
      </c>
      <c r="G94" s="34" t="inlineStr">
        <is>
          <t>ยาผสมเข้ากับ excipient ในต้ารับได้ง่าย</t>
        </is>
      </c>
      <c r="H94" s="34" t="inlineStr">
        <is>
          <t>ใช้ Roller compactor ในการท้า wet granulation</t>
        </is>
      </c>
      <c r="I94" s="33" t="n">
        <v>1</v>
      </c>
      <c r="J94" s="34"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Tablet Manufacturing</t>
        </is>
      </c>
      <c r="M94" s="35" t="inlineStr">
        <is>
          <t>Product</t>
        </is>
      </c>
      <c r="N94" s="34" t="inlineStr">
        <is>
          <t>ข้อ 7 (PLE_CC1_2560 22 April Set 1.md)</t>
        </is>
      </c>
      <c r="O94" s="35" t="inlineStr">
        <is>
          <t>ข้อสอบจริง</t>
        </is>
      </c>
      <c r="P94" s="35" t="inlineStr">
        <is>
          <t>ปี 2560</t>
        </is>
      </c>
    </row>
    <row r="95" ht="13.2" customHeight="1" s="49">
      <c r="A95" s="33" t="n">
        <v>93</v>
      </c>
      <c r="B95" s="34" t="inlineStr">
        <is>
          <t>ยาเม็ดเคลือบฟิลม์ ผลิตแล้วพบว่าเม็ดยาติดกัน มีวิธีแก้ไขอย่างไร</t>
        </is>
      </c>
      <c r="C95" s="35" t="n"/>
      <c r="D95" s="34" t="inlineStr">
        <is>
          <t>ลดความเข้มข้นของสารเคลือบ</t>
        </is>
      </c>
      <c r="E95" s="34" t="inlineStr">
        <is>
          <t>เพิ่มความร้อนของลมที่เข้าเครื่อง</t>
        </is>
      </c>
      <c r="F95" s="34" t="inlineStr">
        <is>
          <t>เพิ่มอัตราการไหลของสารเคลือบผ่านหัวสเปรย์</t>
        </is>
      </c>
      <c r="G95" s="34" t="inlineStr">
        <is>
          <t>ลดความเร็วของการหมุนถังเคลือบ</t>
        </is>
      </c>
      <c r="H95" s="34" t="inlineStr">
        <is>
          <t>เพิ่มความดันของสเปรย์</t>
        </is>
      </c>
      <c r="I95" s="33" t="n">
        <v>1</v>
      </c>
      <c r="J95" s="34"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Tablet Manufacturing</t>
        </is>
      </c>
      <c r="M95" s="35" t="inlineStr">
        <is>
          <t>Product</t>
        </is>
      </c>
      <c r="N95" s="34" t="inlineStr">
        <is>
          <t>ข้อ 7 (PLE_CC1_2560 22 April Set 1.md)</t>
        </is>
      </c>
      <c r="O95" s="35" t="inlineStr">
        <is>
          <t>ข้อสอบจริง</t>
        </is>
      </c>
      <c r="P95" s="35" t="inlineStr">
        <is>
          <t>ปี 2560</t>
        </is>
      </c>
    </row>
    <row r="96" ht="13.2" customHeight="1" s="49">
      <c r="A96" s="33" t="n">
        <v>94</v>
      </c>
      <c r="B96" s="34" t="inlineStr">
        <is>
          <t>เครื่องมือที่ใช้ในการผสม Magnesium stearate กับ Granule</t>
        </is>
      </c>
      <c r="C96" s="35" t="n"/>
      <c r="D96" s="34" t="inlineStr">
        <is>
          <t>Double cone mixer</t>
        </is>
      </c>
      <c r="E96" s="34" t="inlineStr">
        <is>
          <t>Planetary mixer</t>
        </is>
      </c>
      <c r="F96" s="34" t="inlineStr">
        <is>
          <t>Ribbon mixer</t>
        </is>
      </c>
      <c r="G96" s="34" t="inlineStr">
        <is>
          <t>Sigma blade mixer</t>
        </is>
      </c>
      <c r="H96" s="34" t="inlineStr">
        <is>
          <t>High speed mixer</t>
        </is>
      </c>
      <c r="I96" s="33" t="n">
        <v>1</v>
      </c>
      <c r="J96" s="34"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Powders &amp; Granules</t>
        </is>
      </c>
      <c r="M96" s="35" t="inlineStr">
        <is>
          <t>Product</t>
        </is>
      </c>
      <c r="N96" s="34" t="inlineStr">
        <is>
          <t>ข้อ 7 (PLE_CC1_2560 22 April Set 1.md)</t>
        </is>
      </c>
      <c r="O96" s="35" t="inlineStr">
        <is>
          <t>ข้อสอบจริง</t>
        </is>
      </c>
      <c r="P96" s="35" t="inlineStr">
        <is>
          <t>ปี 2560</t>
        </is>
      </c>
    </row>
    <row r="97" ht="13.2" customHeight="1" s="49">
      <c r="A97" s="33" t="n">
        <v>95</v>
      </c>
      <c r="B97" s="34" t="inlineStr">
        <is>
          <t>สารใดเป็น Superdisintegrant</t>
        </is>
      </c>
      <c r="C97" s="35" t="n"/>
      <c r="D97" s="34" t="inlineStr">
        <is>
          <t>Pegelatinized starch</t>
        </is>
      </c>
      <c r="E97" s="34" t="inlineStr">
        <is>
          <t>Sodium lauryl sulfate</t>
        </is>
      </c>
      <c r="F97" s="34" t="inlineStr">
        <is>
          <t>Sodium croscarmellose</t>
        </is>
      </c>
      <c r="G97" s="34" t="inlineStr">
        <is>
          <t>HPMC 9 MCQ11 2/2560 By CU Rx73 MCQ11 2/2560 By CU Rx73</t>
        </is>
      </c>
      <c r="H97" s="34" t="inlineStr">
        <is>
          <t>Wet Granulation tableting method</t>
        </is>
      </c>
      <c r="I97" s="33" t="n">
        <v>1</v>
      </c>
      <c r="J97" s="34"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Tablet Manufacturing</t>
        </is>
      </c>
      <c r="M97" s="35" t="inlineStr">
        <is>
          <t>Product</t>
        </is>
      </c>
      <c r="N97" s="34" t="inlineStr">
        <is>
          <t>ข้อ 8 (PLE_CC1_2560 22 April Set 2.md)</t>
        </is>
      </c>
      <c r="O97" s="35" t="inlineStr">
        <is>
          <t>ข้อสอบจริง</t>
        </is>
      </c>
      <c r="P97" s="35" t="inlineStr">
        <is>
          <t>ปี 2560</t>
        </is>
      </c>
    </row>
    <row r="98" ht="13.2" customHeight="1" s="49">
      <c r="A98" s="35" t="n">
        <v>96</v>
      </c>
      <c r="B98" s="34" t="inlineStr">
        <is>
          <t>ปัจจัยใดไม่เกี่ยวข้องกับปัญหาปริมาณยาในยาเม็ดไม่สม ่าเสมอ</t>
        </is>
      </c>
      <c r="C98" s="35" t="n"/>
      <c r="D98" s="34" t="inlineStr">
        <is>
          <t>มุมทรงตัว</t>
        </is>
      </c>
      <c r="E98" s="34" t="inlineStr">
        <is>
          <t>ความพรุน</t>
        </is>
      </c>
      <c r="F98" s="34" t="inlineStr">
        <is>
          <t>Compressibility</t>
        </is>
      </c>
      <c r="G98" s="34" t="inlineStr">
        <is>
          <t>Fluidized Bed Granulation</t>
        </is>
      </c>
      <c r="H98" s="34"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35" t="n">
        <v>1</v>
      </c>
      <c r="J98" s="34"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Tablet Manufacturing</t>
        </is>
      </c>
      <c r="M98" s="35" t="inlineStr">
        <is>
          <t>Product</t>
        </is>
      </c>
      <c r="N98" s="34" t="inlineStr">
        <is>
          <t>ข้อ 9 (PLE_CC1_2560 22 April Set 2.md)</t>
        </is>
      </c>
      <c r="O98" s="35" t="inlineStr">
        <is>
          <t>ข้อสอบจริง</t>
        </is>
      </c>
      <c r="P98" s="35" t="inlineStr">
        <is>
          <t>ปี 2560</t>
        </is>
      </c>
    </row>
    <row r="99" ht="13.2" customHeight="1" s="49">
      <c r="A99" s="35" t="n">
        <v>97</v>
      </c>
      <c r="B99" s="34" t="inlineStr">
        <is>
          <t>ยาเม็ด ferrous sulfate 100 mg จะได้ ferrous 20 mg หากต้องการให้ ferrous ผู้ป่วย 60 mg ต้องใช้กี่เม็ด</t>
        </is>
      </c>
      <c r="C99" s="35" t="n"/>
      <c r="D99" s="34" t="inlineStr">
        <is>
          <t>1 เม็ด</t>
        </is>
      </c>
      <c r="E99" s="34" t="inlineStr">
        <is>
          <t>2 เม็ด</t>
        </is>
      </c>
      <c r="F99" s="34" t="inlineStr">
        <is>
          <t>3 เม็ด</t>
        </is>
      </c>
      <c r="G99" s="34" t="inlineStr">
        <is>
          <t>4 เม็ด</t>
        </is>
      </c>
      <c r="H99" s="34" t="inlineStr">
        <is>
          <t>5 เม็ด</t>
        </is>
      </c>
      <c r="I99" s="35" t="n">
        <v>1</v>
      </c>
      <c r="J99" s="34"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Tablet Manufacturing</t>
        </is>
      </c>
      <c r="M99" s="35" t="inlineStr">
        <is>
          <t>Product</t>
        </is>
      </c>
      <c r="N99" s="34" t="inlineStr">
        <is>
          <t>ข้อ 82 (PLE_CC1_2559.md)</t>
        </is>
      </c>
      <c r="O99" s="35" t="inlineStr">
        <is>
          <t>ข้อสอบจริง</t>
        </is>
      </c>
      <c r="P99" s="35" t="inlineStr">
        <is>
          <t>ปี 2559</t>
        </is>
      </c>
    </row>
    <row r="100" ht="13.2" customHeight="1" s="49">
      <c r="A100" s="35" t="n">
        <v>98</v>
      </c>
      <c r="B100" s="34" t="inlineStr">
        <is>
          <t>จากสูตรตำรับนี้ Rx. AAA 300 mg Lactose 500 mg Corn starch 10% ถ้าตำรับยาเม็ดที่ได้แตกตัวไม่ดีจะแก้ไขอย่างไร</t>
        </is>
      </c>
      <c r="C100" s="35" t="n"/>
      <c r="D100" s="34" t="inlineStr">
        <is>
          <t>เปลี่ยน lactose เป็น sodium starch glycolate</t>
        </is>
      </c>
      <c r="E100" s="34" t="inlineStr">
        <is>
          <t>เปลี่ยน lactose เป็น cross carmellose Na</t>
        </is>
      </c>
      <c r="F100" s="34" t="inlineStr">
        <is>
          <t>เปลี่ยน corn starch เป็น sodium starch glycolate</t>
        </is>
      </c>
      <c r="G100" s="34" t="inlineStr">
        <is>
          <t>เปลี่ยน corn starch เป็น cross carmellose Na</t>
        </is>
      </c>
      <c r="H100" s="34" t="inlineStr">
        <is>
          <t>เปลี่ยน corn starch เป็น PVP</t>
        </is>
      </c>
      <c r="I100" s="35" t="n">
        <v>1</v>
      </c>
      <c r="J100" s="34"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Tablet Manufacturing</t>
        </is>
      </c>
      <c r="M100" s="35" t="inlineStr">
        <is>
          <t>Product</t>
        </is>
      </c>
      <c r="N100" s="34" t="inlineStr">
        <is>
          <t>ข้อ 9 (PLE_CC1_2558_Key.md)</t>
        </is>
      </c>
      <c r="O100" s="35" t="inlineStr">
        <is>
          <t>ข้อสอบจริง</t>
        </is>
      </c>
      <c r="P100" s="35" t="inlineStr">
        <is>
          <t>ปี 2558</t>
        </is>
      </c>
    </row>
    <row r="101" ht="13.2" customHeight="1" s="49">
      <c r="A101" s="35" t="n">
        <v>99</v>
      </c>
      <c r="B101" s="34" t="inlineStr">
        <is>
          <t>Furosemide tablet</t>
        </is>
      </c>
      <c r="C101" s="35" t="n"/>
      <c r="D101" s="34" t="inlineStr">
        <is>
          <t>Magnesium stearate (Lubricant 1%)</t>
        </is>
      </c>
      <c r="E101" s="34" t="inlineStr">
        <is>
          <t>Sodium starch glycolate (Superdisintegrant)</t>
        </is>
      </c>
      <c r="F101" s="34" t="inlineStr">
        <is>
          <t>Direct Compression tableting method</t>
        </is>
      </c>
      <c r="G101" s="34" t="inlineStr">
        <is>
          <t>Wet Granulation tableting method</t>
        </is>
      </c>
      <c r="H101" s="34" t="inlineStr">
        <is>
          <t>Dry Granulation (Roller Compaction)</t>
        </is>
      </c>
      <c r="I101" s="35" t="n">
        <v>1</v>
      </c>
      <c r="J101"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Tablet Manufacturing</t>
        </is>
      </c>
      <c r="M101" s="35" t="inlineStr">
        <is>
          <t>Product</t>
        </is>
      </c>
      <c r="N101" s="34" t="inlineStr">
        <is>
          <t>ข้อ 1 (PLE_CC1_2558_Key.md)</t>
        </is>
      </c>
      <c r="O101" s="35" t="inlineStr">
        <is>
          <t>ข้อสอบจริง</t>
        </is>
      </c>
      <c r="P101" s="35" t="inlineStr">
        <is>
          <t>ปี 2558</t>
        </is>
      </c>
    </row>
    <row r="102" ht="13.2" customHeight="1" s="49">
      <c r="A102" s="35" t="n">
        <v>100</v>
      </c>
      <c r="B102" s="34" t="inlineStr">
        <is>
          <t>Enalapril tablet</t>
        </is>
      </c>
      <c r="C102" s="35" t="n"/>
      <c r="D102" s="34" t="inlineStr">
        <is>
          <t>Wet Granulation tableting method</t>
        </is>
      </c>
      <c r="E102" s="34" t="inlineStr">
        <is>
          <t>Dry Granulation (Roller Compaction)</t>
        </is>
      </c>
      <c r="F102" s="34" t="inlineStr">
        <is>
          <t>Fluidized Bed Granulation</t>
        </is>
      </c>
      <c r="G102" s="34" t="inlineStr">
        <is>
          <t>Film Coating with Hydroxypropyl methylcellulose (HPMC)</t>
        </is>
      </c>
      <c r="H102" s="34" t="inlineStr">
        <is>
          <t>Enteric Coating with Cellulose acetate phthalate (CAP)</t>
        </is>
      </c>
      <c r="I102" s="35" t="n">
        <v>1</v>
      </c>
      <c r="J102"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Tablet Manufacturing</t>
        </is>
      </c>
      <c r="M102" s="35" t="inlineStr">
        <is>
          <t>Product</t>
        </is>
      </c>
      <c r="N102" s="34" t="inlineStr">
        <is>
          <t>ข้อ 2 (PLE_CC1_2558_Key.md)</t>
        </is>
      </c>
      <c r="O102" s="35" t="inlineStr">
        <is>
          <t>ข้อสอบจริง</t>
        </is>
      </c>
      <c r="P102" s="35" t="inlineStr">
        <is>
          <t>ปี 2558</t>
        </is>
      </c>
    </row>
    <row r="103" ht="13.2" customHeight="1" s="49">
      <c r="A103" s="35" t="n">
        <v>101</v>
      </c>
      <c r="B103" s="34" t="inlineStr">
        <is>
          <t>ทำไมถึงต้องควบคุมคุณภาพ enalaprilat ใน enalapril tablet</t>
        </is>
      </c>
      <c r="C103" s="35" t="n"/>
      <c r="D103" s="34" t="inlineStr">
        <is>
          <t>เป็นสารออกฤทธิ์ร่วมของ enalapril</t>
        </is>
      </c>
      <c r="E103" s="34" t="inlineStr">
        <is>
          <t>เป็น related substance ของ enalapril</t>
        </is>
      </c>
      <c r="F103" s="34" t="inlineStr">
        <is>
          <t>เป็น prodrug ของ enalapril</t>
        </is>
      </c>
      <c r="G103" s="34" t="inlineStr">
        <is>
          <t>ยับยั้งการทำลาย enalapril</t>
        </is>
      </c>
      <c r="H103" s="34" t="inlineStr">
        <is>
          <t>เป็น inactive metabolite</t>
        </is>
      </c>
      <c r="I103" s="35" t="n">
        <v>1</v>
      </c>
      <c r="J103" s="34"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Tablet Manufacturing</t>
        </is>
      </c>
      <c r="M103" s="35" t="inlineStr">
        <is>
          <t>Product</t>
        </is>
      </c>
      <c r="N103" s="34" t="inlineStr">
        <is>
          <t>ข้อ 58 (PLE_CC1_2558_Key.md)</t>
        </is>
      </c>
      <c r="O103" s="35" t="inlineStr">
        <is>
          <t>ข้อสอบจริง</t>
        </is>
      </c>
      <c r="P103" s="35" t="inlineStr">
        <is>
          <t>ปี 2558</t>
        </is>
      </c>
    </row>
    <row r="104" ht="13.2" customHeight="1" s="49">
      <c r="A104" s="35" t="n">
        <v>102</v>
      </c>
      <c r="B104" s="34"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35" t="n"/>
      <c r="D104" s="34" t="inlineStr">
        <is>
          <t>ประวัติตั้งครรภ์</t>
        </is>
      </c>
      <c r="E104" s="34" t="inlineStr">
        <is>
          <t>ประวัติครอบครัวเป็นโรคมะเร็งลำไส้</t>
        </is>
      </c>
      <c r="F104" s="34" t="inlineStr">
        <is>
          <t>รับประทาน FBC</t>
        </is>
      </c>
      <c r="G104" s="34" t="inlineStr">
        <is>
          <t>รับประทาน Calcium Tablet</t>
        </is>
      </c>
      <c r="H104" s="34" t="inlineStr">
        <is>
          <t>ไม่มีข้อใดถูก</t>
        </is>
      </c>
      <c r="I104" s="35" t="n">
        <v>1</v>
      </c>
      <c r="J104" s="34"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Tablet Manufacturing</t>
        </is>
      </c>
      <c r="M104" s="35" t="inlineStr">
        <is>
          <t>Product</t>
        </is>
      </c>
      <c r="N104" s="34" t="inlineStr">
        <is>
          <t>ข้อ 23 (Pharmtutor_2024_Set1.md)</t>
        </is>
      </c>
      <c r="O104" s="35" t="inlineStr">
        <is>
          <t>Mock</t>
        </is>
      </c>
      <c r="P104" s="35" t="inlineStr">
        <is>
          <t>Mock Pharmtutor 2024</t>
        </is>
      </c>
    </row>
    <row r="105" ht="13.2" customHeight="1" s="49">
      <c r="A105" s="35" t="n">
        <v>103</v>
      </c>
      <c r="B105" s="34" t="inlineStr">
        <is>
          <t>เมื่อนำไปทดสอบ disintegration test พบว่าไม่ผ่าน ควรเติมสารในตำรับเพิ่ม</t>
        </is>
      </c>
      <c r="C105" s="35" t="n"/>
      <c r="D105" s="34" t="inlineStr">
        <is>
          <t>Calcium hydrogen phosphate (anhydrous)</t>
        </is>
      </c>
      <c r="E105" s="34" t="inlineStr">
        <is>
          <t>Microcrystalline cellulose</t>
        </is>
      </c>
      <c r="F105" s="34" t="inlineStr">
        <is>
          <t>Croscarmellose sodium</t>
        </is>
      </c>
      <c r="G105" s="34" t="inlineStr">
        <is>
          <t>Hypromellose</t>
        </is>
      </c>
      <c r="H105" s="34" t="inlineStr">
        <is>
          <t>Magnesium stearate</t>
        </is>
      </c>
      <c r="I105" s="35" t="n">
        <v>1</v>
      </c>
      <c r="J105" s="34"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Tablet Manufacturing</t>
        </is>
      </c>
      <c r="M105" s="35" t="inlineStr">
        <is>
          <t>Product</t>
        </is>
      </c>
      <c r="N105" s="34" t="inlineStr">
        <is>
          <t>ข้อ 104 (Pharmtutor_2024_Set1.md)</t>
        </is>
      </c>
      <c r="O105" s="35" t="inlineStr">
        <is>
          <t>Mock</t>
        </is>
      </c>
      <c r="P105" s="35" t="inlineStr">
        <is>
          <t>Mock Pharmtutor 2024</t>
        </is>
      </c>
    </row>
    <row r="106" ht="13.2" customHeight="1" s="49">
      <c r="A106" s="35" t="n">
        <v>104</v>
      </c>
      <c r="B106" s="34"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35" t="n"/>
      <c r="D106" s="34" t="inlineStr">
        <is>
          <t>มาตรา 72</t>
        </is>
      </c>
      <c r="E106" s="34" t="inlineStr">
        <is>
          <t>มาตรา 72 ทวิ</t>
        </is>
      </c>
      <c r="F106" s="34" t="inlineStr">
        <is>
          <t>มาตรา 73</t>
        </is>
      </c>
      <c r="G106" s="34" t="inlineStr">
        <is>
          <t>มาตรา 74</t>
        </is>
      </c>
      <c r="H106" s="34" t="inlineStr">
        <is>
          <t>มาตรา 75 ทวิ</t>
        </is>
      </c>
      <c r="I106" s="35" t="n">
        <v>1</v>
      </c>
      <c r="J106" s="34"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Tablet Manufacturing</t>
        </is>
      </c>
      <c r="M106" s="35" t="inlineStr">
        <is>
          <t>Product</t>
        </is>
      </c>
      <c r="N106" s="34" t="inlineStr">
        <is>
          <t>ข้อ 112 (Pharmtutor_2024_Set1.md)</t>
        </is>
      </c>
      <c r="O106" s="35" t="inlineStr">
        <is>
          <t>Mock</t>
        </is>
      </c>
      <c r="P106" s="35" t="inlineStr">
        <is>
          <t>Mock Pharmtutor 2024</t>
        </is>
      </c>
    </row>
    <row r="107" ht="13.2" customHeight="1" s="49">
      <c r="A107" s="35" t="n">
        <v>105</v>
      </c>
      <c r="B107" s="34" t="inlineStr">
        <is>
          <t>ระหว่างกระบวนการผลิตพบว่าน้ำหนักยาเม็ดไม่สม่ำเสมอ ควรปรับปรุงโดยการเพิ่มสารใดในตำรับ</t>
        </is>
      </c>
      <c r="C107" s="35" t="n"/>
      <c r="D107" s="34" t="inlineStr">
        <is>
          <t>Copovidone</t>
        </is>
      </c>
      <c r="E107" s="34" t="inlineStr">
        <is>
          <t>Sorbitan laurate</t>
        </is>
      </c>
      <c r="F107" s="34" t="inlineStr">
        <is>
          <t>Colloidal anhydrous sillca</t>
        </is>
      </c>
      <c r="G107" s="34" t="inlineStr">
        <is>
          <t>Sodium stearyl fumarate</t>
        </is>
      </c>
      <c r="H107" s="34" t="inlineStr">
        <is>
          <t>ไม่มีข้อถูก</t>
        </is>
      </c>
      <c r="I107" s="35" t="n">
        <v>1</v>
      </c>
      <c r="J107" s="34"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Tablet Manufacturing</t>
        </is>
      </c>
      <c r="M107" s="35" t="inlineStr">
        <is>
          <t>Product</t>
        </is>
      </c>
      <c r="N107" s="34" t="inlineStr">
        <is>
          <t>ข้อ 99 (Pharmtutor_2024_Set2.md)</t>
        </is>
      </c>
      <c r="O107" s="35" t="inlineStr">
        <is>
          <t>Mock</t>
        </is>
      </c>
      <c r="P107" s="35" t="inlineStr">
        <is>
          <t>Mock Pharmtutor 2024</t>
        </is>
      </c>
    </row>
    <row r="108" ht="13.2" customHeight="1" s="49">
      <c r="A108" s="35" t="n">
        <v>106</v>
      </c>
      <c r="B108" s="34"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35" t="n"/>
      <c r="D108" s="34" t="inlineStr">
        <is>
          <t>Microcrystalline cellulose</t>
        </is>
      </c>
      <c r="E108" s="34" t="inlineStr">
        <is>
          <t>Magnesium stearate (Lubricant 1%)</t>
        </is>
      </c>
      <c r="F108" s="34" t="inlineStr">
        <is>
          <t>Sodium starch glycolate (Superdisintegrant)</t>
        </is>
      </c>
      <c r="G108" s="34" t="inlineStr">
        <is>
          <t>Direct Compression tableting method</t>
        </is>
      </c>
      <c r="H108" s="34" t="inlineStr">
        <is>
          <t>Wet Granulation tableting method</t>
        </is>
      </c>
      <c r="I108" s="35" t="n">
        <v>1</v>
      </c>
      <c r="J108" s="34"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Tablet Manufacturing</t>
        </is>
      </c>
      <c r="M108" s="35" t="inlineStr">
        <is>
          <t>Product</t>
        </is>
      </c>
      <c r="N108" s="34" t="inlineStr">
        <is>
          <t>ข้อ 38 (PLE_CC1_2557.md)</t>
        </is>
      </c>
      <c r="O108" s="35" t="inlineStr">
        <is>
          <t>ข้อสอบจริง</t>
        </is>
      </c>
      <c r="P108" s="35" t="inlineStr">
        <is>
          <t>ปี 2557</t>
        </is>
      </c>
    </row>
    <row r="109" ht="13.2" customHeight="1" s="49">
      <c r="A109" s="35" t="n">
        <v>107</v>
      </c>
      <c r="B109" s="34" t="inlineStr">
        <is>
          <t>ในการพัฒนาสูตรตำรับ Pyrazinamide tablet พบว่าตัวยา pyrazinamide สามารถละลายนํ%าได้น้อย ควรเติมสารใด เพื_x001E_อเพิ_x001E_มการละลาย (1) Sodium starch glycolate (2) Croscarmellose sodium (3) Colloidal silicon dioxide (4) Magnesium stearate (5) Sodium lauryl sulfate</t>
        </is>
      </c>
      <c r="C109" s="35" t="n"/>
      <c r="D109" s="34" t="inlineStr">
        <is>
          <t>Direct Compression tableting method</t>
        </is>
      </c>
      <c r="E109" s="34" t="inlineStr">
        <is>
          <t>Wet Granulation tableting method</t>
        </is>
      </c>
      <c r="F109" s="34" t="inlineStr">
        <is>
          <t>Dry Granulation (Roller Compaction)</t>
        </is>
      </c>
      <c r="G109" s="34" t="inlineStr">
        <is>
          <t>Fluidized Bed Granulation</t>
        </is>
      </c>
      <c r="H109" s="34" t="inlineStr">
        <is>
          <t>Film Coating with Hydroxypropyl methylcellulose (HPMC)</t>
        </is>
      </c>
      <c r="I109" s="35" t="n">
        <v>1</v>
      </c>
      <c r="J109"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Tablet Manufacturing</t>
        </is>
      </c>
      <c r="M109" s="35" t="inlineStr">
        <is>
          <t>Product</t>
        </is>
      </c>
      <c r="N109" s="34" t="inlineStr">
        <is>
          <t>ข้อ 22 (PLE_CC1_2557.md)</t>
        </is>
      </c>
      <c r="O109" s="35" t="inlineStr">
        <is>
          <t>ข้อสอบจริง</t>
        </is>
      </c>
      <c r="P109" s="35" t="inlineStr">
        <is>
          <t>ปี 2557</t>
        </is>
      </c>
    </row>
    <row r="110" ht="13.2" customHeight="1" s="49">
      <c r="A110" s="35" t="n">
        <v>108</v>
      </c>
      <c r="B110" s="34" t="inlineStr">
        <is>
          <t>คำแนะนำเมื_x001E_อเกิดอาการไม่พึงประสงค์จากยาเม็ดคุมกำเนิด ข้อใดต่อไปนี%ถูกต้อง (1) เกิดเลือดออกกระปริดกระปรอยในช่วงครึ_x0003_งแรกของ รอบเดือน เกิดจากการมีปริมาณ estrogen สูงเกินไป ให้ลดขนาด estrogen (2) เกิดเลือดออกกระปริดกระปรอยในช่วงครึ_x0003_งแรกของ รอบเดือน เกิดจากการมีปริมาณ estrogen ตํ_x0003_าเกินไป ให้เพิ_x0003_มขนาด estrogen (3) เกิดเลือดออกกระปริดกระปรอยในช่วงครึ_x0003_งแรกของ รอบเดือน เกิดจากการมีปริมาณ progestin ตํ_x0003_าเกินไป ให้เพิ_x0003_มขนาด progestin (4) เกิดเลือดออกกระปริดกระปรอยในช่วงครึ_x0003_งแรกของ รอบเดือน เกิดจากการมีปริมาณ progestin สูงเกินไป ให้ลดขนาด progestin (5) เกิดเลือดออกกระปริดกระปรอยในช่วงครึ_x0003_งหลังของ รอบเดือน เกิดจากการมีปริมาณ progestin สูงเกินไป ให้ลดขนาด progestin</t>
        </is>
      </c>
      <c r="C110" s="35" t="n"/>
      <c r="D110" s="34" t="inlineStr">
        <is>
          <t>Fluidized Bed Granulation</t>
        </is>
      </c>
      <c r="E110" s="34" t="inlineStr">
        <is>
          <t>Film Coating with Hydroxypropyl methylcellulose (HPMC)</t>
        </is>
      </c>
      <c r="F110" s="34" t="inlineStr">
        <is>
          <t>Enteric Coating with Cellulose acetate phthalate (CAP)</t>
        </is>
      </c>
      <c r="G110" s="34" t="inlineStr">
        <is>
          <t>Hard Gelatin Capsule filling</t>
        </is>
      </c>
      <c r="H110" s="34" t="inlineStr">
        <is>
          <t>Soft Gelatin Capsule encapsulation</t>
        </is>
      </c>
      <c r="I110" s="35" t="n">
        <v>1</v>
      </c>
      <c r="J110"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Tablet Manufacturing</t>
        </is>
      </c>
      <c r="M110" s="35" t="inlineStr">
        <is>
          <t>Product</t>
        </is>
      </c>
      <c r="N110" s="34" t="inlineStr">
        <is>
          <t>ข้อ 39 (PLE_CC1_2557.md)</t>
        </is>
      </c>
      <c r="O110" s="35" t="inlineStr">
        <is>
          <t>ข้อสอบจริง</t>
        </is>
      </c>
      <c r="P110" s="35" t="inlineStr">
        <is>
          <t>ปี 2557</t>
        </is>
      </c>
    </row>
    <row r="111" ht="13.2" customHeight="1" s="49">
      <c r="A111" s="35" t="n">
        <v>109</v>
      </c>
      <c r="B111" s="34" t="inlineStr">
        <is>
          <t>ผลิตภัณฑ์แคลเซียมรูปแบบใด ออกฤทธิAเร็วที_x001E_สุด (1) Plain-compressed tablets (2) Chewable tablets (3) Effervescent tablets (4) Enteric-coated tablets (5) Film-coated tablets</t>
        </is>
      </c>
      <c r="C111" s="35" t="n"/>
      <c r="D111" s="34" t="inlineStr">
        <is>
          <t>Hard Gelatin Capsule filling</t>
        </is>
      </c>
      <c r="E111" s="34" t="inlineStr">
        <is>
          <t>Soft Gelatin Capsule encapsulation</t>
        </is>
      </c>
      <c r="F111" s="34" t="inlineStr">
        <is>
          <t>Microcrystalline cellulose</t>
        </is>
      </c>
      <c r="G111" s="34" t="inlineStr">
        <is>
          <t>Magnesium stearate (Lubricant 1%)</t>
        </is>
      </c>
      <c r="H111" s="34" t="inlineStr">
        <is>
          <t>Sodium starch glycolate (Superdisintegrant)</t>
        </is>
      </c>
      <c r="I111" s="35" t="n">
        <v>1</v>
      </c>
      <c r="J111"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Tablet Coating</t>
        </is>
      </c>
      <c r="M111" s="35" t="inlineStr">
        <is>
          <t>Product</t>
        </is>
      </c>
      <c r="N111" s="34" t="inlineStr">
        <is>
          <t>ข้อ 51 (PLE_CC1_2557.md)</t>
        </is>
      </c>
      <c r="O111" s="35" t="inlineStr">
        <is>
          <t>ข้อสอบจริง</t>
        </is>
      </c>
      <c r="P111" s="35" t="inlineStr">
        <is>
          <t>ปี 2557</t>
        </is>
      </c>
    </row>
    <row r="112" ht="13.2" customHeight="1" s="49">
      <c r="A112" s="35" t="n">
        <v>110</v>
      </c>
      <c r="B112" s="34" t="inlineStr">
        <is>
          <t>ให้สูตรตำรับของ isotretinoin รูปแบบ soft gelatin capsules มา ถามว่า vegetable oil ในตำรับ isotretinoin ทำหน้าที_x001E_อะไร (1) Fillers (2) Co-solvents (3) Antioxidants (4) Disintegrants (5) Binders MCQ 12 | 1/2557 | Page 25</t>
        </is>
      </c>
      <c r="C112" s="35" t="n"/>
      <c r="D112" s="34" t="inlineStr">
        <is>
          <t>Magnesium stearate (Lubricant 1%)</t>
        </is>
      </c>
      <c r="E112" s="34" t="inlineStr">
        <is>
          <t>Sodium starch glycolate (Superdisintegrant)</t>
        </is>
      </c>
      <c r="F112" s="34" t="inlineStr">
        <is>
          <t>Direct Compression tableting method</t>
        </is>
      </c>
      <c r="G112" s="34" t="inlineStr">
        <is>
          <t>Wet Granulation tableting method</t>
        </is>
      </c>
      <c r="H112" s="34" t="inlineStr">
        <is>
          <t>Dry Granulation (Roller Compaction)</t>
        </is>
      </c>
      <c r="I112" s="35" t="n">
        <v>1</v>
      </c>
      <c r="J112"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Hard &amp; Soft Gelatin Capsules</t>
        </is>
      </c>
      <c r="M112" s="35" t="inlineStr">
        <is>
          <t>Product</t>
        </is>
      </c>
      <c r="N112" s="34" t="inlineStr">
        <is>
          <t>ข้อ 73 (PLE_CC1_2557.md)</t>
        </is>
      </c>
      <c r="O112" s="35" t="inlineStr">
        <is>
          <t>ข้อสอบจริง</t>
        </is>
      </c>
      <c r="P112" s="35" t="inlineStr">
        <is>
          <t>ปี 2557</t>
        </is>
      </c>
    </row>
    <row r="113" ht="13.2" customHeight="1" s="49">
      <c r="A113" s="35" t="n">
        <v>111</v>
      </c>
      <c r="B113" s="34"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35" t="n"/>
      <c r="D113" s="34" t="inlineStr">
        <is>
          <t>เชื้ออะไรของ sinusitis ตอบ S.pneumo</t>
        </is>
      </c>
      <c r="E113" s="34" t="inlineStr">
        <is>
          <t>Dry Granulation (Roller Compaction)</t>
        </is>
      </c>
      <c r="F113" s="34" t="inlineStr">
        <is>
          <t>Fluidized Bed Granulation</t>
        </is>
      </c>
      <c r="G113" s="34" t="inlineStr">
        <is>
          <t>Film Coating with Hydroxypropyl methylcellulose (HPMC)</t>
        </is>
      </c>
      <c r="H113" s="34" t="inlineStr">
        <is>
          <t>Enteric Coating with Cellulose acetate phthalate (CAP)</t>
        </is>
      </c>
      <c r="I113" s="35" t="n">
        <v>1</v>
      </c>
      <c r="J113" s="34"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Tablet Manufacturing</t>
        </is>
      </c>
      <c r="M113" s="35" t="inlineStr">
        <is>
          <t>Product</t>
        </is>
      </c>
      <c r="N113" s="34" t="inlineStr">
        <is>
          <t>ข้อ 5 (PLE_CC1_2556.md)</t>
        </is>
      </c>
      <c r="O113" s="35" t="inlineStr">
        <is>
          <t>ข้อสอบจริง</t>
        </is>
      </c>
      <c r="P113" s="35" t="inlineStr">
        <is>
          <t>ปี 2556</t>
        </is>
      </c>
    </row>
    <row r="114" ht="13.2" customHeight="1" s="49">
      <c r="A114" s="35" t="n">
        <v>112</v>
      </c>
      <c r="B114" s="34" t="inlineStr">
        <is>
          <t>ขั้นตอนการผลิตยาเม็ด Ethambutol ในข้อใดมีผลต่อความสม ่าเสมอของตัวยามากที่สุด</t>
        </is>
      </c>
      <c r="C114" s="35" t="n"/>
      <c r="D114" s="34" t="inlineStr">
        <is>
          <t>Mixing</t>
        </is>
      </c>
      <c r="E114" s="34" t="inlineStr">
        <is>
          <t>Drying</t>
        </is>
      </c>
      <c r="F114" s="34" t="inlineStr">
        <is>
          <t>Slugging</t>
        </is>
      </c>
      <c r="G114" s="34" t="inlineStr">
        <is>
          <t>Coating</t>
        </is>
      </c>
      <c r="H114" s="34" t="inlineStr">
        <is>
          <t>Tableting</t>
        </is>
      </c>
      <c r="I114" s="35" t="n">
        <v>1</v>
      </c>
      <c r="J114" s="34"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Tablet Manufacturing</t>
        </is>
      </c>
      <c r="M114" s="35" t="inlineStr">
        <is>
          <t>Product</t>
        </is>
      </c>
      <c r="N114" s="34" t="inlineStr">
        <is>
          <t>ข้อ 29 (PLE_CC1_2555 Day 1.md)</t>
        </is>
      </c>
      <c r="O114" s="35" t="inlineStr">
        <is>
          <t>ข้อสอบจริง</t>
        </is>
      </c>
      <c r="P114" s="35" t="inlineStr">
        <is>
          <t>ปี 2555</t>
        </is>
      </c>
    </row>
    <row r="115" ht="13.2" customHeight="1" s="49">
      <c r="A115" s="35" t="n">
        <v>113</v>
      </c>
      <c r="B115" s="34" t="inlineStr">
        <is>
          <t>ข้อใดไม่ถูกต้องเกี่ยวกับข้อดีของการผลิตยาเม็ดโดยการตอกตรง</t>
        </is>
      </c>
      <c r="C115" s="35" t="n"/>
      <c r="D115" s="34" t="inlineStr">
        <is>
          <t>ใช้เครื่องมือในการผลิตน้อยชนิด</t>
        </is>
      </c>
      <c r="E115" s="34" t="inlineStr">
        <is>
          <t>กรรมวิธีในการผลิตน้อยขั้นตอน</t>
        </is>
      </c>
      <c r="F115" s="34" t="inlineStr">
        <is>
          <t>ผงยาไหลดี ตอกได้</t>
        </is>
      </c>
      <c r="G115" s="34" t="inlineStr">
        <is>
          <t>.............</t>
        </is>
      </c>
      <c r="H115" s="34" t="inlineStr">
        <is>
          <t>การกระจายของสีสม ่าเสมอมากกว่าการเตรียมโดยวิธีแกรนูลเปียก คณะเภสัชศาสตร์</t>
        </is>
      </c>
      <c r="I115" s="35" t="n">
        <v>1</v>
      </c>
      <c r="J115" s="34"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Tablet Manufacturing</t>
        </is>
      </c>
      <c r="M115" s="35" t="inlineStr">
        <is>
          <t>Product</t>
        </is>
      </c>
      <c r="N115" s="34" t="inlineStr">
        <is>
          <t>ข้อ 30 (PLE_CC1_2555 Day 1.md)</t>
        </is>
      </c>
      <c r="O115" s="35" t="inlineStr">
        <is>
          <t>ข้อสอบจริง</t>
        </is>
      </c>
      <c r="P115" s="35" t="inlineStr">
        <is>
          <t>ปี 2555</t>
        </is>
      </c>
    </row>
    <row r="116" ht="13.2" customHeight="1" s="49">
      <c r="A116" s="35" t="n">
        <v>114</v>
      </c>
      <c r="B116" s="34"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35" t="n"/>
      <c r="D116" s="34" t="inlineStr">
        <is>
          <t>ยา A มีการละลายดีกว่ายา B เนื่องจากมี Lactose เพื่อช่วยให้ยาละลายดีขึ้น</t>
        </is>
      </c>
      <c r="E116" s="34" t="inlineStr">
        <is>
          <t>ยา B มีการละลายที่ดีกว่ายา A เนื่องจากมี Sodium lauryl sulfate เพื่อให้ผงยาเปียกได้มากขึ้น</t>
        </is>
      </c>
      <c r="F116" s="34" t="inlineStr">
        <is>
          <t>....................</t>
        </is>
      </c>
      <c r="G116" s="34" t="inlineStr">
        <is>
          <t>..................</t>
        </is>
      </c>
      <c r="H116" s="34" t="inlineStr">
        <is>
          <t>...................</t>
        </is>
      </c>
      <c r="I116" s="35" t="n">
        <v>1</v>
      </c>
      <c r="J116" s="34"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Tablet Manufacturing</t>
        </is>
      </c>
      <c r="M116" s="35" t="inlineStr">
        <is>
          <t>Product</t>
        </is>
      </c>
      <c r="N116" s="34" t="inlineStr">
        <is>
          <t>ข้อ 36 (PLE_CC1_2555 Day 1.md)</t>
        </is>
      </c>
      <c r="O116" s="35" t="inlineStr">
        <is>
          <t>ข้อสอบจริง</t>
        </is>
      </c>
      <c r="P116" s="35" t="inlineStr">
        <is>
          <t>ปี 2555</t>
        </is>
      </c>
    </row>
    <row r="117" ht="13.2" customHeight="1" s="49">
      <c r="A117" s="35" t="n">
        <v>115</v>
      </c>
      <c r="B117" s="34" t="inlineStr">
        <is>
          <t>ข้อใดถูกต้องเกี่ยวกับตำรับยาเม็ด</t>
        </is>
      </c>
      <c r="C117" s="35" t="n"/>
      <c r="D117" s="34" t="inlineStr">
        <is>
          <t>.........</t>
        </is>
      </c>
      <c r="E117" s="34" t="inlineStr">
        <is>
          <t>........</t>
        </is>
      </c>
      <c r="F117" s="34" t="inlineStr">
        <is>
          <t>...........</t>
        </is>
      </c>
      <c r="G117" s="34" t="inlineStr">
        <is>
          <t>.......</t>
        </is>
      </c>
      <c r="H117" s="34" t="inlineStr">
        <is>
          <t>Sodium starch glycolate เป็นสารช่วยแตกตัว มือทั้ง 2 ข้าง</t>
        </is>
      </c>
      <c r="I117" s="35" t="n">
        <v>1</v>
      </c>
      <c r="J117" s="34"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Tablet Manufacturing</t>
        </is>
      </c>
      <c r="M117" s="35" t="inlineStr">
        <is>
          <t>Product</t>
        </is>
      </c>
      <c r="N117" s="34" t="inlineStr">
        <is>
          <t>ข้อ 60 (PLE_CC1_2555 Day 1.md)</t>
        </is>
      </c>
      <c r="O117" s="35" t="inlineStr">
        <is>
          <t>ข้อสอบจริง</t>
        </is>
      </c>
      <c r="P117" s="35" t="inlineStr">
        <is>
          <t>ปี 2555</t>
        </is>
      </c>
    </row>
    <row r="118" ht="13.2" customHeight="1" s="49">
      <c r="A118" s="35" t="n">
        <v>116</v>
      </c>
      <c r="B118" s="34" t="inlineStr">
        <is>
          <t>เปลี่ยนไปใช้ antacid tablet แทน</t>
        </is>
      </c>
      <c r="C118" s="35" t="n"/>
      <c r="D118" s="34" t="inlineStr">
        <is>
          <t>Enteric Coating with Cellulose acetate phthalate (CAP)</t>
        </is>
      </c>
      <c r="E118" s="34" t="inlineStr">
        <is>
          <t>Hard Gelatin Capsule filling</t>
        </is>
      </c>
      <c r="F118" s="34" t="inlineStr">
        <is>
          <t>Soft Gelatin Capsule encapsulation</t>
        </is>
      </c>
      <c r="G118" s="34" t="inlineStr">
        <is>
          <t>Microcrystalline cellulose</t>
        </is>
      </c>
      <c r="H118" s="34" t="inlineStr">
        <is>
          <t>Magnesium stearate (Lubricant 1%)</t>
        </is>
      </c>
      <c r="I118" s="35" t="n">
        <v>1</v>
      </c>
      <c r="J118"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Tablet Manufacturing</t>
        </is>
      </c>
      <c r="M118" s="35" t="inlineStr">
        <is>
          <t>Product</t>
        </is>
      </c>
      <c r="N118" s="34" t="inlineStr">
        <is>
          <t>ข้อ 5 (PLE_CC1_2555 Day 2.md)</t>
        </is>
      </c>
      <c r="O118" s="35" t="inlineStr">
        <is>
          <t>ข้อสอบจริง</t>
        </is>
      </c>
      <c r="P118" s="35" t="inlineStr">
        <is>
          <t>ปี 2555</t>
        </is>
      </c>
    </row>
    <row r="119" ht="13.2" customHeight="1" s="49">
      <c r="A119" s="35" t="n">
        <v>117</v>
      </c>
      <c r="B119" s="34" t="inlineStr">
        <is>
          <t>ยาเม็ดที่มี Estrogen เพียงชนิดเดียว 28 เม็ด</t>
        </is>
      </c>
      <c r="C119" s="35" t="n"/>
      <c r="D119" s="34" t="inlineStr">
        <is>
          <t>Microcrystalline cellulose</t>
        </is>
      </c>
      <c r="E119" s="34" t="inlineStr">
        <is>
          <t>Magnesium stearate (Lubricant 1%)</t>
        </is>
      </c>
      <c r="F119" s="34" t="inlineStr">
        <is>
          <t>Sodium starch glycolate (Superdisintegrant)</t>
        </is>
      </c>
      <c r="G119" s="34" t="inlineStr">
        <is>
          <t>Direct Compression tableting method</t>
        </is>
      </c>
      <c r="H119" s="34" t="inlineStr">
        <is>
          <t>Wet Granulation tableting method</t>
        </is>
      </c>
      <c r="I119" s="35" t="n">
        <v>1</v>
      </c>
      <c r="J119"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Tablet Manufacturing</t>
        </is>
      </c>
      <c r="M119" s="35" t="inlineStr">
        <is>
          <t>Product</t>
        </is>
      </c>
      <c r="N119" s="34" t="inlineStr">
        <is>
          <t>ข้อ 1 (PLE_CC1_2555 Day 2.md)</t>
        </is>
      </c>
      <c r="O119" s="35" t="inlineStr">
        <is>
          <t>ข้อสอบจริง</t>
        </is>
      </c>
      <c r="P119" s="35" t="inlineStr">
        <is>
          <t>ปี 2555</t>
        </is>
      </c>
    </row>
    <row r="120" ht="13.2" customHeight="1" s="49">
      <c r="A120" s="35" t="n">
        <v>118</v>
      </c>
      <c r="B120" s="34" t="inlineStr">
        <is>
          <t>ยาเม็ดที่มี Progesterone เพียงชนิดเดียว 28 เม็ด</t>
        </is>
      </c>
      <c r="C120" s="35" t="n"/>
      <c r="D120" s="34" t="inlineStr">
        <is>
          <t>Direct Compression tableting method</t>
        </is>
      </c>
      <c r="E120" s="34" t="inlineStr">
        <is>
          <t>Wet Granulation tableting method</t>
        </is>
      </c>
      <c r="F120" s="34" t="inlineStr">
        <is>
          <t>Dry Granulation (Roller Compaction)</t>
        </is>
      </c>
      <c r="G120" s="34" t="inlineStr">
        <is>
          <t>Fluidized Bed Granulation</t>
        </is>
      </c>
      <c r="H120" s="34" t="inlineStr">
        <is>
          <t>Film Coating with Hydroxypropyl methylcellulose (HPMC)</t>
        </is>
      </c>
      <c r="I120" s="35" t="n">
        <v>1</v>
      </c>
      <c r="J120"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Tablet Manufacturing</t>
        </is>
      </c>
      <c r="M120" s="35" t="inlineStr">
        <is>
          <t>Product</t>
        </is>
      </c>
      <c r="N120" s="34" t="inlineStr">
        <is>
          <t>ข้อ 2 (PLE_CC1_2555 Day 2.md)</t>
        </is>
      </c>
      <c r="O120" s="35" t="inlineStr">
        <is>
          <t>ข้อสอบจริง</t>
        </is>
      </c>
      <c r="P120" s="35" t="inlineStr">
        <is>
          <t>ปี 2555</t>
        </is>
      </c>
    </row>
    <row r="121" ht="13.2" customHeight="1" s="49">
      <c r="A121" s="35" t="n">
        <v>119</v>
      </c>
      <c r="B121" s="34" t="inlineStr">
        <is>
          <t>ยาเม็ดที่มี Estrogen ชนิดเดียว 14 เม็ด และ Progesterone ชนิดเดียว 14 เม็ด</t>
        </is>
      </c>
      <c r="C121" s="35" t="n"/>
      <c r="D121" s="34" t="inlineStr">
        <is>
          <t>Fluidized Bed Granulation</t>
        </is>
      </c>
      <c r="E121" s="34" t="inlineStr">
        <is>
          <t>Film Coating with Hydroxypropyl methylcellulose (HPMC)</t>
        </is>
      </c>
      <c r="F121" s="34" t="inlineStr">
        <is>
          <t>Enteric Coating with Cellulose acetate phthalate (CAP)</t>
        </is>
      </c>
      <c r="G121" s="34" t="inlineStr">
        <is>
          <t>Hard Gelatin Capsule filling</t>
        </is>
      </c>
      <c r="H121" s="34" t="inlineStr">
        <is>
          <t>Soft Gelatin Capsule encapsulation</t>
        </is>
      </c>
      <c r="I121" s="35" t="n">
        <v>1</v>
      </c>
      <c r="J121"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Tablet Manufacturing</t>
        </is>
      </c>
      <c r="M121" s="35" t="inlineStr">
        <is>
          <t>Product</t>
        </is>
      </c>
      <c r="N121" s="34" t="inlineStr">
        <is>
          <t>ข้อ 3 (PLE_CC1_2555 Day 2.md)</t>
        </is>
      </c>
      <c r="O121" s="35" t="inlineStr">
        <is>
          <t>ข้อสอบจริง</t>
        </is>
      </c>
      <c r="P121" s="35" t="inlineStr">
        <is>
          <t>ปี 2555</t>
        </is>
      </c>
    </row>
    <row r="122" ht="13.2" customHeight="1" s="49">
      <c r="A122" s="35" t="n">
        <v>120</v>
      </c>
      <c r="B122" s="34" t="inlineStr">
        <is>
          <t>ยาเม็ดที่มีทั้ง Estrogen และ Progesterone ทุกเม็ด 28 เม็ด</t>
        </is>
      </c>
      <c r="C122" s="35" t="n"/>
      <c r="D122" s="34" t="inlineStr">
        <is>
          <t>Hard Gelatin Capsule filling</t>
        </is>
      </c>
      <c r="E122" s="34" t="inlineStr">
        <is>
          <t>Soft Gelatin Capsule encapsulation</t>
        </is>
      </c>
      <c r="F122" s="34" t="inlineStr">
        <is>
          <t>Microcrystalline cellulose</t>
        </is>
      </c>
      <c r="G122" s="34" t="inlineStr">
        <is>
          <t>Magnesium stearate (Lubricant 1%)</t>
        </is>
      </c>
      <c r="H122" s="34" t="inlineStr">
        <is>
          <t>Sodium starch glycolate (Superdisintegrant)</t>
        </is>
      </c>
      <c r="I122" s="35" t="n">
        <v>1</v>
      </c>
      <c r="J122"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Tablet Manufacturing</t>
        </is>
      </c>
      <c r="M122" s="35" t="inlineStr">
        <is>
          <t>Product</t>
        </is>
      </c>
      <c r="N122" s="34" t="inlineStr">
        <is>
          <t>ข้อ 4 (PLE_CC1_2555 Day 2.md)</t>
        </is>
      </c>
      <c r="O122" s="35" t="inlineStr">
        <is>
          <t>ข้อสอบจริง</t>
        </is>
      </c>
      <c r="P122" s="35" t="inlineStr">
        <is>
          <t>ปี 2555</t>
        </is>
      </c>
    </row>
    <row r="123" ht="13.2" customHeight="1" s="49">
      <c r="A123" s="35" t="n">
        <v>121</v>
      </c>
      <c r="B123" s="34" t="inlineStr">
        <is>
          <t>ในการทดสอบสูตรตำรับยาเม็ด ข้อใดที่ไม่ได้ระบุไว้ใน USP</t>
        </is>
      </c>
      <c r="C123" s="35" t="n"/>
      <c r="D123" s="34" t="inlineStr">
        <is>
          <t>Magnesium stearate (Lubricant 1%)</t>
        </is>
      </c>
      <c r="E123" s="34" t="inlineStr">
        <is>
          <t>Sodium starch glycolate (Superdisintegrant)</t>
        </is>
      </c>
      <c r="F123" s="34" t="inlineStr">
        <is>
          <t>Direct Compression tableting method</t>
        </is>
      </c>
      <c r="G123" s="34" t="inlineStr">
        <is>
          <t>Wet Granulation tableting method</t>
        </is>
      </c>
      <c r="H123" s="34" t="inlineStr">
        <is>
          <t>Dry Granulation (Roller Compaction)</t>
        </is>
      </c>
      <c r="I123" s="35" t="n">
        <v>1</v>
      </c>
      <c r="J123"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Tablet Manufacturing</t>
        </is>
      </c>
      <c r="M123" s="35" t="inlineStr">
        <is>
          <t>Product</t>
        </is>
      </c>
      <c r="N123" s="34" t="inlineStr">
        <is>
          <t>ข้อ 5 (PLE_CC1_2555 Day 2.md)</t>
        </is>
      </c>
      <c r="O123" s="35" t="inlineStr">
        <is>
          <t>ข้อสอบจริง</t>
        </is>
      </c>
      <c r="P123" s="35" t="inlineStr">
        <is>
          <t>ปี 2555</t>
        </is>
      </c>
    </row>
    <row r="124" ht="13.2" customHeight="1" s="49">
      <c r="A124" s="35" t="n">
        <v>122</v>
      </c>
      <c r="B124" s="34" t="inlineStr">
        <is>
          <t>ให้สูตรตำรับมา 2 ตำรับ ข้อใดถูก สูตร A สูตร B Allopurinol … … … Sodium starch glycolate Magnesium stearate 15% Allopurinol … … … Microcrystalline cellulose Sodium lauryl sulfate Magnesium stearate 5%</t>
        </is>
      </c>
      <c r="C124" s="35" t="n"/>
      <c r="D124" s="34" t="inlineStr">
        <is>
          <t>Wet Granulation tableting method</t>
        </is>
      </c>
      <c r="E124" s="34" t="inlineStr">
        <is>
          <t>Dry Granulation (Roller Compaction)</t>
        </is>
      </c>
      <c r="F124" s="34" t="inlineStr">
        <is>
          <t>Fluidized Bed Granulation</t>
        </is>
      </c>
      <c r="G124" s="34" t="inlineStr">
        <is>
          <t>Film Coating with Hydroxypropyl methylcellulose (HPMC)</t>
        </is>
      </c>
      <c r="H124" s="34" t="inlineStr">
        <is>
          <t>Enteric Coating with Cellulose acetate phthalate (CAP)</t>
        </is>
      </c>
      <c r="I124" s="35" t="n">
        <v>1</v>
      </c>
      <c r="J124"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Tablet Manufacturing</t>
        </is>
      </c>
      <c r="M124" s="35" t="inlineStr">
        <is>
          <t>Product</t>
        </is>
      </c>
      <c r="N124" s="34" t="inlineStr">
        <is>
          <t>ข้อ 8 (PLE_CC1_2555 Day 2.md)</t>
        </is>
      </c>
      <c r="O124" s="35" t="inlineStr">
        <is>
          <t>ข้อสอบจริง</t>
        </is>
      </c>
      <c r="P124" s="35" t="inlineStr">
        <is>
          <t>ปี 2555</t>
        </is>
      </c>
    </row>
    <row r="125" ht="13.2" customHeight="1" s="49">
      <c r="A125" s="35" t="n">
        <v>123</v>
      </c>
      <c r="B125" s="34" t="inlineStr">
        <is>
          <t>magnesium stearate</t>
        </is>
      </c>
      <c r="C125" s="35" t="n"/>
      <c r="D125" s="34" t="inlineStr">
        <is>
          <t>Film Coating with Hydroxypropyl methylcellulose (HPMC)</t>
        </is>
      </c>
      <c r="E125" s="34" t="inlineStr">
        <is>
          <t>Enteric Coating with Cellulose acetate phthalate (CAP)</t>
        </is>
      </c>
      <c r="F125" s="34" t="inlineStr">
        <is>
          <t>Hard Gelatin Capsule filling</t>
        </is>
      </c>
      <c r="G125" s="34" t="inlineStr">
        <is>
          <t>Soft Gelatin Capsule encapsulation</t>
        </is>
      </c>
      <c r="H125" s="34" t="inlineStr">
        <is>
          <t>Microcrystalline cellulose</t>
        </is>
      </c>
      <c r="I125" s="35" t="n">
        <v>1</v>
      </c>
      <c r="J125"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Tablet Manufacturing</t>
        </is>
      </c>
      <c r="M125" s="35" t="inlineStr">
        <is>
          <t>Product</t>
        </is>
      </c>
      <c r="N125" s="34" t="inlineStr">
        <is>
          <t>ข้อ 4 (PLE_CC1_2555 Day 2.md)</t>
        </is>
      </c>
      <c r="O125" s="35" t="inlineStr">
        <is>
          <t>ข้อสอบจริง</t>
        </is>
      </c>
      <c r="P125" s="35" t="inlineStr">
        <is>
          <t>ปี 2555</t>
        </is>
      </c>
    </row>
    <row r="126" ht="13.2" customHeight="1" s="49">
      <c r="A126" s="35" t="n">
        <v>124</v>
      </c>
      <c r="B126" s="34" t="inlineStr">
        <is>
          <t>Magnesium stearate</t>
        </is>
      </c>
      <c r="C126" s="35" t="n"/>
      <c r="D126" s="34" t="inlineStr">
        <is>
          <t>Soft Gelatin Capsule encapsulation</t>
        </is>
      </c>
      <c r="E126" s="34" t="inlineStr">
        <is>
          <t>Microcrystalline cellulose</t>
        </is>
      </c>
      <c r="F126" s="34" t="inlineStr">
        <is>
          <t>Magnesium stearate (Lubricant 1%)</t>
        </is>
      </c>
      <c r="G126" s="34" t="inlineStr">
        <is>
          <t>Sodium starch glycolate (Superdisintegrant)</t>
        </is>
      </c>
      <c r="H126" s="34" t="inlineStr">
        <is>
          <t>Direct Compression tableting method</t>
        </is>
      </c>
      <c r="I126" s="35" t="n">
        <v>1</v>
      </c>
      <c r="J126"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Tablet Manufacturing</t>
        </is>
      </c>
      <c r="M126" s="35" t="inlineStr">
        <is>
          <t>Product</t>
        </is>
      </c>
      <c r="N126" s="34" t="inlineStr">
        <is>
          <t>ข้อ 2 (PLE_CC1_2555 Day 2.md)</t>
        </is>
      </c>
      <c r="O126" s="35" t="inlineStr">
        <is>
          <t>ข้อสอบจริง</t>
        </is>
      </c>
      <c r="P126" s="35" t="inlineStr">
        <is>
          <t>ปี 2555</t>
        </is>
      </c>
    </row>
    <row r="127" ht="13.2" customHeight="1" s="49">
      <c r="A127" s="35" t="n">
        <v>125</v>
      </c>
      <c r="B127" s="34" t="inlineStr">
        <is>
          <t>เท่ากับครึ่งหนึ่งของอายุยาเม็ดที่เหลือ</t>
        </is>
      </c>
      <c r="C127" s="35" t="n"/>
      <c r="D127" s="34" t="inlineStr">
        <is>
          <t>การหาประสิทธิผลของยา เทียบกับราคา เรียกว่าเป็นการศึกษาอะไร</t>
        </is>
      </c>
      <c r="E127" s="34" t="inlineStr">
        <is>
          <t>Direct Compression tableting method</t>
        </is>
      </c>
      <c r="F127" s="34" t="inlineStr">
        <is>
          <t>Wet Granulation tableting method</t>
        </is>
      </c>
      <c r="G127" s="34" t="inlineStr">
        <is>
          <t>Dry Granulation (Roller Compaction)</t>
        </is>
      </c>
      <c r="H127" s="34" t="inlineStr">
        <is>
          <t>Fluidized Bed Granulation</t>
        </is>
      </c>
      <c r="I127" s="35" t="n">
        <v>1</v>
      </c>
      <c r="J127" s="34"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Tablet Manufacturing</t>
        </is>
      </c>
      <c r="M127" s="35" t="inlineStr">
        <is>
          <t>Product</t>
        </is>
      </c>
      <c r="N127" s="34" t="inlineStr">
        <is>
          <t>ข้อ 4 (PLE_CC1_2555 Day 2.md)</t>
        </is>
      </c>
      <c r="O127" s="35" t="inlineStr">
        <is>
          <t>ข้อสอบจริง</t>
        </is>
      </c>
      <c r="P127" s="35" t="inlineStr">
        <is>
          <t>ปี 2555</t>
        </is>
      </c>
    </row>
    <row r="128" ht="13.2" customHeight="1" s="49">
      <c r="A128" s="35" t="n">
        <v>126</v>
      </c>
      <c r="B128" s="34"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35" t="n"/>
      <c r="D128" s="34" t="inlineStr">
        <is>
          <t>Dry Granulation (Roller Compaction)</t>
        </is>
      </c>
      <c r="E128" s="34" t="inlineStr">
        <is>
          <t>Fluidized Bed Granulation</t>
        </is>
      </c>
      <c r="F128" s="34" t="inlineStr">
        <is>
          <t>Film Coating with Hydroxypropyl methylcellulose (HPMC)</t>
        </is>
      </c>
      <c r="G128" s="34" t="inlineStr">
        <is>
          <t>Enteric Coating with Cellulose acetate phthalate (CAP)</t>
        </is>
      </c>
      <c r="H128" s="34" t="inlineStr">
        <is>
          <t>Hard Gelatin Capsule filling</t>
        </is>
      </c>
      <c r="I128" s="35" t="n">
        <v>1</v>
      </c>
      <c r="J128"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Tablet Manufacturing</t>
        </is>
      </c>
      <c r="M128" s="35" t="inlineStr">
        <is>
          <t>Product</t>
        </is>
      </c>
      <c r="N128" s="34" t="inlineStr">
        <is>
          <t>ข้อ 5 (PLE_CC1_2533.md)</t>
        </is>
      </c>
      <c r="O128" s="35" t="inlineStr">
        <is>
          <t>ข้อสอบจริง</t>
        </is>
      </c>
      <c r="P128" s="35" t="inlineStr">
        <is>
          <t>ปี 2533</t>
        </is>
      </c>
    </row>
    <row r="129" ht="13.2" customHeight="1" s="49">
      <c r="A129" s="35" t="n">
        <v>127</v>
      </c>
      <c r="B129" s="34" t="inlineStr">
        <is>
          <t>ข้อใดคือวัตถุประสงค์หลักในการในการทำ Ferrus sulphate ให้เป็น Enteric coated tablets</t>
        </is>
      </c>
      <c r="C129" s="35" t="n"/>
      <c r="D129" s="34" t="inlineStr">
        <is>
          <t>Enteric Coating with Cellulose acetate phthalate (CAP)</t>
        </is>
      </c>
      <c r="E129" s="34" t="inlineStr">
        <is>
          <t>Hard Gelatin Capsule filling</t>
        </is>
      </c>
      <c r="F129" s="34" t="inlineStr">
        <is>
          <t>Soft Gelatin Capsule encapsulation</t>
        </is>
      </c>
      <c r="G129" s="34" t="inlineStr">
        <is>
          <t>Microcrystalline cellulose</t>
        </is>
      </c>
      <c r="H129" s="34" t="inlineStr">
        <is>
          <t>Magnesium stearate (Lubricant 1%)</t>
        </is>
      </c>
      <c r="I129" s="35" t="n">
        <v>1</v>
      </c>
      <c r="J129"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Tablet Coating</t>
        </is>
      </c>
      <c r="M129" s="35" t="inlineStr">
        <is>
          <t>Product</t>
        </is>
      </c>
      <c r="N129" s="34" t="inlineStr">
        <is>
          <t>ข้อ 5 (PLE_CC1_2533.md)</t>
        </is>
      </c>
      <c r="O129" s="35" t="inlineStr">
        <is>
          <t>ข้อสอบจริง</t>
        </is>
      </c>
      <c r="P129" s="35" t="inlineStr">
        <is>
          <t>ปี 2533</t>
        </is>
      </c>
    </row>
    <row r="130" ht="13.2" customHeight="1" s="49">
      <c r="A130" s="35" t="n">
        <v>128</v>
      </c>
      <c r="B130" s="34" t="inlineStr">
        <is>
          <t>สารเคลือบในตำรับที่ทำให้ Ferrus sulphate ให้เป็น Enteric coated tablets</t>
        </is>
      </c>
      <c r="C130" s="35" t="n"/>
      <c r="D130" s="34" t="inlineStr">
        <is>
          <t>Microcrystalline cellulose</t>
        </is>
      </c>
      <c r="E130" s="34" t="inlineStr">
        <is>
          <t>Magnesium stearate (Lubricant 1%)</t>
        </is>
      </c>
      <c r="F130" s="34" t="inlineStr">
        <is>
          <t>Sodium starch glycolate (Superdisintegrant)</t>
        </is>
      </c>
      <c r="G130" s="34" t="inlineStr">
        <is>
          <t>Direct Compression tableting method</t>
        </is>
      </c>
      <c r="H130" s="34" t="inlineStr">
        <is>
          <t>Wet Granulation tableting method</t>
        </is>
      </c>
      <c r="I130" s="35" t="n">
        <v>1</v>
      </c>
      <c r="J130"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Tablet Coating</t>
        </is>
      </c>
      <c r="M130" s="35" t="inlineStr">
        <is>
          <t>Product</t>
        </is>
      </c>
      <c r="N130" s="34" t="inlineStr">
        <is>
          <t>ข้อ 6 (PLE_CC1_2533.md)</t>
        </is>
      </c>
      <c r="O130" s="35" t="inlineStr">
        <is>
          <t>ข้อสอบจริง</t>
        </is>
      </c>
      <c r="P130" s="35" t="inlineStr">
        <is>
          <t>ปี 2533</t>
        </is>
      </c>
    </row>
    <row r="131" ht="13.2" customHeight="1" s="49">
      <c r="A131" s="35" t="n">
        <v>129</v>
      </c>
      <c r="B131" s="34"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35" t="n"/>
      <c r="D131" s="34" t="inlineStr">
        <is>
          <t>Direct Compression tableting method</t>
        </is>
      </c>
      <c r="E131" s="34" t="inlineStr">
        <is>
          <t>Wet Granulation tableting method</t>
        </is>
      </c>
      <c r="F131" s="34" t="inlineStr">
        <is>
          <t>Dry Granulation (Roller Compaction)</t>
        </is>
      </c>
      <c r="G131" s="34" t="inlineStr">
        <is>
          <t>Fluidized Bed Granulation</t>
        </is>
      </c>
      <c r="H131" s="34" t="inlineStr">
        <is>
          <t>Film Coating with Hydroxypropyl methylcellulose (HPMC)</t>
        </is>
      </c>
      <c r="I131" s="35" t="n">
        <v>1</v>
      </c>
      <c r="J131"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Tablet Manufacturing</t>
        </is>
      </c>
      <c r="M131" s="35" t="inlineStr">
        <is>
          <t>Product</t>
        </is>
      </c>
      <c r="N131" s="34" t="inlineStr">
        <is>
          <t>ข้อ 5 (PLE_CC1_2533.md)</t>
        </is>
      </c>
      <c r="O131" s="35" t="inlineStr">
        <is>
          <t>ข้อสอบจริง</t>
        </is>
      </c>
      <c r="P131" s="35" t="inlineStr">
        <is>
          <t>ปี 2533</t>
        </is>
      </c>
    </row>
    <row r="132" ht="13.2" customHeight="1" s="49">
      <c r="A132" s="35" t="n">
        <v>130</v>
      </c>
      <c r="B132" s="34" t="inlineStr">
        <is>
          <t>ข้อใดถูกเกี่ยวกับยาเม็ด Furosemide</t>
        </is>
      </c>
      <c r="C132" s="35" t="n"/>
      <c r="D132" s="34" t="inlineStr">
        <is>
          <t>รับประทานเวลาใดก็ได้ แต่ควรเป็นเวลาเดียวกันทุกวัน</t>
        </is>
      </c>
      <c r="E132" s="34" t="inlineStr">
        <is>
          <t>รับประทานไม่เกินเที่ยงวัน</t>
        </is>
      </c>
      <c r="F132" s="34" t="inlineStr">
        <is>
          <t>หากลืมรับประทาน สามารถรับประทานทันทีที่นึกขึ้นได้</t>
        </is>
      </c>
      <c r="G132" s="34" t="inlineStr">
        <is>
          <t>หลีกเลี่ยงการรับประทานร่วมกับนมและยาลดกรด</t>
        </is>
      </c>
      <c r="H132" s="34" t="inlineStr">
        <is>
          <t>หลังรับประทานยาแล้ว ให้ดื่มน้ำตามมากๆ</t>
        </is>
      </c>
      <c r="I132" s="35" t="n">
        <v>1</v>
      </c>
      <c r="J132" s="34"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Tablet Manufacturing</t>
        </is>
      </c>
      <c r="M132" s="35" t="inlineStr">
        <is>
          <t>Product</t>
        </is>
      </c>
      <c r="N132" s="34" t="inlineStr">
        <is>
          <t>ข้อ 7 (PLE_CC1_Practice_Exam.md)</t>
        </is>
      </c>
      <c r="O132" s="35" t="inlineStr">
        <is>
          <t>Mock</t>
        </is>
      </c>
      <c r="P132" s="35" t="inlineStr">
        <is>
          <t>Mock สภาเภสัชฯ Practice</t>
        </is>
      </c>
    </row>
    <row r="133" ht="13.2" customHeight="1" s="49">
      <c r="A133" s="35" t="n">
        <v>131</v>
      </c>
      <c r="B133" s="34" t="inlineStr">
        <is>
          <t>หากต้องการให้ยา Rifampicin มีรูปแบบเภสัชภัณฑ์เป็น enteric coated ควรเคลือบฟิล์มด้วยสารใด</t>
        </is>
      </c>
      <c r="C133" s="35" t="n"/>
      <c r="D133" s="34" t="inlineStr">
        <is>
          <t>Hydroxypropyl methylcellulose</t>
        </is>
      </c>
      <c r="E133" s="34" t="inlineStr">
        <is>
          <t>Polyethylene glycol</t>
        </is>
      </c>
      <c r="F133" s="34" t="inlineStr">
        <is>
          <t>Cellulose acetate phthalate</t>
        </is>
      </c>
      <c r="G133" s="34" t="inlineStr">
        <is>
          <t>Ethylcellulose</t>
        </is>
      </c>
      <c r="H133" s="34" t="inlineStr">
        <is>
          <t>Hydroxyethyl cellulose</t>
        </is>
      </c>
      <c r="I133" s="35" t="n">
        <v>1</v>
      </c>
      <c r="J133" s="34"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Tablet Coating</t>
        </is>
      </c>
      <c r="M133" s="35" t="inlineStr">
        <is>
          <t>Product</t>
        </is>
      </c>
      <c r="N133" s="34" t="inlineStr">
        <is>
          <t>ข้อ 5 (PLE_CC1_Practice_Exam.md)</t>
        </is>
      </c>
      <c r="O133" s="35" t="inlineStr">
        <is>
          <t>Mock</t>
        </is>
      </c>
      <c r="P133" s="35" t="inlineStr">
        <is>
          <t>Mock สภาเภสัชฯ Practice</t>
        </is>
      </c>
    </row>
    <row r="134" ht="13.2" customHeight="1" s="49">
      <c r="A134" s="35" t="n">
        <v>132</v>
      </c>
      <c r="B134" s="34" t="inlineStr">
        <is>
          <t>Glibenglamide tablet (5) 1x2 ac</t>
        </is>
      </c>
      <c r="C134" s="35" t="n"/>
      <c r="D134" s="34" t="inlineStr">
        <is>
          <t>Magnesium stearate (Lubricant 1%)</t>
        </is>
      </c>
      <c r="E134" s="34" t="inlineStr">
        <is>
          <t>Sodium starch glycolate (Superdisintegrant)</t>
        </is>
      </c>
      <c r="F134" s="34" t="inlineStr">
        <is>
          <t>Direct Compression tableting method</t>
        </is>
      </c>
      <c r="G134" s="34" t="inlineStr">
        <is>
          <t>Wet Granulation tableting method</t>
        </is>
      </c>
      <c r="H134" s="34" t="inlineStr">
        <is>
          <t>Dry Granulation (Roller Compaction)</t>
        </is>
      </c>
      <c r="I134" s="35" t="n">
        <v>1</v>
      </c>
      <c r="J134"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Tablet Manufacturing</t>
        </is>
      </c>
      <c r="M134" s="35" t="inlineStr">
        <is>
          <t>Product</t>
        </is>
      </c>
      <c r="N134" s="34" t="inlineStr">
        <is>
          <t>ข้อ 1 (PLE_CC1_Practice_Exam.md)</t>
        </is>
      </c>
      <c r="O134" s="35" t="inlineStr">
        <is>
          <t>Mock</t>
        </is>
      </c>
      <c r="P134" s="35" t="inlineStr">
        <is>
          <t>Mock สภาเภสัชฯ Practice</t>
        </is>
      </c>
    </row>
    <row r="135" ht="13.2" customHeight="1" s="49">
      <c r="A135" s="35" t="n">
        <v>133</v>
      </c>
      <c r="B135" s="34" t="inlineStr">
        <is>
          <t>Metfoemin tablet 1x3 ac</t>
        </is>
      </c>
      <c r="C135" s="35" t="n"/>
      <c r="D135" s="34" t="inlineStr">
        <is>
          <t>Wet Granulation tableting method</t>
        </is>
      </c>
      <c r="E135" s="34" t="inlineStr">
        <is>
          <t>Dry Granulation (Roller Compaction)</t>
        </is>
      </c>
      <c r="F135" s="34" t="inlineStr">
        <is>
          <t>Fluidized Bed Granulation</t>
        </is>
      </c>
      <c r="G135" s="34" t="inlineStr">
        <is>
          <t>Film Coating with Hydroxypropyl methylcellulose (HPMC)</t>
        </is>
      </c>
      <c r="H135" s="34" t="inlineStr">
        <is>
          <t>Enteric Coating with Cellulose acetate phthalate (CAP)</t>
        </is>
      </c>
      <c r="I135" s="35" t="n">
        <v>1</v>
      </c>
      <c r="J135"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2 (PLE_CC1_Practice_Exam.md)</t>
        </is>
      </c>
      <c r="O135" s="35" t="inlineStr">
        <is>
          <t>Mock</t>
        </is>
      </c>
      <c r="P135" s="35" t="inlineStr">
        <is>
          <t>Mock สภาเภสัชฯ Practice</t>
        </is>
      </c>
    </row>
    <row r="136" ht="13.2" customHeight="1" s="49">
      <c r="A136" s="35" t="n">
        <v>134</v>
      </c>
      <c r="B136" s="34" t="inlineStr">
        <is>
          <t>Isosorbide mononitrate tablet 1x2 ac</t>
        </is>
      </c>
      <c r="C136" s="35" t="n"/>
      <c r="D136" s="34" t="inlineStr">
        <is>
          <t>Film Coating with Hydroxypropyl methylcellulose (HPMC)</t>
        </is>
      </c>
      <c r="E136" s="34" t="inlineStr">
        <is>
          <t>Enteric Coating with Cellulose acetate phthalate (CAP)</t>
        </is>
      </c>
      <c r="F136" s="34" t="inlineStr">
        <is>
          <t>Hard Gelatin Capsule filling</t>
        </is>
      </c>
      <c r="G136" s="34" t="inlineStr">
        <is>
          <t>Soft Gelatin Capsule encapsulation</t>
        </is>
      </c>
      <c r="H136" s="34" t="inlineStr">
        <is>
          <t>Microcrystalline cellulose</t>
        </is>
      </c>
      <c r="I136" s="35" t="n">
        <v>1</v>
      </c>
      <c r="J136"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3 (PLE_CC1_Practice_Exam.md)</t>
        </is>
      </c>
      <c r="O136" s="35" t="inlineStr">
        <is>
          <t>Mock</t>
        </is>
      </c>
      <c r="P136" s="35" t="inlineStr">
        <is>
          <t>Mock สภาเภสัชฯ Practice</t>
        </is>
      </c>
    </row>
    <row r="137" ht="13.2" customHeight="1" s="49">
      <c r="A137" s="35" t="n">
        <v>135</v>
      </c>
      <c r="B137" s="34" t="inlineStr">
        <is>
          <t>Aspirin tablet 1x1 pc จากข้อมูลดังกล่าว อาการใดต่อไปนี้ของคนไข้ไม่ใช่อาการ DM</t>
        </is>
      </c>
      <c r="C137" s="35" t="n"/>
      <c r="D137" s="34" t="inlineStr">
        <is>
          <t>หิวน้ำบ่อย</t>
        </is>
      </c>
      <c r="E137" s="34" t="inlineStr">
        <is>
          <t>ปัสสาวะบ่อย</t>
        </is>
      </c>
      <c r="F137" s="34" t="inlineStr">
        <is>
          <t>เจ็บหน้าอก</t>
        </is>
      </c>
      <c r="G137" s="34" t="inlineStr">
        <is>
          <t>น้ำหนักลด</t>
        </is>
      </c>
      <c r="H137" s="34" t="inlineStr">
        <is>
          <t>อ่อนเพลีย</t>
        </is>
      </c>
      <c r="I137" s="35" t="n">
        <v>1</v>
      </c>
      <c r="J137" s="34"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4 (PLE_CC1_Practice_Exam.md)</t>
        </is>
      </c>
      <c r="O137" s="35" t="inlineStr">
        <is>
          <t>Mock</t>
        </is>
      </c>
      <c r="P137" s="35" t="inlineStr">
        <is>
          <t>Mock สภาเภสัชฯ Practice</t>
        </is>
      </c>
    </row>
    <row r="138" ht="13.2" customHeight="1" s="49">
      <c r="A138" s="35" t="n">
        <v>136</v>
      </c>
      <c r="B138" s="34" t="inlineStr">
        <is>
          <t>Metformin tablet 1ข3 ac</t>
        </is>
      </c>
      <c r="C138" s="35" t="n"/>
      <c r="D138" s="34" t="inlineStr">
        <is>
          <t>Sodium starch glycolate (Superdisintegrant)</t>
        </is>
      </c>
      <c r="E138" s="34" t="inlineStr">
        <is>
          <t>Direct Compression tableting method</t>
        </is>
      </c>
      <c r="F138" s="34" t="inlineStr">
        <is>
          <t>Wet Granulation tableting method</t>
        </is>
      </c>
      <c r="G138" s="34" t="inlineStr">
        <is>
          <t>Dry Granulation (Roller Compaction)</t>
        </is>
      </c>
      <c r="H138" s="34" t="inlineStr">
        <is>
          <t>Fluidized Bed Granulation</t>
        </is>
      </c>
      <c r="I138" s="35" t="n">
        <v>1</v>
      </c>
      <c r="J138"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 (PLE_CC1_Practice_Exam.md)</t>
        </is>
      </c>
      <c r="O138" s="35" t="inlineStr">
        <is>
          <t>Mock</t>
        </is>
      </c>
      <c r="P138" s="35" t="inlineStr">
        <is>
          <t>Mock สภาเภสัชฯ Practice</t>
        </is>
      </c>
    </row>
    <row r="139" ht="13.2" customHeight="1" s="49">
      <c r="A139" s="35" t="n">
        <v>137</v>
      </c>
      <c r="B139" s="34"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35" t="n"/>
      <c r="D139" s="34" t="inlineStr">
        <is>
          <t>Dry Granulation (Roller Compaction)</t>
        </is>
      </c>
      <c r="E139" s="34" t="inlineStr">
        <is>
          <t>Fluidized Bed Granulation</t>
        </is>
      </c>
      <c r="F139" s="34" t="inlineStr">
        <is>
          <t>Film Coating with Hydroxypropyl methylcellulose (HPMC)</t>
        </is>
      </c>
      <c r="G139" s="34" t="inlineStr">
        <is>
          <t>Enteric Coating with Cellulose acetate phthalate (CAP)</t>
        </is>
      </c>
      <c r="H139" s="34" t="inlineStr">
        <is>
          <t>Hard Gelatin Capsule filling</t>
        </is>
      </c>
      <c r="I139" s="35" t="n">
        <v>1</v>
      </c>
      <c r="J139" s="34"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13 (PLE_CC1_Practice_Exam.md)</t>
        </is>
      </c>
      <c r="O139" s="35" t="inlineStr">
        <is>
          <t>Mock</t>
        </is>
      </c>
      <c r="P139" s="35" t="inlineStr">
        <is>
          <t>Mock สภาเภสัชฯ Practice</t>
        </is>
      </c>
    </row>
    <row r="140" ht="13.2" customHeight="1" s="49">
      <c r="A140" s="35" t="n">
        <v>138</v>
      </c>
      <c r="B140" s="34"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40" s="35" t="n"/>
      <c r="D140" s="34" t="inlineStr">
        <is>
          <t>Enteric Coating with Cellulose acetate phthalate (CAP)</t>
        </is>
      </c>
      <c r="E140" s="34" t="inlineStr">
        <is>
          <t>Hard Gelatin Capsule filling</t>
        </is>
      </c>
      <c r="F140" s="34" t="inlineStr">
        <is>
          <t>Soft Gelatin Capsule encapsulation</t>
        </is>
      </c>
      <c r="G140" s="34" t="inlineStr">
        <is>
          <t>Microcrystalline cellulose</t>
        </is>
      </c>
      <c r="H140" s="34" t="inlineStr">
        <is>
          <t>Magnesium stearate (Lubricant 1%)</t>
        </is>
      </c>
      <c r="I140" s="35" t="n">
        <v>1</v>
      </c>
      <c r="J140" s="34"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14 (PLE_CC1_Practice_Exam.md)</t>
        </is>
      </c>
      <c r="O140" s="35" t="inlineStr">
        <is>
          <t>Mock</t>
        </is>
      </c>
      <c r="P140" s="35" t="inlineStr">
        <is>
          <t>Mock สภาเภสัชฯ Practice</t>
        </is>
      </c>
    </row>
    <row r="141" ht="13.2" customHeight="1" s="49">
      <c r="A141" s="35" t="n">
        <v>139</v>
      </c>
      <c r="B141" s="34" t="inlineStr">
        <is>
          <t>ถ้าหากพบว่ายาเม็ด Paracetamol มีการแยกตัว ออกเป็นชั้น แก้ปัญหาดังกล่าวอย่างไร</t>
        </is>
      </c>
      <c r="C141" s="35" t="n"/>
      <c r="D141" s="34" t="inlineStr">
        <is>
          <t>ให้ใช้ punch ที่มีความโค้งมาก (deep concave punch )</t>
        </is>
      </c>
      <c r="E141" s="34" t="inlineStr">
        <is>
          <t>ให้ใช้ die ที่มีช่องด้านบนใหญ่กว่าด้านล่าง</t>
        </is>
      </c>
      <c r="F141" s="34" t="inlineStr">
        <is>
          <t>ลดความเร็วในการตอกลง</t>
        </is>
      </c>
      <c r="G141" s="34" t="inlineStr">
        <is>
          <t>เติมสารพวก hygroscopic ลงไปเพื่อไม่ใช้แกรนูลชื้นเกิน</t>
        </is>
      </c>
      <c r="H141" s="34" t="inlineStr">
        <is>
          <t>อาจเพิ่มปริมาณสารยึดเกาะเพื่อให้แกรนูลจับกันได้ดี</t>
        </is>
      </c>
      <c r="I141" s="35" t="n">
        <v>1</v>
      </c>
      <c r="J141" s="34"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26 (PLE_CC1_Practice_Exam.md)</t>
        </is>
      </c>
      <c r="O141" s="35" t="inlineStr">
        <is>
          <t>Mock</t>
        </is>
      </c>
      <c r="P141" s="35" t="inlineStr">
        <is>
          <t>Mock สภาเภสัชฯ Practice</t>
        </is>
      </c>
    </row>
    <row r="142" ht="13.2" customHeight="1" s="49">
      <c r="A142" s="35" t="n">
        <v>140</v>
      </c>
      <c r="B142" s="34"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35" t="n"/>
      <c r="D142" s="34" t="inlineStr">
        <is>
          <t>Direct Compression tableting method</t>
        </is>
      </c>
      <c r="E142" s="34" t="inlineStr">
        <is>
          <t>Wet Granulation tableting method</t>
        </is>
      </c>
      <c r="F142" s="34" t="inlineStr">
        <is>
          <t>Dry Granulation (Roller Compaction)</t>
        </is>
      </c>
      <c r="G142" s="34" t="inlineStr">
        <is>
          <t>Fluidized Bed Granulation</t>
        </is>
      </c>
      <c r="H142" s="34" t="inlineStr">
        <is>
          <t>Film Coating with Hydroxypropyl methylcellulose (HPMC)</t>
        </is>
      </c>
      <c r="I142" s="35" t="n">
        <v>3</v>
      </c>
      <c r="J142" s="34"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Powders &amp; Granules</t>
        </is>
      </c>
      <c r="M142" s="35" t="inlineStr">
        <is>
          <t>Product</t>
        </is>
      </c>
      <c r="N142" s="34" t="inlineStr">
        <is>
          <t>ข้อ 31 (PLE_CC1_Practice_Exam.md)</t>
        </is>
      </c>
      <c r="O142" s="35" t="inlineStr">
        <is>
          <t>Mock</t>
        </is>
      </c>
      <c r="P142" s="35" t="inlineStr">
        <is>
          <t>Mock สภาเภสัชฯ Practice</t>
        </is>
      </c>
    </row>
    <row r="143" ht="13.2" customHeight="1" s="49">
      <c r="A143" s="35" t="n">
        <v>141</v>
      </c>
      <c r="B143" s="34" t="inlineStr">
        <is>
          <t>หากตำรับ orally disintegrating tablet มี disintegration time มากกว่า 2 นาที ควรเติมหรือเพิ่ม ปริมาณสารใดในตำรับ</t>
        </is>
      </c>
      <c r="C143" s="35" t="n"/>
      <c r="D143" s="34" t="inlineStr">
        <is>
          <t>Croscarmellose sodium</t>
        </is>
      </c>
      <c r="E143" s="34" t="inlineStr">
        <is>
          <t>Magnesium stearate</t>
        </is>
      </c>
      <c r="F143" s="34" t="inlineStr">
        <is>
          <t>Mannitol</t>
        </is>
      </c>
      <c r="G143" s="34" t="inlineStr">
        <is>
          <t>Dextose</t>
        </is>
      </c>
      <c r="H143" s="34" t="inlineStr">
        <is>
          <t>Talcum</t>
        </is>
      </c>
      <c r="I143" s="35" t="n">
        <v>1</v>
      </c>
      <c r="J143" s="34"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8 (PLE_CC1_Practice_Exam.md)</t>
        </is>
      </c>
      <c r="O143" s="35" t="inlineStr">
        <is>
          <t>Mock</t>
        </is>
      </c>
      <c r="P143" s="35" t="inlineStr">
        <is>
          <t>Mock สภาเภสัชฯ Practice</t>
        </is>
      </c>
    </row>
    <row r="144" ht="13.2" customHeight="1" s="49">
      <c r="A144" s="35" t="n">
        <v>142</v>
      </c>
      <c r="B144" s="34" t="inlineStr">
        <is>
          <t>ในการผลิต effervescent tablets ส่วนประกอบใดเป็นส่วนประกอบสำคัญในตำรับ</t>
        </is>
      </c>
      <c r="C144" s="35" t="n"/>
      <c r="D144" s="34" t="inlineStr">
        <is>
          <t>Croscarmellose + sodium starch glycolate</t>
        </is>
      </c>
      <c r="E144" s="34" t="inlineStr">
        <is>
          <t>Citric acid + sodium bicarbonate</t>
        </is>
      </c>
      <c r="F144" s="34" t="inlineStr">
        <is>
          <t>Poly(methyl methacrylate) + triacetin</t>
        </is>
      </c>
      <c r="G144" s="34" t="inlineStr">
        <is>
          <t>Poly(ethylene glycol) 4000 + polyviynpyrrolidone</t>
        </is>
      </c>
      <c r="H144" s="34" t="inlineStr">
        <is>
          <t>Maize starch + sodium lauryl sulfate</t>
        </is>
      </c>
      <c r="I144" s="35" t="n">
        <v>1</v>
      </c>
      <c r="J144" s="34"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13 (PLE_CC1_Practice_Exam.md)</t>
        </is>
      </c>
      <c r="O144" s="35" t="inlineStr">
        <is>
          <t>Mock</t>
        </is>
      </c>
      <c r="P144" s="35" t="inlineStr">
        <is>
          <t>Mock สภาเภสัชฯ Practice</t>
        </is>
      </c>
    </row>
    <row r="145" ht="13.2" customHeight="1" s="49">
      <c r="A145" s="35" t="n">
        <v>143</v>
      </c>
      <c r="B145" s="34" t="inlineStr">
        <is>
          <t>ในการผลิตยา delayed-release tablets ข้อใดเป็นส่วนประกอบสำคัญในการควบคุมการปลดปล่อยยา</t>
        </is>
      </c>
      <c r="C145" s="35" t="n"/>
      <c r="D145" s="34" t="inlineStr">
        <is>
          <t>Eudragit L</t>
        </is>
      </c>
      <c r="E145" s="34" t="inlineStr">
        <is>
          <t>Ethylcellulose</t>
        </is>
      </c>
      <c r="F145" s="34" t="inlineStr">
        <is>
          <t>Crospovidone</t>
        </is>
      </c>
      <c r="G145" s="34" t="inlineStr">
        <is>
          <t>Hypromellose</t>
        </is>
      </c>
      <c r="H145" s="34" t="inlineStr">
        <is>
          <t>Sodium alginate</t>
        </is>
      </c>
      <c r="I145" s="35" t="n">
        <v>1</v>
      </c>
      <c r="J145" s="34"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 (PLE_CC1_Practice_Exam.md)</t>
        </is>
      </c>
      <c r="O145" s="35" t="inlineStr">
        <is>
          <t>Mock</t>
        </is>
      </c>
      <c r="P145" s="35" t="inlineStr">
        <is>
          <t>Mock สภาเภสัชฯ Practice</t>
        </is>
      </c>
    </row>
    <row r="146" ht="13.2" customHeight="1" s="49">
      <c r="A146" s="35" t="n">
        <v>144</v>
      </c>
      <c r="B146" s="34" t="inlineStr">
        <is>
          <t>ข้อใดคือข้อเสียของ sugar-coated tablets เมื่อเก็บไว้เป็นเวลานาน</t>
        </is>
      </c>
      <c r="C146" s="35" t="n"/>
      <c r="D146" s="34" t="inlineStr">
        <is>
          <t>attrition</t>
        </is>
      </c>
      <c r="E146" s="34" t="inlineStr">
        <is>
          <t>Sticking</t>
        </is>
      </c>
      <c r="F146" s="34" t="inlineStr">
        <is>
          <t>Roughness</t>
        </is>
      </c>
      <c r="G146" s="34" t="inlineStr">
        <is>
          <t>Cracking</t>
        </is>
      </c>
      <c r="H146" s="34" t="inlineStr">
        <is>
          <t>Bridging of logos</t>
        </is>
      </c>
      <c r="I146" s="35" t="n">
        <v>1</v>
      </c>
      <c r="J146" s="34"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Coating</t>
        </is>
      </c>
      <c r="M146" s="35" t="inlineStr">
        <is>
          <t>Product</t>
        </is>
      </c>
      <c r="N146" s="34" t="inlineStr">
        <is>
          <t>ข้อ 39 (PLE_CC1_Practice_Exam.md)</t>
        </is>
      </c>
      <c r="O146" s="35" t="inlineStr">
        <is>
          <t>Mock</t>
        </is>
      </c>
      <c r="P146" s="35" t="inlineStr">
        <is>
          <t>Mock สภาเภสัชฯ Practice</t>
        </is>
      </c>
    </row>
    <row r="147" ht="13.2" customHeight="1" s="49">
      <c r="A147" s="35" t="n">
        <v>145</v>
      </c>
      <c r="B147" s="34"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35" t="n"/>
      <c r="D147" s="34" t="inlineStr">
        <is>
          <t>Film Coating with Hydroxypropyl methylcellulose (HPMC)</t>
        </is>
      </c>
      <c r="E147" s="34" t="inlineStr">
        <is>
          <t>Enteric Coating with Cellulose acetate phthalate (CAP)</t>
        </is>
      </c>
      <c r="F147" s="34" t="inlineStr">
        <is>
          <t>Hard Gelatin Capsule filling</t>
        </is>
      </c>
      <c r="G147" s="34" t="inlineStr">
        <is>
          <t>Soft Gelatin Capsule encapsulation</t>
        </is>
      </c>
      <c r="H147" s="34" t="inlineStr">
        <is>
          <t>Microcrystalline cellulose</t>
        </is>
      </c>
      <c r="I147" s="35" t="n">
        <v>1</v>
      </c>
      <c r="J14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5 (PLE_CC1_Key_Rx20_UBU.md)</t>
        </is>
      </c>
      <c r="O147" s="35" t="inlineStr">
        <is>
          <t>Mock</t>
        </is>
      </c>
      <c r="P147" s="35" t="inlineStr">
        <is>
          <t>Mock Rx20 UBU</t>
        </is>
      </c>
    </row>
    <row r="148" ht="13.2" customHeight="1" s="49">
      <c r="A148" s="35" t="n">
        <v>146</v>
      </c>
      <c r="B148" s="34" t="inlineStr">
        <is>
          <t>Film coated tablets</t>
        </is>
      </c>
      <c r="C148" s="35" t="n"/>
      <c r="D148" s="34" t="inlineStr">
        <is>
          <t>Soft Gelatin Capsule encapsulation</t>
        </is>
      </c>
      <c r="E148" s="34" t="inlineStr">
        <is>
          <t>Microcrystalline cellulose</t>
        </is>
      </c>
      <c r="F148" s="34" t="inlineStr">
        <is>
          <t>Magnesium stearate (Lubricant 1%)</t>
        </is>
      </c>
      <c r="G148" s="34" t="inlineStr">
        <is>
          <t>Sodium starch glycolate (Superdisintegrant)</t>
        </is>
      </c>
      <c r="H148" s="34" t="inlineStr">
        <is>
          <t>Direct Compression tableting method</t>
        </is>
      </c>
      <c r="I148" s="35" t="n">
        <v>1</v>
      </c>
      <c r="J14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Coating</t>
        </is>
      </c>
      <c r="M148" s="35" t="inlineStr">
        <is>
          <t>Product</t>
        </is>
      </c>
      <c r="N148" s="34" t="inlineStr">
        <is>
          <t>ข้อ 1 (PLE_CC1_Key_Rx20_UBU.md)</t>
        </is>
      </c>
      <c r="O148" s="35" t="inlineStr">
        <is>
          <t>Mock</t>
        </is>
      </c>
      <c r="P148" s="35" t="inlineStr">
        <is>
          <t>Mock Rx20 UBU</t>
        </is>
      </c>
    </row>
    <row r="149" ht="13.2" customHeight="1" s="49">
      <c r="A149" s="35" t="n">
        <v>147</v>
      </c>
      <c r="B149" s="34" t="inlineStr">
        <is>
          <t>Enteric coated tablets</t>
        </is>
      </c>
      <c r="C149" s="35" t="n"/>
      <c r="D149" s="34" t="inlineStr">
        <is>
          <t>Sodium starch glycolate (Superdisintegrant)</t>
        </is>
      </c>
      <c r="E149" s="34" t="inlineStr">
        <is>
          <t>Direct Compression tableting method</t>
        </is>
      </c>
      <c r="F149" s="34" t="inlineStr">
        <is>
          <t>Wet Granulation tableting method</t>
        </is>
      </c>
      <c r="G149" s="34" t="inlineStr">
        <is>
          <t>Dry Granulation (Roller Compaction)</t>
        </is>
      </c>
      <c r="H149" s="34" t="inlineStr">
        <is>
          <t>Fluidized Bed Granulation</t>
        </is>
      </c>
      <c r="I149" s="35" t="n">
        <v>1</v>
      </c>
      <c r="J14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Coating</t>
        </is>
      </c>
      <c r="M149" s="35" t="inlineStr">
        <is>
          <t>Product</t>
        </is>
      </c>
      <c r="N149" s="34" t="inlineStr">
        <is>
          <t>ข้อ 2 (PLE_CC1_Key_Rx20_UBU.md)</t>
        </is>
      </c>
      <c r="O149" s="35" t="inlineStr">
        <is>
          <t>Mock</t>
        </is>
      </c>
      <c r="P149" s="35" t="inlineStr">
        <is>
          <t>Mock Rx20 UBU</t>
        </is>
      </c>
    </row>
    <row r="150" ht="13.2" customHeight="1" s="49">
      <c r="A150" s="35" t="n">
        <v>148</v>
      </c>
      <c r="B150" s="34" t="inlineStr">
        <is>
          <t>Sugar coated tablets</t>
        </is>
      </c>
      <c r="C150" s="35" t="n"/>
      <c r="D150" s="34" t="inlineStr">
        <is>
          <t>Dry Granulation (Roller Compaction)</t>
        </is>
      </c>
      <c r="E150" s="34" t="inlineStr">
        <is>
          <t>Fluidized Bed Granulation</t>
        </is>
      </c>
      <c r="F150" s="34" t="inlineStr">
        <is>
          <t>Film Coating with Hydroxypropyl methylcellulose (HPMC)</t>
        </is>
      </c>
      <c r="G150" s="34" t="inlineStr">
        <is>
          <t>Enteric Coating with Cellulose acetate phthalate (CAP)</t>
        </is>
      </c>
      <c r="H150" s="34" t="inlineStr">
        <is>
          <t>Hard Gelatin Capsule filling</t>
        </is>
      </c>
      <c r="I150" s="35" t="n">
        <v>1</v>
      </c>
      <c r="J150"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Tablet Coating</t>
        </is>
      </c>
      <c r="M150" s="35" t="inlineStr">
        <is>
          <t>Product</t>
        </is>
      </c>
      <c r="N150" s="34" t="inlineStr">
        <is>
          <t>ข้อ 3 (PLE_CC1_Key_Rx20_UBU.md)</t>
        </is>
      </c>
      <c r="O150" s="35" t="inlineStr">
        <is>
          <t>Mock</t>
        </is>
      </c>
      <c r="P150" s="35" t="inlineStr">
        <is>
          <t>Mock Rx20 UBU</t>
        </is>
      </c>
    </row>
    <row r="151" ht="13.2" customHeight="1" s="49">
      <c r="A151" s="35" t="n">
        <v>149</v>
      </c>
      <c r="B151" s="34" t="inlineStr">
        <is>
          <t>Effervescent tablets</t>
        </is>
      </c>
      <c r="C151" s="35" t="n"/>
      <c r="D151" s="34" t="inlineStr">
        <is>
          <t>Enteric Coating with Cellulose acetate phthalate (CAP)</t>
        </is>
      </c>
      <c r="E151" s="34" t="inlineStr">
        <is>
          <t>Hard Gelatin Capsule filling</t>
        </is>
      </c>
      <c r="F151" s="34" t="inlineStr">
        <is>
          <t>Soft Gelatin Capsule encapsulation</t>
        </is>
      </c>
      <c r="G151" s="34" t="inlineStr">
        <is>
          <t>Microcrystalline cellulose</t>
        </is>
      </c>
      <c r="H151" s="34" t="inlineStr">
        <is>
          <t>Magnesium stearate (Lubricant 1%)</t>
        </is>
      </c>
      <c r="I151" s="35" t="n">
        <v>1</v>
      </c>
      <c r="J15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35" t="n"/>
      <c r="L151" s="34" t="inlineStr">
        <is>
          <t>Tablet Manufacturing</t>
        </is>
      </c>
      <c r="M151" s="35" t="inlineStr">
        <is>
          <t>Product</t>
        </is>
      </c>
      <c r="N151" s="34" t="inlineStr">
        <is>
          <t>ข้อ 4 (PLE_CC1_Key_Rx20_UBU.md)</t>
        </is>
      </c>
      <c r="O151" s="35" t="inlineStr">
        <is>
          <t>Mock</t>
        </is>
      </c>
      <c r="P151" s="35" t="inlineStr">
        <is>
          <t>Mock Rx20 UBU</t>
        </is>
      </c>
    </row>
    <row r="152" ht="13.2" customHeight="1" s="49">
      <c r="A152" s="35" t="n">
        <v>150</v>
      </c>
      <c r="B152" s="34" t="inlineStr">
        <is>
          <t>52.ถ้าต้องการทำยา Glipizide เป็น controlled release tablet จะต้องคำนึงถึงปัจจัยด้านใดบ้าง</t>
        </is>
      </c>
      <c r="C152" s="35" t="n"/>
      <c r="D152" s="34" t="inlineStr">
        <is>
          <t>Microcrystalline cellulose</t>
        </is>
      </c>
      <c r="E152" s="34" t="inlineStr">
        <is>
          <t>Magnesium stearate (Lubricant 1%)</t>
        </is>
      </c>
      <c r="F152" s="34" t="inlineStr">
        <is>
          <t>Sodium starch glycolate (Superdisintegrant)</t>
        </is>
      </c>
      <c r="G152" s="34" t="inlineStr">
        <is>
          <t>Direct Compression tableting method</t>
        </is>
      </c>
      <c r="H152" s="34" t="inlineStr">
        <is>
          <t>Wet Granulation tableting method</t>
        </is>
      </c>
      <c r="I152" s="35" t="n">
        <v>4</v>
      </c>
      <c r="J152" s="34"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35" t="n"/>
      <c r="L152" s="34" t="inlineStr">
        <is>
          <t>Tablet Manufacturing</t>
        </is>
      </c>
      <c r="M152" s="35" t="inlineStr">
        <is>
          <t>Product</t>
        </is>
      </c>
      <c r="N152" s="34" t="inlineStr">
        <is>
          <t>ข้อ 5 (PLE_CC1_Key_Rx20_UBU.md)</t>
        </is>
      </c>
      <c r="O152" s="35" t="inlineStr">
        <is>
          <t>Mock</t>
        </is>
      </c>
      <c r="P152" s="35" t="inlineStr">
        <is>
          <t>Mock Rx20 UBU</t>
        </is>
      </c>
    </row>
    <row r="153" ht="13.2" customHeight="1" s="49">
      <c r="A153" s="35" t="n">
        <v>151</v>
      </c>
      <c r="B153" s="34" t="inlineStr">
        <is>
          <t>USP กำหนดให้ไม่ต้องทำ Disintegration time</t>
        </is>
      </c>
      <c r="C153" s="35" t="n"/>
      <c r="D153" s="34" t="inlineStr">
        <is>
          <t>Fluidized Bed Granulation</t>
        </is>
      </c>
      <c r="E153" s="34" t="inlineStr">
        <is>
          <t>Film Coating with Hydroxypropyl methylcellulose (HPMC)</t>
        </is>
      </c>
      <c r="F153" s="34" t="inlineStr">
        <is>
          <t>Enteric Coating with Cellulose acetate phthalate (CAP)</t>
        </is>
      </c>
      <c r="G153" s="34" t="inlineStr">
        <is>
          <t>Hard Gelatin Capsule filling</t>
        </is>
      </c>
      <c r="H153" s="34" t="inlineStr">
        <is>
          <t>Soft Gelatin Capsule encapsulation</t>
        </is>
      </c>
      <c r="I153" s="35" t="n">
        <v>1</v>
      </c>
      <c r="J153"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35" t="n"/>
      <c r="L153" s="34" t="inlineStr">
        <is>
          <t>Tablet Manufacturing</t>
        </is>
      </c>
      <c r="M153" s="35" t="inlineStr">
        <is>
          <t>Product</t>
        </is>
      </c>
      <c r="N153" s="34" t="inlineStr">
        <is>
          <t>ข้อ 3 (PLE_CC1_Key_Rx20_UBU.md)</t>
        </is>
      </c>
      <c r="O153" s="35" t="inlineStr">
        <is>
          <t>Mock</t>
        </is>
      </c>
      <c r="P153" s="35" t="inlineStr">
        <is>
          <t>Mock Rx20 UBU</t>
        </is>
      </c>
    </row>
    <row r="154" ht="13.2" customHeight="1" s="49">
      <c r="A154" s="35" t="n">
        <v>152</v>
      </c>
      <c r="B154" s="34"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35" t="n"/>
      <c r="D154" s="34" t="inlineStr">
        <is>
          <t>Hard Gelatin Capsule filling</t>
        </is>
      </c>
      <c r="E154" s="34" t="inlineStr">
        <is>
          <t>Soft Gelatin Capsule encapsulation</t>
        </is>
      </c>
      <c r="F154" s="34" t="inlineStr">
        <is>
          <t>Microcrystalline cellulose</t>
        </is>
      </c>
      <c r="G154" s="34" t="inlineStr">
        <is>
          <t>Magnesium stearate (Lubricant 1%)</t>
        </is>
      </c>
      <c r="H154" s="34" t="inlineStr">
        <is>
          <t>Sodium starch glycolate (Superdisintegrant)</t>
        </is>
      </c>
      <c r="I154" s="35" t="n">
        <v>4</v>
      </c>
      <c r="J154" s="34"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35" t="n"/>
      <c r="L154" s="34" t="inlineStr">
        <is>
          <t>Tablet Manufacturing</t>
        </is>
      </c>
      <c r="M154" s="35" t="inlineStr">
        <is>
          <t>Product</t>
        </is>
      </c>
      <c r="N154" s="34" t="inlineStr">
        <is>
          <t>ข้อ 3 (PLE_CC1_Key_Rx20_UBU.md)</t>
        </is>
      </c>
      <c r="O154" s="35" t="inlineStr">
        <is>
          <t>Mock</t>
        </is>
      </c>
      <c r="P154" s="35" t="inlineStr">
        <is>
          <t>Mock Rx20 UBU</t>
        </is>
      </c>
    </row>
    <row r="155" ht="13.2" customHeight="1" s="49">
      <c r="A155" s="35" t="n">
        <v>153</v>
      </c>
      <c r="B155" s="34"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35" t="n"/>
      <c r="D155" s="34" t="inlineStr">
        <is>
          <t>Magnesium stearate (Lubricant 1%)</t>
        </is>
      </c>
      <c r="E155" s="34" t="inlineStr">
        <is>
          <t>Sodium starch glycolate (Superdisintegrant)</t>
        </is>
      </c>
      <c r="F155" s="34" t="inlineStr">
        <is>
          <t>Direct Compression tableting method</t>
        </is>
      </c>
      <c r="G155" s="34" t="inlineStr">
        <is>
          <t>Wet Granulation tableting method</t>
        </is>
      </c>
      <c r="H155" s="34" t="inlineStr">
        <is>
          <t>Dry Granulation (Roller Compaction)</t>
        </is>
      </c>
      <c r="I155" s="35" t="n">
        <v>1</v>
      </c>
      <c r="J155"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35" t="n"/>
      <c r="L155" s="34" t="inlineStr">
        <is>
          <t>Tablet Manufacturing</t>
        </is>
      </c>
      <c r="M155" s="35" t="inlineStr">
        <is>
          <t>Product</t>
        </is>
      </c>
      <c r="N155" s="34" t="inlineStr">
        <is>
          <t>ข้อ 78 (PLE_CC1_Key_Rx20_UBU.md)</t>
        </is>
      </c>
      <c r="O155" s="35" t="inlineStr">
        <is>
          <t>Mock</t>
        </is>
      </c>
      <c r="P155" s="35" t="inlineStr">
        <is>
          <t>Mock Rx20 UBU</t>
        </is>
      </c>
    </row>
    <row r="156" ht="13.2" customHeight="1" s="49">
      <c r="A156" s="35" t="n">
        <v>154</v>
      </c>
      <c r="B156" s="34" t="inlineStr">
        <is>
          <t>Friability+ Hardness</t>
        </is>
      </c>
      <c r="C156" s="35" t="n"/>
      <c r="D156" s="34" t="inlineStr">
        <is>
          <t>Wet Granulation tableting method</t>
        </is>
      </c>
      <c r="E156" s="34" t="inlineStr">
        <is>
          <t>Dry Granulation (Roller Compaction)</t>
        </is>
      </c>
      <c r="F156" s="34" t="inlineStr">
        <is>
          <t>Fluidized Bed Granulation</t>
        </is>
      </c>
      <c r="G156" s="34" t="inlineStr">
        <is>
          <t>Film Coating with Hydroxypropyl methylcellulose (HPMC)</t>
        </is>
      </c>
      <c r="H156" s="34" t="inlineStr">
        <is>
          <t>Enteric Coating with Cellulose acetate phthalate (CAP)</t>
        </is>
      </c>
      <c r="I156" s="35" t="n">
        <v>1</v>
      </c>
      <c r="J156"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35" t="n"/>
      <c r="L156" s="34" t="inlineStr">
        <is>
          <t>Tablet Manufacturing</t>
        </is>
      </c>
      <c r="M156" s="35" t="inlineStr">
        <is>
          <t>Product</t>
        </is>
      </c>
      <c r="N156" s="34" t="inlineStr">
        <is>
          <t>ข้อ 1 (PLE_CC1_Key_Rx20_UBU.md)</t>
        </is>
      </c>
      <c r="O156" s="35" t="inlineStr">
        <is>
          <t>Mock</t>
        </is>
      </c>
      <c r="P156" s="35" t="inlineStr">
        <is>
          <t>Mock Rx20 UBU</t>
        </is>
      </c>
    </row>
    <row r="157" ht="13.2" customHeight="1" s="49">
      <c r="A157" s="35" t="n">
        <v>155</v>
      </c>
      <c r="B157" s="34" t="inlineStr">
        <is>
          <t>Friability+ Weight variation</t>
        </is>
      </c>
      <c r="C157" s="35" t="n"/>
      <c r="D157" s="34" t="inlineStr">
        <is>
          <t>Film Coating with Hydroxypropyl methylcellulose (HPMC)</t>
        </is>
      </c>
      <c r="E157" s="34" t="inlineStr">
        <is>
          <t>Enteric Coating with Cellulose acetate phthalate (CAP)</t>
        </is>
      </c>
      <c r="F157" s="34" t="inlineStr">
        <is>
          <t>Hard Gelatin Capsule filling</t>
        </is>
      </c>
      <c r="G157" s="34" t="inlineStr">
        <is>
          <t>Soft Gelatin Capsule encapsulation</t>
        </is>
      </c>
      <c r="H157" s="34" t="inlineStr">
        <is>
          <t>Microcrystalline cellulose</t>
        </is>
      </c>
      <c r="I157" s="35" t="n">
        <v>1</v>
      </c>
      <c r="J157"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35" t="n"/>
      <c r="L157" s="34" t="inlineStr">
        <is>
          <t>Tablet Manufacturing</t>
        </is>
      </c>
      <c r="M157" s="35" t="inlineStr">
        <is>
          <t>Product</t>
        </is>
      </c>
      <c r="N157" s="34" t="inlineStr">
        <is>
          <t>ข้อ 2 (PLE_CC1_Key_Rx20_UBU.md)</t>
        </is>
      </c>
      <c r="O157" s="35" t="inlineStr">
        <is>
          <t>Mock</t>
        </is>
      </c>
      <c r="P157" s="35" t="inlineStr">
        <is>
          <t>Mock Rx20 UBU</t>
        </is>
      </c>
    </row>
    <row r="158" ht="13.2" customHeight="1" s="49">
      <c r="A158" s="35" t="n">
        <v>156</v>
      </c>
      <c r="B158" s="34" t="inlineStr">
        <is>
          <t>Disintegrant+ Hardness</t>
        </is>
      </c>
      <c r="C158" s="35" t="n"/>
      <c r="D158" s="34" t="inlineStr">
        <is>
          <t>Soft Gelatin Capsule encapsulation</t>
        </is>
      </c>
      <c r="E158" s="34" t="inlineStr">
        <is>
          <t>Microcrystalline cellulose</t>
        </is>
      </c>
      <c r="F158" s="34" t="inlineStr">
        <is>
          <t>Magnesium stearate (Lubricant 1%)</t>
        </is>
      </c>
      <c r="G158" s="34" t="inlineStr">
        <is>
          <t>Sodium starch glycolate (Superdisintegrant)</t>
        </is>
      </c>
      <c r="H158" s="34" t="inlineStr">
        <is>
          <t>Direct Compression tableting method</t>
        </is>
      </c>
      <c r="I158" s="35" t="n">
        <v>1</v>
      </c>
      <c r="J158" s="34"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35" t="n"/>
      <c r="L158" s="34" t="inlineStr">
        <is>
          <t>Tablet Manufacturing</t>
        </is>
      </c>
      <c r="M158" s="35" t="inlineStr">
        <is>
          <t>Product</t>
        </is>
      </c>
      <c r="N158" s="34" t="inlineStr">
        <is>
          <t>ข้อ 4 (PLE_CC1_Key_Rx20_UBU.md)</t>
        </is>
      </c>
      <c r="O158" s="35" t="inlineStr">
        <is>
          <t>Mock</t>
        </is>
      </c>
      <c r="P158" s="35" t="inlineStr">
        <is>
          <t>Mock Rx20 UBU</t>
        </is>
      </c>
    </row>
    <row r="159" ht="13.2" customHeight="1" s="49">
      <c r="A159" s="35" t="n">
        <v>157</v>
      </c>
      <c r="B159" s="34" t="inlineStr">
        <is>
          <t>Disintegrant + Dissolution</t>
        </is>
      </c>
      <c r="C159" s="35" t="n"/>
      <c r="D159" s="34" t="inlineStr">
        <is>
          <t>Sodium starch glycolate (Superdisintegrant)</t>
        </is>
      </c>
      <c r="E159" s="34" t="inlineStr">
        <is>
          <t>Direct Compression tableting method</t>
        </is>
      </c>
      <c r="F159" s="34" t="inlineStr">
        <is>
          <t>Wet Granulation tableting method</t>
        </is>
      </c>
      <c r="G159" s="34" t="inlineStr">
        <is>
          <t>Dry Granulation (Roller Compaction)</t>
        </is>
      </c>
      <c r="H159" s="34" t="inlineStr">
        <is>
          <t>Fluidized Bed Granulation</t>
        </is>
      </c>
      <c r="I159" s="35" t="n">
        <v>1</v>
      </c>
      <c r="J159"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35" t="n"/>
      <c r="L159" s="34" t="inlineStr">
        <is>
          <t>Tablet Manufacturing</t>
        </is>
      </c>
      <c r="M159" s="35" t="inlineStr">
        <is>
          <t>Product</t>
        </is>
      </c>
      <c r="N159" s="34" t="inlineStr">
        <is>
          <t>ข้อ 5 (PLE_CC1_Key_Rx20_UBU.md)</t>
        </is>
      </c>
      <c r="O159" s="35" t="inlineStr">
        <is>
          <t>Mock</t>
        </is>
      </c>
      <c r="P159" s="35" t="inlineStr">
        <is>
          <t>Mock Rx20 UBU</t>
        </is>
      </c>
    </row>
    <row r="160" ht="13.2" customHeight="1" s="49">
      <c r="A160" s="35" t="n">
        <v>158</v>
      </c>
      <c r="B160" s="34"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35" t="n"/>
      <c r="D160" s="34" t="inlineStr">
        <is>
          <t>Dry Granulation (Roller Compaction)</t>
        </is>
      </c>
      <c r="E160" s="34" t="inlineStr">
        <is>
          <t>Fluidized Bed Granulation</t>
        </is>
      </c>
      <c r="F160" s="34" t="inlineStr">
        <is>
          <t>Film Coating with Hydroxypropyl methylcellulose (HPMC)</t>
        </is>
      </c>
      <c r="G160" s="34" t="inlineStr">
        <is>
          <t>Enteric Coating with Cellulose acetate phthalate (CAP)</t>
        </is>
      </c>
      <c r="H160" s="34" t="inlineStr">
        <is>
          <t>Hard Gelatin Capsule filling</t>
        </is>
      </c>
      <c r="I160" s="35" t="n">
        <v>5</v>
      </c>
      <c r="J160" s="34"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35" t="n"/>
      <c r="L160" s="34" t="inlineStr">
        <is>
          <t>Tablet Manufacturing</t>
        </is>
      </c>
      <c r="M160" s="35" t="inlineStr">
        <is>
          <t>Product</t>
        </is>
      </c>
      <c r="N160" s="34" t="inlineStr">
        <is>
          <t>ข้อ 5 (PLE_CC1_Key_Rx20_UBU.md)</t>
        </is>
      </c>
      <c r="O160" s="35" t="inlineStr">
        <is>
          <t>Mock</t>
        </is>
      </c>
      <c r="P160" s="35" t="inlineStr">
        <is>
          <t>Mock Rx20 UBU</t>
        </is>
      </c>
    </row>
    <row r="161" ht="13.2" customHeight="1" s="49">
      <c r="A161" s="35" t="n">
        <v>159</v>
      </c>
      <c r="B161" s="34" t="inlineStr">
        <is>
          <t>ข้อใดถูกต้องเกี่ยวกับตำรับยาเม็ด</t>
        </is>
      </c>
      <c r="C161" s="35" t="n"/>
      <c r="D161" s="34" t="inlineStr">
        <is>
          <t>Enteric Coating with Cellulose acetate phthalate (CAP)</t>
        </is>
      </c>
      <c r="E161" s="34" t="inlineStr">
        <is>
          <t>Hard Gelatin Capsule filling</t>
        </is>
      </c>
      <c r="F161" s="34" t="inlineStr">
        <is>
          <t>Soft Gelatin Capsule encapsulation</t>
        </is>
      </c>
      <c r="G161" s="34" t="inlineStr">
        <is>
          <t>Microcrystalline cellulose</t>
        </is>
      </c>
      <c r="H161" s="34" t="inlineStr">
        <is>
          <t>Magnesium stearate (Lubricant 1%)</t>
        </is>
      </c>
      <c r="I161" s="35" t="n">
        <v>1</v>
      </c>
      <c r="J161"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35" t="n"/>
      <c r="L161" s="34" t="inlineStr">
        <is>
          <t>Tablet Manufacturing</t>
        </is>
      </c>
      <c r="M161" s="35" t="inlineStr">
        <is>
          <t>Product</t>
        </is>
      </c>
      <c r="N161" s="34" t="inlineStr">
        <is>
          <t>ข้อ 9 (PLE_CC1_Key_Rx20_UBU.md)</t>
        </is>
      </c>
      <c r="O161" s="35" t="inlineStr">
        <is>
          <t>Mock</t>
        </is>
      </c>
      <c r="P161" s="35" t="inlineStr">
        <is>
          <t>Mock Rx20 UBU</t>
        </is>
      </c>
    </row>
    <row r="162" ht="13.2" customHeight="1" s="49">
      <c r="A162" s="35" t="n">
        <v>160</v>
      </c>
      <c r="B162" s="34" t="inlineStr">
        <is>
          <t>8.สูตรยาเม็ดเคลือบฟิล์ม Ethambutol สารใดเป็นสารช่วยแตกตัว</t>
        </is>
      </c>
      <c r="C162" s="35" t="n"/>
      <c r="D162" s="34" t="inlineStr">
        <is>
          <t>Microcrystalline cellulose</t>
        </is>
      </c>
      <c r="E162" s="34" t="inlineStr">
        <is>
          <t>Magnesium stearate (Lubricant 1%)</t>
        </is>
      </c>
      <c r="F162" s="34" t="inlineStr">
        <is>
          <t>Sodium starch glycolate (Superdisintegrant)</t>
        </is>
      </c>
      <c r="G162" s="34" t="inlineStr">
        <is>
          <t>Direct Compression tableting method</t>
        </is>
      </c>
      <c r="H162" s="34" t="inlineStr">
        <is>
          <t>Wet Granulation tableting method</t>
        </is>
      </c>
      <c r="I162" s="35" t="n">
        <v>2</v>
      </c>
      <c r="J162" s="34"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35" t="n"/>
      <c r="L162" s="34" t="inlineStr">
        <is>
          <t>Tablet Manufacturing</t>
        </is>
      </c>
      <c r="M162" s="35" t="inlineStr">
        <is>
          <t>Product</t>
        </is>
      </c>
      <c r="N162" s="34" t="inlineStr">
        <is>
          <t>ข้อ 3 (PLE_CC1_Key_Rx20_UBU.md)</t>
        </is>
      </c>
      <c r="O162" s="35" t="inlineStr">
        <is>
          <t>Mock</t>
        </is>
      </c>
      <c r="P162" s="35" t="inlineStr">
        <is>
          <t>Mock Rx20 UBU</t>
        </is>
      </c>
    </row>
    <row r="163" ht="13.2" customHeight="1" s="49">
      <c r="A163" s="35" t="n">
        <v>161</v>
      </c>
      <c r="B163" s="34"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35" t="n"/>
      <c r="D163" s="34" t="inlineStr">
        <is>
          <t>Direct Compression tableting method</t>
        </is>
      </c>
      <c r="E163" s="34" t="inlineStr">
        <is>
          <t>Wet Granulation tableting method</t>
        </is>
      </c>
      <c r="F163" s="34" t="inlineStr">
        <is>
          <t>Dry Granulation (Roller Compaction)</t>
        </is>
      </c>
      <c r="G163" s="34" t="inlineStr">
        <is>
          <t>Fluidized Bed Granulation</t>
        </is>
      </c>
      <c r="H163" s="34" t="inlineStr">
        <is>
          <t>Film Coating with Hydroxypropyl methylcellulose (HPMC)</t>
        </is>
      </c>
      <c r="I163" s="35" t="n">
        <v>1</v>
      </c>
      <c r="J163"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35" t="n"/>
      <c r="L163" s="34" t="inlineStr">
        <is>
          <t>Tablet Manufacturing</t>
        </is>
      </c>
      <c r="M163" s="35" t="inlineStr">
        <is>
          <t>Product</t>
        </is>
      </c>
      <c r="N163" s="34" t="inlineStr">
        <is>
          <t>ข้อ 5 (PLE_CC1_Key_Rx20_UBU.md)</t>
        </is>
      </c>
      <c r="O163" s="35" t="inlineStr">
        <is>
          <t>Mock</t>
        </is>
      </c>
      <c r="P163" s="35" t="inlineStr">
        <is>
          <t>Mock Rx20 UBU</t>
        </is>
      </c>
    </row>
    <row r="164" ht="13.2" customHeight="1" s="49">
      <c r="A164" s="35" t="n">
        <v>162</v>
      </c>
      <c r="B164" s="34" t="inlineStr">
        <is>
          <t>กินยาเม็ดฟ้าทะลายโจร ตอนที่มีอาการเจ็บคอ</t>
        </is>
      </c>
      <c r="C164" s="35" t="n"/>
      <c r="D164" s="34" t="inlineStr">
        <is>
          <t>Fluidized Bed Granulation</t>
        </is>
      </c>
      <c r="E164" s="34" t="inlineStr">
        <is>
          <t>Film Coating with Hydroxypropyl methylcellulose (HPMC)</t>
        </is>
      </c>
      <c r="F164" s="34" t="inlineStr">
        <is>
          <t>Enteric Coating with Cellulose acetate phthalate (CAP)</t>
        </is>
      </c>
      <c r="G164" s="34" t="inlineStr">
        <is>
          <t>Hard Gelatin Capsule filling</t>
        </is>
      </c>
      <c r="H164" s="34" t="inlineStr">
        <is>
          <t>Soft Gelatin Capsule encapsulation</t>
        </is>
      </c>
      <c r="I164" s="35" t="n">
        <v>2</v>
      </c>
      <c r="J164" s="34"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35" t="n"/>
      <c r="L164" s="34" t="inlineStr">
        <is>
          <t>Tablet Manufacturing</t>
        </is>
      </c>
      <c r="M164" s="35" t="inlineStr">
        <is>
          <t>Product</t>
        </is>
      </c>
      <c r="N164" s="34" t="inlineStr">
        <is>
          <t>ข้อ 4 (PLE_CC1_Key_Rx20_UBU.md)</t>
        </is>
      </c>
      <c r="O164" s="35" t="inlineStr">
        <is>
          <t>Mock</t>
        </is>
      </c>
      <c r="P164" s="35" t="inlineStr">
        <is>
          <t>Mock Rx20 UBU</t>
        </is>
      </c>
    </row>
    <row r="165" ht="13.2" customHeight="1" s="49">
      <c r="A165" s="35" t="n">
        <v>163</v>
      </c>
      <c r="B165" s="34" t="inlineStr">
        <is>
          <t>ในระหว่างกระบวนการผลิต หากเม็ดยาเคลือบฟิล์ม metformin ไม่สามารถ screen ข้อความติดได้เรียกการเกิดนี้ว่าอะไร</t>
        </is>
      </c>
      <c r="C165" s="35" t="n"/>
      <c r="D165" s="34" t="inlineStr">
        <is>
          <t>Hard Gelatin Capsule filling</t>
        </is>
      </c>
      <c r="E165" s="34" t="inlineStr">
        <is>
          <t>Soft Gelatin Capsule encapsulation</t>
        </is>
      </c>
      <c r="F165" s="34" t="inlineStr">
        <is>
          <t>Microcrystalline cellulose</t>
        </is>
      </c>
      <c r="G165" s="34" t="inlineStr">
        <is>
          <t>Magnesium stearate (Lubricant 1%)</t>
        </is>
      </c>
      <c r="H165" s="34" t="inlineStr">
        <is>
          <t>Sodium starch glycolate (Superdisintegrant)</t>
        </is>
      </c>
      <c r="I165" s="35" t="n">
        <v>1</v>
      </c>
      <c r="J165" s="34"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35" t="n"/>
      <c r="L165" s="34" t="inlineStr">
        <is>
          <t>Tablet Manufacturing</t>
        </is>
      </c>
      <c r="M165" s="35" t="inlineStr">
        <is>
          <t>Product</t>
        </is>
      </c>
      <c r="N165" s="34" t="inlineStr">
        <is>
          <t>ข้อ 9 (PLE_CC1_Key_Rx20_UBU.md)</t>
        </is>
      </c>
      <c r="O165" s="35" t="inlineStr">
        <is>
          <t>Mock</t>
        </is>
      </c>
      <c r="P165" s="35" t="inlineStr">
        <is>
          <t>Mock Rx20 UBU</t>
        </is>
      </c>
    </row>
    <row r="166" ht="13.2" customHeight="1" s="49">
      <c r="A166" s="35" t="n">
        <v>164</v>
      </c>
      <c r="B166" s="34" t="inlineStr">
        <is>
          <t>Friability (ความกร่อน)</t>
        </is>
      </c>
      <c r="C166" s="35" t="n"/>
      <c r="D166" s="34" t="inlineStr">
        <is>
          <t>Magnesium stearate (Lubricant 1%)</t>
        </is>
      </c>
      <c r="E166" s="34" t="inlineStr">
        <is>
          <t>Sodium starch glycolate (Superdisintegrant)</t>
        </is>
      </c>
      <c r="F166" s="34" t="inlineStr">
        <is>
          <t>Direct Compression tableting method</t>
        </is>
      </c>
      <c r="G166" s="34" t="inlineStr">
        <is>
          <t>Wet Granulation tableting method</t>
        </is>
      </c>
      <c r="H166" s="34" t="inlineStr">
        <is>
          <t>Dry Granulation (Roller Compaction)</t>
        </is>
      </c>
      <c r="I166" s="35" t="n">
        <v>1</v>
      </c>
      <c r="J166"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35" t="n"/>
      <c r="L166" s="34" t="inlineStr">
        <is>
          <t>Tablet Manufacturing</t>
        </is>
      </c>
      <c r="M166" s="35" t="inlineStr">
        <is>
          <t>Product</t>
        </is>
      </c>
      <c r="N166" s="34" t="inlineStr">
        <is>
          <t>ข้อ 4 (PLE_CC1_Key_Rx20_UBU.md)</t>
        </is>
      </c>
      <c r="O166" s="35" t="inlineStr">
        <is>
          <t>Mock</t>
        </is>
      </c>
      <c r="P166" s="35" t="inlineStr">
        <is>
          <t>Mock Rx20 UBU</t>
        </is>
      </c>
    </row>
    <row r="167" ht="13.2" customHeight="1" s="49">
      <c r="A167" s="35" t="n">
        <v>165</v>
      </c>
      <c r="B167" s="34"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35" t="n"/>
      <c r="D167" s="34" t="inlineStr">
        <is>
          <t>Wet Granulation tableting method</t>
        </is>
      </c>
      <c r="E167" s="34" t="inlineStr">
        <is>
          <t>Dry Granulation (Roller Compaction)</t>
        </is>
      </c>
      <c r="F167" s="34" t="inlineStr">
        <is>
          <t>Fluidized Bed Granulation</t>
        </is>
      </c>
      <c r="G167" s="34" t="inlineStr">
        <is>
          <t>Film Coating with Hydroxypropyl methylcellulose (HPMC)</t>
        </is>
      </c>
      <c r="H167" s="34" t="inlineStr">
        <is>
          <t>Enteric Coating with Cellulose acetate phthalate (CAP)</t>
        </is>
      </c>
      <c r="I167" s="35" t="n">
        <v>1</v>
      </c>
      <c r="J167"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35" t="n"/>
      <c r="L167" s="34" t="inlineStr">
        <is>
          <t>Tablet Manufacturing</t>
        </is>
      </c>
      <c r="M167" s="35" t="inlineStr">
        <is>
          <t>Product</t>
        </is>
      </c>
      <c r="N167" s="34" t="inlineStr">
        <is>
          <t>ข้อ 5 (PLE_CC1_Key_Rx20_UBU.md)</t>
        </is>
      </c>
      <c r="O167" s="35" t="inlineStr">
        <is>
          <t>Mock</t>
        </is>
      </c>
      <c r="P167" s="35" t="inlineStr">
        <is>
          <t>Mock Rx20 UBU</t>
        </is>
      </c>
    </row>
    <row r="168" ht="13.2" customHeight="1" s="49">
      <c r="A168" s="35" t="n">
        <v>166</v>
      </c>
      <c r="B168" s="34" t="inlineStr">
        <is>
          <t>Disintegration time</t>
        </is>
      </c>
      <c r="C168" s="35" t="n"/>
      <c r="D168" s="34" t="inlineStr">
        <is>
          <t>Film Coating with Hydroxypropyl methylcellulose (HPMC)</t>
        </is>
      </c>
      <c r="E168" s="34" t="inlineStr">
        <is>
          <t>Enteric Coating with Cellulose acetate phthalate (CAP)</t>
        </is>
      </c>
      <c r="F168" s="34" t="inlineStr">
        <is>
          <t>Hard Gelatin Capsule filling</t>
        </is>
      </c>
      <c r="G168" s="34" t="inlineStr">
        <is>
          <t>Soft Gelatin Capsule encapsulation</t>
        </is>
      </c>
      <c r="H168" s="34" t="inlineStr">
        <is>
          <t>Microcrystalline cellulose</t>
        </is>
      </c>
      <c r="I168" s="35" t="n">
        <v>1</v>
      </c>
      <c r="J168"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35" t="n"/>
      <c r="L168" s="34" t="inlineStr">
        <is>
          <t>Tablet Manufacturing</t>
        </is>
      </c>
      <c r="M168" s="35" t="inlineStr">
        <is>
          <t>Product</t>
        </is>
      </c>
      <c r="N168" s="34" t="inlineStr">
        <is>
          <t>ข้อ 3 (PLE_CC1_Key_Rx20_UBU.md)</t>
        </is>
      </c>
      <c r="O168" s="35" t="inlineStr">
        <is>
          <t>Mock</t>
        </is>
      </c>
      <c r="P168" s="35" t="inlineStr">
        <is>
          <t>Mock Rx20 UBU</t>
        </is>
      </c>
    </row>
    <row r="169" ht="13.2" customHeight="1" s="49">
      <c r="A169" s="35" t="n">
        <v>167</v>
      </c>
      <c r="B169" s="34"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35" t="n"/>
      <c r="D169" s="34" t="inlineStr">
        <is>
          <t>Soft Gelatin Capsule encapsulation</t>
        </is>
      </c>
      <c r="E169" s="34" t="inlineStr">
        <is>
          <t>Microcrystalline cellulose</t>
        </is>
      </c>
      <c r="F169" s="34" t="inlineStr">
        <is>
          <t>Magnesium stearate (Lubricant 1%)</t>
        </is>
      </c>
      <c r="G169" s="34" t="inlineStr">
        <is>
          <t>Sodium starch glycolate (Superdisintegrant)</t>
        </is>
      </c>
      <c r="H169" s="34" t="inlineStr">
        <is>
          <t>Direct Compression tableting method</t>
        </is>
      </c>
      <c r="I169" s="35" t="n">
        <v>1</v>
      </c>
      <c r="J169" s="34"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35" t="n"/>
      <c r="L169" s="34" t="inlineStr">
        <is>
          <t>Tablet Manufacturing</t>
        </is>
      </c>
      <c r="M169" s="35" t="inlineStr">
        <is>
          <t>Product</t>
        </is>
      </c>
      <c r="N169" s="34" t="inlineStr">
        <is>
          <t>ข้อ 5 (PLE_CC1_Key_Rx20_UBU.md)</t>
        </is>
      </c>
      <c r="O169" s="35" t="inlineStr">
        <is>
          <t>Mock</t>
        </is>
      </c>
      <c r="P169" s="35" t="inlineStr">
        <is>
          <t>Mock Rx20 UBU</t>
        </is>
      </c>
    </row>
    <row r="170" ht="13.2" customHeight="1" s="49">
      <c r="A170" s="35" t="n">
        <v>168</v>
      </c>
      <c r="B170" s="34" t="inlineStr">
        <is>
          <t>ยา Theophylline 200 mg ยาเม็ดหนัก 0.27 g มี Bulk volume 0.09 cm3 ความหนาแน่นที่แท้จริง</t>
        </is>
      </c>
      <c r="C170" s="35" t="n"/>
      <c r="D170" s="34" t="inlineStr">
        <is>
          <t>00 g/cm3 จงหา %total porosity [กำหนด % total porosity = (1-(bulk density/true density) )x 100]</t>
        </is>
      </c>
      <c r="E170" s="34" t="inlineStr">
        <is>
          <t>Direct Compression tableting method</t>
        </is>
      </c>
      <c r="F170" s="34" t="inlineStr">
        <is>
          <t>Wet Granulation tableting method</t>
        </is>
      </c>
      <c r="G170" s="34" t="inlineStr">
        <is>
          <t>Dry Granulation (Roller Compaction)</t>
        </is>
      </c>
      <c r="H170" s="34" t="inlineStr">
        <is>
          <t>Fluidized Bed Granulation</t>
        </is>
      </c>
      <c r="I170" s="35" t="n">
        <v>1</v>
      </c>
      <c r="J170" s="34"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35" t="n"/>
      <c r="L170" s="34" t="inlineStr">
        <is>
          <t>Tablet Manufacturing</t>
        </is>
      </c>
      <c r="M170" s="35" t="inlineStr">
        <is>
          <t>Product</t>
        </is>
      </c>
      <c r="N170" s="34" t="inlineStr">
        <is>
          <t>ข้อ 7 (PLE_CC1_Key_Rx20_UBU.md)</t>
        </is>
      </c>
      <c r="O170" s="35" t="inlineStr">
        <is>
          <t>Mock</t>
        </is>
      </c>
      <c r="P170" s="35" t="inlineStr">
        <is>
          <t>Mock Rx20 UBU</t>
        </is>
      </c>
    </row>
    <row r="171" ht="13.2" customHeight="1" s="49">
      <c r="A171" s="35" t="n">
        <v>169</v>
      </c>
      <c r="B171" s="34"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35" t="n"/>
      <c r="D171" s="34" t="inlineStr">
        <is>
          <t>ผู้ป่วยป่วยเป็นโรคอะไร</t>
        </is>
      </c>
      <c r="E171" s="34" t="inlineStr">
        <is>
          <t>allergic conjunctivitis</t>
        </is>
      </c>
      <c r="F171" s="34" t="inlineStr">
        <is>
          <t>bacterial conjunctivitis</t>
        </is>
      </c>
      <c r="G171" s="34" t="inlineStr">
        <is>
          <t>cataract</t>
        </is>
      </c>
      <c r="H171" s="34" t="inlineStr">
        <is>
          <t>glaucoma</t>
        </is>
      </c>
      <c r="I171" s="35" t="n">
        <v>3</v>
      </c>
      <c r="J171" s="34"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35" t="n"/>
      <c r="L171" s="34" t="inlineStr">
        <is>
          <t>Tablet Manufacturing</t>
        </is>
      </c>
      <c r="M171" s="35" t="inlineStr">
        <is>
          <t>Product</t>
        </is>
      </c>
      <c r="N171" s="34" t="inlineStr">
        <is>
          <t>ข้อ 5 (PLE_CC1_Key_Rx20_UBU.md)</t>
        </is>
      </c>
      <c r="O171" s="35" t="inlineStr">
        <is>
          <t>Mock</t>
        </is>
      </c>
      <c r="P171" s="35" t="inlineStr">
        <is>
          <t>Mock Rx20 UBU</t>
        </is>
      </c>
    </row>
    <row r="172" ht="13.2" customHeight="1" s="49">
      <c r="A172" s="35" t="n">
        <v>170</v>
      </c>
      <c r="B172" s="34" t="inlineStr">
        <is>
          <t>Disintegration, Dissolution, Flowability &amp; = ข จบqานrผม / &amp; = = เSนOษWอl0 6hHrestrd 1T 6 - ข ข x เHypwglyamro j ข &amp;</t>
        </is>
      </c>
      <c r="C172" s="35" t="n"/>
      <c r="D172" s="34" t="inlineStr">
        <is>
          <t>Enteric Coating with Cellulose acetate phthalate (CAP)</t>
        </is>
      </c>
      <c r="E172" s="34" t="inlineStr">
        <is>
          <t>Hard Gelatin Capsule filling</t>
        </is>
      </c>
      <c r="F172" s="34" t="inlineStr">
        <is>
          <t>Soft Gelatin Capsule encapsulation</t>
        </is>
      </c>
      <c r="G172" s="34" t="inlineStr">
        <is>
          <t>Microcrystalline cellulose</t>
        </is>
      </c>
      <c r="H172" s="34" t="inlineStr">
        <is>
          <t>Magnesium stearate (Lubricant 1%)</t>
        </is>
      </c>
      <c r="I172" s="35" t="n">
        <v>1</v>
      </c>
      <c r="J172"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35" t="n"/>
      <c r="L172" s="34" t="inlineStr">
        <is>
          <t>Tablet Manufacturing</t>
        </is>
      </c>
      <c r="M172" s="35" t="inlineStr">
        <is>
          <t>Product</t>
        </is>
      </c>
      <c r="N172" s="34" t="inlineStr">
        <is>
          <t>ข้อ 2 (PLE_CC1_Key_Rx20_UBU.md)</t>
        </is>
      </c>
      <c r="O172" s="35" t="inlineStr">
        <is>
          <t>Mock</t>
        </is>
      </c>
      <c r="P172" s="35" t="inlineStr">
        <is>
          <t>Mock Rx20 UBU</t>
        </is>
      </c>
    </row>
    <row r="173" ht="13.2" customHeight="1" s="49">
      <c r="A173" s="35" t="n">
        <v>171</v>
      </c>
      <c r="B173" s="34" t="inlineStr">
        <is>
          <t>Stability, Moisture permeation, Friability</t>
        </is>
      </c>
      <c r="C173" s="35" t="n"/>
      <c r="D173" s="34" t="inlineStr">
        <is>
          <t>Microcrystalline cellulose</t>
        </is>
      </c>
      <c r="E173" s="34" t="inlineStr">
        <is>
          <t>Magnesium stearate (Lubricant 1%)</t>
        </is>
      </c>
      <c r="F173" s="34" t="inlineStr">
        <is>
          <t>Sodium starch glycolate (Superdisintegrant)</t>
        </is>
      </c>
      <c r="G173" s="34" t="inlineStr">
        <is>
          <t>Direct Compression tableting method</t>
        </is>
      </c>
      <c r="H173" s="34" t="inlineStr">
        <is>
          <t>Wet Granulation tableting method</t>
        </is>
      </c>
      <c r="I173" s="35" t="n">
        <v>1</v>
      </c>
      <c r="J173"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35" t="n"/>
      <c r="L173" s="34" t="inlineStr">
        <is>
          <t>Tablet Manufacturing</t>
        </is>
      </c>
      <c r="M173" s="35" t="inlineStr">
        <is>
          <t>Product</t>
        </is>
      </c>
      <c r="N173" s="34" t="inlineStr">
        <is>
          <t>ข้อ 4 (PLE_CC1_Key_Rx20_UBU.md)</t>
        </is>
      </c>
      <c r="O173" s="35" t="inlineStr">
        <is>
          <t>Mock</t>
        </is>
      </c>
      <c r="P173" s="35" t="inlineStr">
        <is>
          <t>Mock Rx20 UBU</t>
        </is>
      </c>
    </row>
    <row r="174" ht="13.2" customHeight="1" s="49">
      <c r="A174" s="35" t="n">
        <v>172</v>
      </c>
      <c r="B174" s="34" t="inlineStr">
        <is>
          <t>Weight validation, Drug content, Disintegration</t>
        </is>
      </c>
      <c r="C174" s="35" t="n"/>
      <c r="D174" s="34" t="inlineStr">
        <is>
          <t>Direct Compression tableting method</t>
        </is>
      </c>
      <c r="E174" s="34" t="inlineStr">
        <is>
          <t>Wet Granulation tableting method</t>
        </is>
      </c>
      <c r="F174" s="34" t="inlineStr">
        <is>
          <t>Dry Granulation (Roller Compaction)</t>
        </is>
      </c>
      <c r="G174" s="34" t="inlineStr">
        <is>
          <t>Fluidized Bed Granulation</t>
        </is>
      </c>
      <c r="H174" s="34" t="inlineStr">
        <is>
          <t>Film Coating with Hydroxypropyl methylcellulose (HPMC)</t>
        </is>
      </c>
      <c r="I174" s="35" t="n">
        <v>1</v>
      </c>
      <c r="J174"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35" t="n"/>
      <c r="L174" s="34" t="inlineStr">
        <is>
          <t>Tablet Manufacturing</t>
        </is>
      </c>
      <c r="M174" s="35" t="inlineStr">
        <is>
          <t>Product</t>
        </is>
      </c>
      <c r="N174" s="34" t="inlineStr">
        <is>
          <t>ข้อ 5 (PLE_CC1_Key_Rx20_UBU.md)</t>
        </is>
      </c>
      <c r="O174" s="35" t="inlineStr">
        <is>
          <t>Mock</t>
        </is>
      </c>
      <c r="P174" s="35" t="inlineStr">
        <is>
          <t>Mock Rx20 UBU</t>
        </is>
      </c>
    </row>
    <row r="175" ht="13.2" customHeight="1" s="49">
      <c r="A175" s="35" t="n">
        <v>173</v>
      </c>
      <c r="B175" s="34"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35" t="n"/>
      <c r="D175" s="34" t="inlineStr">
        <is>
          <t>Fluidized Bed Granulation</t>
        </is>
      </c>
      <c r="E175" s="34" t="inlineStr">
        <is>
          <t>Film Coating with Hydroxypropyl methylcellulose (HPMC)</t>
        </is>
      </c>
      <c r="F175" s="34" t="inlineStr">
        <is>
          <t>Enteric Coating with Cellulose acetate phthalate (CAP)</t>
        </is>
      </c>
      <c r="G175" s="34" t="inlineStr">
        <is>
          <t>Hard Gelatin Capsule filling</t>
        </is>
      </c>
      <c r="H175" s="34" t="inlineStr">
        <is>
          <t>Soft Gelatin Capsule encapsulation</t>
        </is>
      </c>
      <c r="I175" s="35" t="n">
        <v>1</v>
      </c>
      <c r="J175" s="34"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35" t="n"/>
      <c r="L175" s="34" t="inlineStr">
        <is>
          <t>Tablet Coating</t>
        </is>
      </c>
      <c r="M175" s="35" t="inlineStr">
        <is>
          <t>Product</t>
        </is>
      </c>
      <c r="N175" s="34" t="inlineStr">
        <is>
          <t>ข้อ 5 (PLE_CC1_Key_Rx20_UBU.md)</t>
        </is>
      </c>
      <c r="O175" s="35" t="inlineStr">
        <is>
          <t>Mock</t>
        </is>
      </c>
      <c r="P175" s="35" t="inlineStr">
        <is>
          <t>Mock Rx20 UBU</t>
        </is>
      </c>
    </row>
    <row r="176" ht="13.2" customHeight="1" s="49">
      <c r="A176" s="35" t="n">
        <v>174</v>
      </c>
      <c r="B176" s="34" t="inlineStr">
        <is>
          <t>Anti-foaming agent สารหลGอลื่น (Lubricants) Talc Stearic acid Magnesium stearate Polyethylene glycol Surfactants Vegetable oil</t>
        </is>
      </c>
      <c r="C176" s="35" t="n"/>
      <c r="D176" s="34" t="inlineStr">
        <is>
          <t>Hard Gelatin Capsule filling</t>
        </is>
      </c>
      <c r="E176" s="34" t="inlineStr">
        <is>
          <t>Soft Gelatin Capsule encapsulation</t>
        </is>
      </c>
      <c r="F176" s="34" t="inlineStr">
        <is>
          <t>Microcrystalline cellulose</t>
        </is>
      </c>
      <c r="G176" s="34" t="inlineStr">
        <is>
          <t>Magnesium stearate (Lubricant 1%)</t>
        </is>
      </c>
      <c r="H176" s="34" t="inlineStr">
        <is>
          <t>Sodium starch glycolate (Superdisintegrant)</t>
        </is>
      </c>
      <c r="I176" s="35" t="n">
        <v>2</v>
      </c>
      <c r="J176" s="34"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35" t="n"/>
      <c r="L176" s="34" t="inlineStr">
        <is>
          <t>Tablet Manufacturing</t>
        </is>
      </c>
      <c r="M176" s="35" t="inlineStr">
        <is>
          <t>Product</t>
        </is>
      </c>
      <c r="N176" s="34" t="inlineStr">
        <is>
          <t>ข้อ 5 (PLE_CC1_Key_Rx20_UBU.md)</t>
        </is>
      </c>
      <c r="O176" s="35" t="inlineStr">
        <is>
          <t>Mock</t>
        </is>
      </c>
      <c r="P176" s="35" t="inlineStr">
        <is>
          <t>Mock Rx20 UBU</t>
        </is>
      </c>
    </row>
    <row r="177" ht="13.2" customHeight="1" s="49">
      <c r="A177" s="35" t="n">
        <v>175</v>
      </c>
      <c r="B177" s="34"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35" t="n"/>
      <c r="D177" s="34" t="inlineStr">
        <is>
          <t>Magnesium stearate (Lubricant 1%)</t>
        </is>
      </c>
      <c r="E177" s="34" t="inlineStr">
        <is>
          <t>Sodium starch glycolate (Superdisintegrant)</t>
        </is>
      </c>
      <c r="F177" s="34" t="inlineStr">
        <is>
          <t>Direct Compression tableting method</t>
        </is>
      </c>
      <c r="G177" s="34" t="inlineStr">
        <is>
          <t>Wet Granulation tableting method</t>
        </is>
      </c>
      <c r="H177" s="34" t="inlineStr">
        <is>
          <t>Dry Granulation (Roller Compaction)</t>
        </is>
      </c>
      <c r="I177" s="35" t="n">
        <v>1</v>
      </c>
      <c r="J177" s="34"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35" t="n"/>
      <c r="L177" s="34" t="inlineStr">
        <is>
          <t>Tablet Manufacturing</t>
        </is>
      </c>
      <c r="M177" s="35" t="inlineStr">
        <is>
          <t>Product</t>
        </is>
      </c>
      <c r="N177" s="34" t="inlineStr">
        <is>
          <t>ข้อ 36 (PLE_CC1_Key_Rx20_UBU.md)</t>
        </is>
      </c>
      <c r="O177" s="35" t="inlineStr">
        <is>
          <t>Mock</t>
        </is>
      </c>
      <c r="P177" s="35" t="inlineStr">
        <is>
          <t>Mock Rx20 UBU</t>
        </is>
      </c>
    </row>
    <row r="178" ht="13.2" customHeight="1" s="49">
      <c r="A178" s="35" t="n">
        <v>176</v>
      </c>
      <c r="B178" s="34" t="inlineStr">
        <is>
          <t>Wet granulation โดยใช$น้ำเปญนตัวทำละลาย binder</t>
        </is>
      </c>
      <c r="C178" s="35" t="n"/>
      <c r="D178" s="34" t="inlineStr">
        <is>
          <t>Wet Granulation tableting method</t>
        </is>
      </c>
      <c r="E178" s="34" t="inlineStr">
        <is>
          <t>Dry Granulation (Roller Compaction)</t>
        </is>
      </c>
      <c r="F178" s="34" t="inlineStr">
        <is>
          <t>Fluidized Bed Granulation</t>
        </is>
      </c>
      <c r="G178" s="34" t="inlineStr">
        <is>
          <t>Film Coating with Hydroxypropyl methylcellulose (HPMC)</t>
        </is>
      </c>
      <c r="H178" s="34" t="inlineStr">
        <is>
          <t>Enteric Coating with Cellulose acetate phthalate (CAP)</t>
        </is>
      </c>
      <c r="I178" s="35" t="n">
        <v>1</v>
      </c>
      <c r="J178" s="34"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35" t="n"/>
      <c r="L178" s="34" t="inlineStr">
        <is>
          <t>Powders &amp; Granules</t>
        </is>
      </c>
      <c r="M178" s="35" t="inlineStr">
        <is>
          <t>Product</t>
        </is>
      </c>
      <c r="N178" s="34" t="inlineStr">
        <is>
          <t>ข้อ 2 (PLE_CC1_Key_Rx20_UBU.md)</t>
        </is>
      </c>
      <c r="O178" s="35" t="inlineStr">
        <is>
          <t>Mock</t>
        </is>
      </c>
      <c r="P178" s="35" t="inlineStr">
        <is>
          <t>Mock Rx20 UBU</t>
        </is>
      </c>
    </row>
    <row r="179" ht="13.2" customHeight="1" s="49">
      <c r="A179" s="35" t="n">
        <v>177</v>
      </c>
      <c r="B179" s="34" t="inlineStr">
        <is>
          <t>Wet granulation โดยใช$ตัวทำละลายอินทรีย_เปญนตัวทำละลาย binder</t>
        </is>
      </c>
      <c r="C179" s="35" t="n"/>
      <c r="D179" s="34" t="inlineStr">
        <is>
          <t>Film Coating with Hydroxypropyl methylcellulose (HPMC)</t>
        </is>
      </c>
      <c r="E179" s="34" t="inlineStr">
        <is>
          <t>Enteric Coating with Cellulose acetate phthalate (CAP)</t>
        </is>
      </c>
      <c r="F179" s="34" t="inlineStr">
        <is>
          <t>Hard Gelatin Capsule filling</t>
        </is>
      </c>
      <c r="G179" s="34" t="inlineStr">
        <is>
          <t>Soft Gelatin Capsule encapsulation</t>
        </is>
      </c>
      <c r="H179" s="34" t="inlineStr">
        <is>
          <t>Microcrystalline cellulose</t>
        </is>
      </c>
      <c r="I179" s="35" t="n">
        <v>1</v>
      </c>
      <c r="J179"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35" t="n"/>
      <c r="L179" s="34" t="inlineStr">
        <is>
          <t>Powders &amp; Granules</t>
        </is>
      </c>
      <c r="M179" s="35" t="inlineStr">
        <is>
          <t>Product</t>
        </is>
      </c>
      <c r="N179" s="34" t="inlineStr">
        <is>
          <t>ข้อ 3 (PLE_CC1_Key_Rx20_UBU.md)</t>
        </is>
      </c>
      <c r="O179" s="35" t="inlineStr">
        <is>
          <t>Mock</t>
        </is>
      </c>
      <c r="P179" s="35" t="inlineStr">
        <is>
          <t>Mock Rx20 UBU</t>
        </is>
      </c>
    </row>
    <row r="180" ht="13.2" customHeight="1" s="49">
      <c r="A180" s="35" t="n">
        <v>178</v>
      </c>
      <c r="B180" s="34" t="inlineStr">
        <is>
          <t>Dry granulation โดยเครื่อง Roller compactor</t>
        </is>
      </c>
      <c r="C180" s="35" t="n"/>
      <c r="D180" s="34" t="inlineStr">
        <is>
          <t>Soft Gelatin Capsule encapsulation</t>
        </is>
      </c>
      <c r="E180" s="34" t="inlineStr">
        <is>
          <t>Microcrystalline cellulose</t>
        </is>
      </c>
      <c r="F180" s="34" t="inlineStr">
        <is>
          <t>Magnesium stearate (Lubricant 1%)</t>
        </is>
      </c>
      <c r="G180" s="34" t="inlineStr">
        <is>
          <t>Sodium starch glycolate (Superdisintegrant)</t>
        </is>
      </c>
      <c r="H180" s="34" t="inlineStr">
        <is>
          <t>Direct Compression tableting method</t>
        </is>
      </c>
      <c r="I180" s="35" t="n">
        <v>4</v>
      </c>
      <c r="J180" s="34"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35" t="n"/>
      <c r="L180" s="34" t="inlineStr">
        <is>
          <t>Powders &amp; Granules</t>
        </is>
      </c>
      <c r="M180" s="35" t="inlineStr">
        <is>
          <t>Product</t>
        </is>
      </c>
      <c r="N180" s="34" t="inlineStr">
        <is>
          <t>ข้อ 5 (PLE_CC1_Key_Rx20_UBU.md)</t>
        </is>
      </c>
      <c r="O180" s="35" t="inlineStr">
        <is>
          <t>Mock</t>
        </is>
      </c>
      <c r="P180" s="35" t="inlineStr">
        <is>
          <t>Mock Rx20 UBU</t>
        </is>
      </c>
    </row>
    <row r="181" ht="13.2" customHeight="1" s="49">
      <c r="A181" s="35" t="n">
        <v>179</v>
      </c>
      <c r="B181" s="34"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35" t="n"/>
      <c r="D181" s="34" t="inlineStr">
        <is>
          <t>Sodium starch glycolate (Superdisintegrant)</t>
        </is>
      </c>
      <c r="E181" s="34" t="inlineStr">
        <is>
          <t>Direct Compression tableting method</t>
        </is>
      </c>
      <c r="F181" s="34" t="inlineStr">
        <is>
          <t>Wet Granulation tableting method</t>
        </is>
      </c>
      <c r="G181" s="34" t="inlineStr">
        <is>
          <t>Dry Granulation (Roller Compaction)</t>
        </is>
      </c>
      <c r="H181" s="34" t="inlineStr">
        <is>
          <t>Fluidized Bed Granulation</t>
        </is>
      </c>
      <c r="I181" s="35" t="n">
        <v>1</v>
      </c>
      <c r="J181" s="34"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35" t="n"/>
      <c r="L181" s="34" t="inlineStr">
        <is>
          <t>Tablet Defects</t>
        </is>
      </c>
      <c r="M181" s="35" t="inlineStr">
        <is>
          <t>Product</t>
        </is>
      </c>
      <c r="N181" s="34" t="inlineStr">
        <is>
          <t>ข้อ 37 (PLE_CC1_Key_Rx20_UBU.md)</t>
        </is>
      </c>
      <c r="O181" s="35" t="inlineStr">
        <is>
          <t>Mock</t>
        </is>
      </c>
      <c r="P181" s="35" t="inlineStr">
        <is>
          <t>Mock Rx20 UBU</t>
        </is>
      </c>
    </row>
    <row r="182" ht="13.2" customHeight="1" s="49">
      <c r="A182" s="35" t="n">
        <v>180</v>
      </c>
      <c r="B182" s="34" t="inlineStr">
        <is>
          <t>ลดปริมาณ Binder ในตำรับ</t>
        </is>
      </c>
      <c r="C182" s="35" t="n"/>
      <c r="D182" s="34" t="inlineStr">
        <is>
          <t>Dry Granulation (Roller Compaction)</t>
        </is>
      </c>
      <c r="E182" s="34" t="inlineStr">
        <is>
          <t>Fluidized Bed Granulation</t>
        </is>
      </c>
      <c r="F182" s="34" t="inlineStr">
        <is>
          <t>Film Coating with Hydroxypropyl methylcellulose (HPMC)</t>
        </is>
      </c>
      <c r="G182" s="34" t="inlineStr">
        <is>
          <t>Enteric Coating with Cellulose acetate phthalate (CAP)</t>
        </is>
      </c>
      <c r="H182" s="34" t="inlineStr">
        <is>
          <t>Hard Gelatin Capsule filling</t>
        </is>
      </c>
      <c r="I182" s="35" t="n">
        <v>1</v>
      </c>
      <c r="J182" s="34"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35" t="n"/>
      <c r="L182" s="34" t="inlineStr">
        <is>
          <t>Tablet Manufacturing</t>
        </is>
      </c>
      <c r="M182" s="35" t="inlineStr">
        <is>
          <t>Product</t>
        </is>
      </c>
      <c r="N182" s="34" t="inlineStr">
        <is>
          <t>ข้อ 2 (PLE_CC1_Key_Rx20_UBU.md)</t>
        </is>
      </c>
      <c r="O182" s="35" t="inlineStr">
        <is>
          <t>Mock</t>
        </is>
      </c>
      <c r="P182" s="35" t="inlineStr">
        <is>
          <t>Mock Rx20 UBU</t>
        </is>
      </c>
    </row>
    <row r="183" ht="13.2" customHeight="1" s="49">
      <c r="A183" s="35" t="n">
        <v>181</v>
      </c>
      <c r="B183" s="34" t="inlineStr">
        <is>
          <t>Magnesium stearate เปญนสาร....</t>
        </is>
      </c>
      <c r="C183" s="35" t="n"/>
      <c r="D183" s="34" t="inlineStr">
        <is>
          <t>Enteric Coating with Cellulose acetate phthalate (CAP)</t>
        </is>
      </c>
      <c r="E183" s="34" t="inlineStr">
        <is>
          <t>Hard Gelatin Capsule filling</t>
        </is>
      </c>
      <c r="F183" s="34" t="inlineStr">
        <is>
          <t>Soft Gelatin Capsule encapsulation</t>
        </is>
      </c>
      <c r="G183" s="34" t="inlineStr">
        <is>
          <t>Microcrystalline cellulose</t>
        </is>
      </c>
      <c r="H183" s="34" t="inlineStr">
        <is>
          <t>Magnesium stearate (Lubricant 1%)</t>
        </is>
      </c>
      <c r="I183" s="35" t="n">
        <v>1</v>
      </c>
      <c r="J183"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35" t="n"/>
      <c r="L183" s="34" t="inlineStr">
        <is>
          <t>Tablet Manufacturing</t>
        </is>
      </c>
      <c r="M183" s="35" t="inlineStr">
        <is>
          <t>Product</t>
        </is>
      </c>
      <c r="N183" s="34" t="inlineStr">
        <is>
          <t>ข้อ 4 (PLE_CC1_Key_Rx20_UBU.md)</t>
        </is>
      </c>
      <c r="O183" s="35" t="inlineStr">
        <is>
          <t>Mock</t>
        </is>
      </c>
      <c r="P183" s="35" t="inlineStr">
        <is>
          <t>Mock Rx20 UBU</t>
        </is>
      </c>
    </row>
    <row r="184" ht="13.2" customHeight="1" s="49">
      <c r="A184" s="35" t="n">
        <v>182</v>
      </c>
      <c r="B184" s="34" t="inlineStr">
        <is>
          <t>ยาเม็ด calcium carbonate เกิด capping ข้อใดไม่ใช่วิธีแก้ปัญหาดังกล่าว</t>
        </is>
      </c>
      <c r="C184" s="35" t="n"/>
      <c r="D184" s="34" t="inlineStr">
        <is>
          <t>Microcrystalline cellulose</t>
        </is>
      </c>
      <c r="E184" s="34" t="inlineStr">
        <is>
          <t>Magnesium stearate (Lubricant 1%)</t>
        </is>
      </c>
      <c r="F184" s="34" t="inlineStr">
        <is>
          <t>Sodium starch glycolate (Superdisintegrant)</t>
        </is>
      </c>
      <c r="G184" s="34" t="inlineStr">
        <is>
          <t>Direct Compression tableting method</t>
        </is>
      </c>
      <c r="H184" s="34" t="inlineStr">
        <is>
          <t>Wet Granulation tableting method</t>
        </is>
      </c>
      <c r="I184" s="35" t="n">
        <v>1</v>
      </c>
      <c r="J184" s="34"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35" t="n"/>
      <c r="L184" s="34" t="inlineStr">
        <is>
          <t>Tablet Defects</t>
        </is>
      </c>
      <c r="M184" s="35" t="inlineStr">
        <is>
          <t>Product</t>
        </is>
      </c>
      <c r="N184" s="34" t="inlineStr">
        <is>
          <t>ข้อ 6 (PLE_CC1_Key_Rx20_UBU.md)</t>
        </is>
      </c>
      <c r="O184" s="35" t="inlineStr">
        <is>
          <t>Mock</t>
        </is>
      </c>
      <c r="P184" s="35" t="inlineStr">
        <is>
          <t>Mock Rx20 UBU</t>
        </is>
      </c>
    </row>
    <row r="185" ht="13.2" customHeight="1" s="49">
      <c r="A185" s="35" t="n">
        <v>183</v>
      </c>
      <c r="B185" s="34" t="inlineStr">
        <is>
          <t>Acyclovir tablet ก็ให้ยาฆ่าเชื้อแบคทีเรีย</t>
        </is>
      </c>
      <c r="C185" s="35" t="n"/>
      <c r="D185" s="34" t="inlineStr">
        <is>
          <t>Direct Compression tableting method</t>
        </is>
      </c>
      <c r="E185" s="34" t="inlineStr">
        <is>
          <t>Wet Granulation tableting method</t>
        </is>
      </c>
      <c r="F185" s="34" t="inlineStr">
        <is>
          <t>Dry Granulation (Roller Compaction)</t>
        </is>
      </c>
      <c r="G185" s="34" t="inlineStr">
        <is>
          <t>Fluidized Bed Granulation</t>
        </is>
      </c>
      <c r="H185" s="34" t="inlineStr">
        <is>
          <t>Film Coating with Hydroxypropyl methylcellulose (HPMC)</t>
        </is>
      </c>
      <c r="I185" s="35" t="n">
        <v>2</v>
      </c>
      <c r="J185" s="34"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35" t="n"/>
      <c r="L185" s="34" t="inlineStr">
        <is>
          <t>Tablet Manufacturing</t>
        </is>
      </c>
      <c r="M185" s="35" t="inlineStr">
        <is>
          <t>Product</t>
        </is>
      </c>
      <c r="N185" s="34" t="inlineStr">
        <is>
          <t>ข้อ 5 (PLE_CC1_Key_Rx20_UBU.md)</t>
        </is>
      </c>
      <c r="O185" s="35" t="inlineStr">
        <is>
          <t>Mock</t>
        </is>
      </c>
      <c r="P185" s="35" t="inlineStr">
        <is>
          <t>Mock Rx20 UBU</t>
        </is>
      </c>
    </row>
    <row r="186" ht="13.2" customHeight="1" s="49">
      <c r="A186" s="35" t="n">
        <v>184</v>
      </c>
      <c r="B186" s="34" t="inlineStr">
        <is>
          <t>การวิเคราะห์ที่ไม่ต้องทำในการวิเคราะห์วัตถุดิบ XXX Tablet</t>
        </is>
      </c>
      <c r="C186" s="35" t="n"/>
      <c r="D186" s="34" t="inlineStr">
        <is>
          <t>Fluidized Bed Granulation</t>
        </is>
      </c>
      <c r="E186" s="34" t="inlineStr">
        <is>
          <t>Film Coating with Hydroxypropyl methylcellulose (HPMC)</t>
        </is>
      </c>
      <c r="F186" s="34" t="inlineStr">
        <is>
          <t>Enteric Coating with Cellulose acetate phthalate (CAP)</t>
        </is>
      </c>
      <c r="G186" s="34" t="inlineStr">
        <is>
          <t>Hard Gelatin Capsule filling</t>
        </is>
      </c>
      <c r="H186" s="34" t="inlineStr">
        <is>
          <t>Soft Gelatin Capsule encapsulation</t>
        </is>
      </c>
      <c r="I186" s="35" t="n">
        <v>1</v>
      </c>
      <c r="J186" s="34"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35" t="n"/>
      <c r="L186" s="34" t="inlineStr">
        <is>
          <t>Tablet Manufacturing</t>
        </is>
      </c>
      <c r="M186" s="35" t="inlineStr">
        <is>
          <t>Product</t>
        </is>
      </c>
      <c r="N186" s="34" t="inlineStr">
        <is>
          <t>ข้อ 3 (PLE_CC1_Key_Rx20_UBU.md)</t>
        </is>
      </c>
      <c r="O186" s="35" t="inlineStr">
        <is>
          <t>Mock</t>
        </is>
      </c>
      <c r="P186" s="35" t="inlineStr">
        <is>
          <t>Mock Rx20 UBU</t>
        </is>
      </c>
    </row>
    <row r="187" ht="13.2" customHeight="1" s="49">
      <c r="A187" s="35" t="n">
        <v>185</v>
      </c>
      <c r="B187" s="34" t="inlineStr">
        <is>
          <t>ในการผลิต Azithromycin สามารถใช้สารใดเป็น Superdisintegrant</t>
        </is>
      </c>
      <c r="C187" s="35" t="n"/>
      <c r="D187" s="34" t="inlineStr">
        <is>
          <t>Pregelatinized starch</t>
        </is>
      </c>
      <c r="E187" s="34" t="inlineStr">
        <is>
          <t>Sodium lauryl sulfate</t>
        </is>
      </c>
      <c r="F187" s="34" t="inlineStr">
        <is>
          <t>Croscarmellose sodium</t>
        </is>
      </c>
      <c r="G187" s="34" t="inlineStr">
        <is>
          <t>HPMC</t>
        </is>
      </c>
      <c r="H187" s="34" t="inlineStr">
        <is>
          <t>Lactose</t>
        </is>
      </c>
      <c r="I187" s="35" t="n">
        <v>3</v>
      </c>
      <c r="J187" s="34"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35" t="n"/>
      <c r="L187" s="34" t="inlineStr">
        <is>
          <t>Tablet Manufacturing</t>
        </is>
      </c>
      <c r="M187" s="35" t="inlineStr">
        <is>
          <t>Product</t>
        </is>
      </c>
      <c r="N187" s="34" t="inlineStr">
        <is>
          <t>ข้อ 26 (PLE_CC1_Key_Rx20_UBU.md)</t>
        </is>
      </c>
      <c r="O187" s="35" t="inlineStr">
        <is>
          <t>Mock</t>
        </is>
      </c>
      <c r="P187" s="35" t="inlineStr">
        <is>
          <t>Mock Rx20 UBU</t>
        </is>
      </c>
    </row>
    <row r="188" ht="13.2" customHeight="1" s="49">
      <c r="A188" s="35" t="n">
        <v>186</v>
      </c>
      <c r="B188" s="34" t="inlineStr">
        <is>
          <t>การผสม Magnesium stearate กับ granule ในขั้นตอนสุดท้าย ใช้เครื่องมือใด</t>
        </is>
      </c>
      <c r="C188" s="35" t="n"/>
      <c r="D188" s="34" t="inlineStr">
        <is>
          <t>High speed mixer</t>
        </is>
      </c>
      <c r="E188" s="34" t="inlineStr">
        <is>
          <t>Planetary mixer</t>
        </is>
      </c>
      <c r="F188" s="34" t="inlineStr">
        <is>
          <t>Sigma blade mixer</t>
        </is>
      </c>
      <c r="G188" s="34" t="inlineStr">
        <is>
          <t>Double-cone mixer</t>
        </is>
      </c>
      <c r="H188" s="34" t="inlineStr">
        <is>
          <t>Roller compactor</t>
        </is>
      </c>
      <c r="I188" s="35" t="n">
        <v>2</v>
      </c>
      <c r="J188" s="34"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35" t="n"/>
      <c r="L188" s="34" t="inlineStr">
        <is>
          <t>Powders &amp; Granules</t>
        </is>
      </c>
      <c r="M188" s="35" t="inlineStr">
        <is>
          <t>Product</t>
        </is>
      </c>
      <c r="N188" s="34" t="inlineStr">
        <is>
          <t>ข้อ 37 (PLE_CC1_Key_Rx20_UBU.md)</t>
        </is>
      </c>
      <c r="O188" s="35" t="inlineStr">
        <is>
          <t>Mock</t>
        </is>
      </c>
      <c r="P188" s="35" t="inlineStr">
        <is>
          <t>Mock Rx20 UBU</t>
        </is>
      </c>
    </row>
    <row r="189" ht="13.2" customHeight="1" s="49">
      <c r="A189" s="35" t="n">
        <v>187</v>
      </c>
      <c r="B189" s="34" t="inlineStr">
        <is>
          <t>เพราะเหตุใด Omeprazole จึงต้องทำเป็น Enteric-coated tablet</t>
        </is>
      </c>
      <c r="C189" s="35" t="n"/>
      <c r="D189" s="34" t="inlineStr">
        <is>
          <t>Acid labile</t>
        </is>
      </c>
      <c r="E189" s="34" t="inlineStr">
        <is>
          <t>Heat labile</t>
        </is>
      </c>
      <c r="F189" s="34" t="inlineStr">
        <is>
          <t>high molecular weight</t>
        </is>
      </c>
      <c r="G189" s="34" t="inlineStr">
        <is>
          <t>short half-life</t>
        </is>
      </c>
      <c r="H189" s="34" t="inlineStr">
        <is>
          <t>lipophilicity</t>
        </is>
      </c>
      <c r="I189" s="35" t="n">
        <v>1</v>
      </c>
      <c r="J189" s="34"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35" t="n"/>
      <c r="L189" s="34" t="inlineStr">
        <is>
          <t>Tablet Coating</t>
        </is>
      </c>
      <c r="M189" s="35" t="inlineStr">
        <is>
          <t>Product</t>
        </is>
      </c>
      <c r="N189" s="34" t="inlineStr">
        <is>
          <t>ข้อ 51 (PLE_CC1_Key_Rx20_UBU.md)</t>
        </is>
      </c>
      <c r="O189" s="35" t="inlineStr">
        <is>
          <t>Mock</t>
        </is>
      </c>
      <c r="P189" s="35" t="inlineStr">
        <is>
          <t>Mock Rx20 UBU</t>
        </is>
      </c>
    </row>
    <row r="190" ht="13.2" customHeight="1" s="49">
      <c r="A190" s="35" t="n">
        <v>188</v>
      </c>
      <c r="B190" s="34" t="inlineStr">
        <is>
          <t>Metformin 500 mg tablet มีปัญหาน้ำหนักเม็ดยาไม่สม่ำเสมอแก้ปัญหาได้โดยวิธีเติมสารใด</t>
        </is>
      </c>
      <c r="C190" s="35" t="n"/>
      <c r="D190" s="34" t="inlineStr">
        <is>
          <t>Colloidal silicon dioxide + Talcum</t>
        </is>
      </c>
      <c r="E190" s="34" t="inlineStr">
        <is>
          <t>Lactose + Corn starch</t>
        </is>
      </c>
      <c r="F190" s="34" t="inlineStr">
        <is>
          <t>Sodium starch glycolate + …</t>
        </is>
      </c>
      <c r="G190" s="34" t="inlineStr">
        <is>
          <t>Magnesium stearte + Lactose</t>
        </is>
      </c>
      <c r="H190" s="34"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35" t="n">
        <v>3</v>
      </c>
      <c r="J190" s="34"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35" t="n"/>
      <c r="L190" s="34" t="inlineStr">
        <is>
          <t>Tablet Manufacturing</t>
        </is>
      </c>
      <c r="M190" s="35" t="inlineStr">
        <is>
          <t>Product</t>
        </is>
      </c>
      <c r="N190" s="34" t="inlineStr">
        <is>
          <t>ข้อ 25 (PLE_CC1_Key_Rx20_UBU.md)</t>
        </is>
      </c>
      <c r="O190" s="35" t="inlineStr">
        <is>
          <t>Mock</t>
        </is>
      </c>
      <c r="P190" s="35" t="inlineStr">
        <is>
          <t>Mock Rx20 UBU</t>
        </is>
      </c>
    </row>
    <row r="191" ht="13.2" customHeight="1" s="49">
      <c r="A191" s="35" t="n">
        <v>189</v>
      </c>
      <c r="B191" s="34" t="inlineStr">
        <is>
          <t>dosage form ของ clotrimazole vaginal tablet สามารถเรียกอีกชื่อหนึ่งได้ว่าอะไร</t>
        </is>
      </c>
      <c r="C191" s="35" t="n"/>
      <c r="D191" s="34" t="inlineStr">
        <is>
          <t>lozenges</t>
        </is>
      </c>
      <c r="E191" s="34" t="inlineStr">
        <is>
          <t>troches</t>
        </is>
      </c>
      <c r="F191" s="34" t="inlineStr">
        <is>
          <t>pessaries</t>
        </is>
      </c>
      <c r="G191" s="34" t="inlineStr">
        <is>
          <t>enemas</t>
        </is>
      </c>
      <c r="H191" s="34" t="inlineStr">
        <is>
          <t>pills</t>
        </is>
      </c>
      <c r="I191" s="35" t="n">
        <v>3</v>
      </c>
      <c r="J191" s="34"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35" t="n"/>
      <c r="L191" s="34" t="inlineStr">
        <is>
          <t>Tablet Manufacturing</t>
        </is>
      </c>
      <c r="M191" s="35" t="inlineStr">
        <is>
          <t>Product</t>
        </is>
      </c>
      <c r="N191" s="34" t="inlineStr">
        <is>
          <t>ข้อ 34 (PLE_CC1_Key_Rx20_UBU.md)</t>
        </is>
      </c>
      <c r="O191" s="35" t="inlineStr">
        <is>
          <t>Mock</t>
        </is>
      </c>
      <c r="P191" s="35" t="inlineStr">
        <is>
          <t>Mock Rx20 UBU</t>
        </is>
      </c>
    </row>
    <row r="192" ht="13.2" customHeight="1" s="49">
      <c r="A192" s="35" t="n">
        <v>190</v>
      </c>
      <c r="B192" s="34"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35" t="n"/>
      <c r="D192" s="34" t="inlineStr">
        <is>
          <t>เม็ดยามีความ Hydrophobic มากเกินไป</t>
        </is>
      </c>
      <c r="E192" s="34" t="inlineStr">
        <is>
          <t>ตำรับฟิล์มขาด Plasticizer</t>
        </is>
      </c>
      <c r="F192" s="34" t="inlineStr">
        <is>
          <t>ตำรับฟิล์มขาด Anti-tacking agent</t>
        </is>
      </c>
      <c r="G192" s="34" t="inlineStr">
        <is>
          <t>ความเข้มข้นของตำรับฟิล์มน้อยเกินไป</t>
        </is>
      </c>
      <c r="H192" s="34" t="inlineStr">
        <is>
          <t>เม็ดยาชื้นเกินไป การเตรียมฟิล์มเคลือบยา ส่วนประกอบสำคัญให้น้ำยาเคลือบดี ไม่ขาดร่อนคือการใส่ plasticizer</t>
        </is>
      </c>
      <c r="I192" s="35" t="n">
        <v>2</v>
      </c>
      <c r="J192" s="34"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35" t="n"/>
      <c r="L192" s="34" t="inlineStr">
        <is>
          <t>Tablet Coating</t>
        </is>
      </c>
      <c r="M192" s="35" t="inlineStr">
        <is>
          <t>Product</t>
        </is>
      </c>
      <c r="N192" s="34" t="inlineStr">
        <is>
          <t>ข้อ 70 (PLE_CC1_Key_Rx20_UBU.md)</t>
        </is>
      </c>
      <c r="O192" s="35" t="inlineStr">
        <is>
          <t>Mock</t>
        </is>
      </c>
      <c r="P192" s="35" t="inlineStr">
        <is>
          <t>Mock Rx20 UBU</t>
        </is>
      </c>
    </row>
    <row r="193" ht="13.2" customHeight="1" s="49">
      <c r="A193" s="35" t="n">
        <v>191</v>
      </c>
      <c r="B193" s="34" t="inlineStr">
        <is>
          <t>Magnesium stearate ทำหน้าที่อะไร</t>
        </is>
      </c>
      <c r="C193" s="35" t="n"/>
      <c r="D193" s="34" t="inlineStr">
        <is>
          <t>เพิ่มมวลของเม็ดยา</t>
        </is>
      </c>
      <c r="E193" s="34" t="inlineStr">
        <is>
          <t>ทำให้เม็ดยาแข็งขึ้น</t>
        </is>
      </c>
      <c r="F193" s="34" t="inlineStr">
        <is>
          <t>ทำให้เม็ดยาเกาะกันได้ดีขึ้น</t>
        </is>
      </c>
      <c r="G193" s="34" t="inlineStr">
        <is>
          <t>ช่วยทำให้เม็ดยามีความแข็งมากขึ้น</t>
        </is>
      </c>
      <c r="H193" s="34" t="inlineStr">
        <is>
          <t>ทำให้ไม่ติด punch-die</t>
        </is>
      </c>
      <c r="I193" s="35" t="n">
        <v>5</v>
      </c>
      <c r="J193" s="34"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35" t="n"/>
      <c r="L193" s="34" t="inlineStr">
        <is>
          <t>Tablet Manufacturing</t>
        </is>
      </c>
      <c r="M193" s="35" t="inlineStr">
        <is>
          <t>Product</t>
        </is>
      </c>
      <c r="N193" s="34" t="inlineStr">
        <is>
          <t>ข้อ 88 (PLE_CC1_Key_Rx20_UBU.md)</t>
        </is>
      </c>
      <c r="O193" s="35" t="inlineStr">
        <is>
          <t>Mock</t>
        </is>
      </c>
      <c r="P193" s="35" t="inlineStr">
        <is>
          <t>Mock Rx20 UBU</t>
        </is>
      </c>
    </row>
    <row r="194" ht="13.2" customHeight="1" s="49">
      <c r="A194" s="35" t="n">
        <v>192</v>
      </c>
      <c r="B194" s="34" t="inlineStr">
        <is>
          <t>ยาเม็ดสีฟ้าขาว แบ่งจากบริษัท A บรรจุใส่กระปุก 3 กระปุก โดยติดฉลากใหม่ว่า “พอนสะแตน”</t>
        </is>
      </c>
      <c r="C194" s="35" t="n"/>
      <c r="D194" s="34" t="inlineStr">
        <is>
          <t>Enteric Coating with Cellulose acetate phthalate (CAP)</t>
        </is>
      </c>
      <c r="E194" s="34" t="inlineStr">
        <is>
          <t>Hard Gelatin Capsule filling</t>
        </is>
      </c>
      <c r="F194" s="34" t="inlineStr">
        <is>
          <t>Soft Gelatin Capsule encapsulation</t>
        </is>
      </c>
      <c r="G194" s="34" t="inlineStr">
        <is>
          <t>Microcrystalline cellulose</t>
        </is>
      </c>
      <c r="H194" s="34" t="inlineStr">
        <is>
          <t>Magnesium stearate (Lubricant 1%)</t>
        </is>
      </c>
      <c r="I194" s="35" t="n">
        <v>1</v>
      </c>
      <c r="J194" s="34"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35" t="n"/>
      <c r="L194" s="34" t="inlineStr">
        <is>
          <t>Tablet Manufacturing</t>
        </is>
      </c>
      <c r="M194" s="35" t="inlineStr">
        <is>
          <t>Product</t>
        </is>
      </c>
      <c r="N194" s="34" t="inlineStr">
        <is>
          <t>ข้อ 2 (PLE_CC1_Key_Rx20_UBU.md)</t>
        </is>
      </c>
      <c r="O194" s="35" t="inlineStr">
        <is>
          <t>Mock</t>
        </is>
      </c>
      <c r="P194" s="35" t="inlineStr">
        <is>
          <t>Mock Rx20 UBU</t>
        </is>
      </c>
    </row>
    <row r="195" ht="13.2" customHeight="1" s="49">
      <c r="A195" s="35" t="n">
        <v>193</v>
      </c>
      <c r="B195" s="34" t="inlineStr">
        <is>
          <t>ยาเม็ดกลมสีเหลือง และเม็ดกลมสีขาว จัดเป็นชุดใส่ซอง เตรียมไว้ล่วงหน้า เขียนฉลากว่า แก้ปวด จำนวน 36 ซอง</t>
        </is>
      </c>
      <c r="C195" s="35" t="n"/>
      <c r="D195" s="34" t="inlineStr">
        <is>
          <t>Microcrystalline cellulose</t>
        </is>
      </c>
      <c r="E195" s="34" t="inlineStr">
        <is>
          <t>Magnesium stearate (Lubricant 1%)</t>
        </is>
      </c>
      <c r="F195" s="34" t="inlineStr">
        <is>
          <t>Sodium starch glycolate (Superdisintegrant)</t>
        </is>
      </c>
      <c r="G195" s="34" t="inlineStr">
        <is>
          <t>Direct Compression tableting method</t>
        </is>
      </c>
      <c r="H195" s="34" t="inlineStr">
        <is>
          <t>Wet Granulation tableting method</t>
        </is>
      </c>
      <c r="I195" s="35" t="n">
        <v>1</v>
      </c>
      <c r="J195" s="34"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35" t="n"/>
      <c r="L195" s="34" t="inlineStr">
        <is>
          <t>Tablet Manufacturing</t>
        </is>
      </c>
      <c r="M195" s="35" t="inlineStr">
        <is>
          <t>Product</t>
        </is>
      </c>
      <c r="N195" s="34" t="inlineStr">
        <is>
          <t>ข้อ 3 (PLE_CC1_Key_Rx20_UBU.md)</t>
        </is>
      </c>
      <c r="O195" s="35" t="inlineStr">
        <is>
          <t>Mock</t>
        </is>
      </c>
      <c r="P195" s="35" t="inlineStr">
        <is>
          <t>Mock Rx20 UBU</t>
        </is>
      </c>
    </row>
    <row r="196" ht="13.2" customHeight="1" s="49">
      <c r="A196" s="35" t="n">
        <v>194</v>
      </c>
      <c r="B196" s="34"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35" t="n"/>
      <c r="D196" s="34" t="inlineStr">
        <is>
          <t>Direct Compression tableting method</t>
        </is>
      </c>
      <c r="E196" s="34" t="inlineStr">
        <is>
          <t>Wet Granulation tableting method</t>
        </is>
      </c>
      <c r="F196" s="34" t="inlineStr">
        <is>
          <t>Dry Granulation (Roller Compaction)</t>
        </is>
      </c>
      <c r="G196" s="34" t="inlineStr">
        <is>
          <t>Fluidized Bed Granulation</t>
        </is>
      </c>
      <c r="H196" s="34" t="inlineStr">
        <is>
          <t>Film Coating with Hydroxypropyl methylcellulose (HPMC)</t>
        </is>
      </c>
      <c r="I196" s="35" t="n">
        <v>1</v>
      </c>
      <c r="J196" s="34"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35" t="n"/>
      <c r="L196" s="34" t="inlineStr">
        <is>
          <t>Tablet Manufacturing</t>
        </is>
      </c>
      <c r="M196" s="35" t="inlineStr">
        <is>
          <t>Product</t>
        </is>
      </c>
      <c r="N196" s="34" t="inlineStr">
        <is>
          <t>ข้อ 4 (PLE_CC1_Key_Rx20_UBU.md)</t>
        </is>
      </c>
      <c r="O196" s="35" t="inlineStr">
        <is>
          <t>Mock</t>
        </is>
      </c>
      <c r="P196" s="35" t="inlineStr">
        <is>
          <t>Mock Rx20 UBU</t>
        </is>
      </c>
    </row>
    <row r="197" ht="13.2" customHeight="1" s="49">
      <c r="A197" s="35" t="n">
        <v>195</v>
      </c>
      <c r="B197" s="34" t="inlineStr">
        <is>
          <t>กรณีพบยาเม็ดฟ้าขาว บรรจุกระปุก ฉลากระบุ “พอนสะแตน” ใครผิด ผิดอย่างไร</t>
        </is>
      </c>
      <c r="C197" s="35" t="n"/>
      <c r="D197" s="34" t="inlineStr">
        <is>
          <t>นาย ค ผิด ฐานขายยาปลอม</t>
        </is>
      </c>
      <c r="E197" s="34" t="inlineStr">
        <is>
          <t>นาง ข ผิด ฐานขายยาปลอม</t>
        </is>
      </c>
      <c r="F197" s="34" t="inlineStr">
        <is>
          <t>ภญ. ก ผิด ฐานผลิตยาปลอม</t>
        </is>
      </c>
      <c r="G197" s="34" t="inlineStr">
        <is>
          <t>ภญ. ก ผิด ฐานผลิตยาที่ไม่ได้ขึ้นทะเบียน</t>
        </is>
      </c>
      <c r="H197" s="34" t="inlineStr">
        <is>
          <t>ภญ. ก ผิด ฐานฉลากไม่ครบถ้วน</t>
        </is>
      </c>
      <c r="I197" s="35" t="n">
        <v>3</v>
      </c>
      <c r="J197" s="34"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35" t="n"/>
      <c r="L197" s="34" t="inlineStr">
        <is>
          <t>Tablet Manufacturing</t>
        </is>
      </c>
      <c r="M197" s="35" t="inlineStr">
        <is>
          <t>Product</t>
        </is>
      </c>
      <c r="N197" s="34" t="inlineStr">
        <is>
          <t>ข้อ 111 (PLE_CC1_Key_Rx20_UBU.md)</t>
        </is>
      </c>
      <c r="O197" s="35" t="inlineStr">
        <is>
          <t>Mock</t>
        </is>
      </c>
      <c r="P197" s="35" t="inlineStr">
        <is>
          <t>Mock Rx20 UBU</t>
        </is>
      </c>
    </row>
    <row r="198" ht="13.2" customHeight="1" s="49">
      <c r="A198" s="35" t="n">
        <v>196</v>
      </c>
      <c r="B198" s="34" t="inlineStr">
        <is>
          <t>ตำรับ calcium carbonate effervescent tablet เอาออกจากขวดพบว่าเกิดการเยิ้มเหลว เหนียว เกิดจากปริมาณสารใดมากเกินไปในตำรับ</t>
        </is>
      </c>
      <c r="C198" s="35" t="n"/>
      <c r="D198" s="34" t="inlineStr">
        <is>
          <t>Citric acid</t>
        </is>
      </c>
      <c r="E198" s="34" t="inlineStr">
        <is>
          <t>Tartaric acid</t>
        </is>
      </c>
      <c r="F198" s="34" t="inlineStr">
        <is>
          <t>Sodium bicarbinate</t>
        </is>
      </c>
      <c r="G198" s="34" t="inlineStr">
        <is>
          <t>Sodium carbonate</t>
        </is>
      </c>
      <c r="H198" s="34" t="inlineStr">
        <is>
          <t>Calcium carbonate</t>
        </is>
      </c>
      <c r="I198" s="35" t="n">
        <v>4</v>
      </c>
      <c r="J198" s="34"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35" t="n"/>
      <c r="L198" s="34" t="inlineStr">
        <is>
          <t>Tablet Manufacturing</t>
        </is>
      </c>
      <c r="M198" s="35" t="inlineStr">
        <is>
          <t>Product</t>
        </is>
      </c>
      <c r="N198" s="34" t="inlineStr">
        <is>
          <t>ข้อ 8 (PLE_CC1_Key_Rx20_UBU.md)</t>
        </is>
      </c>
      <c r="O198" s="35" t="inlineStr">
        <is>
          <t>Mock</t>
        </is>
      </c>
      <c r="P198" s="35" t="inlineStr">
        <is>
          <t>Mock Rx20 UBU</t>
        </is>
      </c>
    </row>
    <row r="199" ht="13.2" customHeight="1" s="49">
      <c r="A199" s="35" t="n">
        <v>197</v>
      </c>
      <c r="B199" s="34"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35" t="n"/>
      <c r="D199" s="34" t="inlineStr">
        <is>
          <t>ไม่สามารถทำการศึกษาไปข้างหน้าได้</t>
        </is>
      </c>
      <c r="E199" s="34" t="inlineStr">
        <is>
          <t>ใช้การศึกษา cost - analysis</t>
        </is>
      </c>
      <c r="F199" s="34" t="inlineStr">
        <is>
          <t>ดูผล QALY เป็นการศึกษาแบบ Cost - benefit</t>
        </is>
      </c>
      <c r="G199" s="34" t="inlineStr">
        <is>
          <t>ค่าเดินทางไปรักษาเป็นต้นทุนทางอ้อม</t>
        </is>
      </c>
      <c r="H199" s="34" t="inlineStr">
        <is>
          <t>ต้นทุนทางตรงเมื่อผ่านไป 1 ปี ต้องคำนวณค่าลด (discount)</t>
        </is>
      </c>
      <c r="I199" s="35" t="n">
        <v>1</v>
      </c>
      <c r="J199" s="34"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35" t="n"/>
      <c r="L199" s="34" t="inlineStr">
        <is>
          <t>Powders &amp; Granules</t>
        </is>
      </c>
      <c r="M199" s="35" t="inlineStr">
        <is>
          <t>Product</t>
        </is>
      </c>
      <c r="N199" s="34" t="inlineStr">
        <is>
          <t>ข้อ 3 (PLE_CC1_Key_Rx20_UBU.md)</t>
        </is>
      </c>
      <c r="O199" s="35" t="inlineStr">
        <is>
          <t>Mock</t>
        </is>
      </c>
      <c r="P199" s="35" t="inlineStr">
        <is>
          <t>Mock Rx20 UBU</t>
        </is>
      </c>
    </row>
    <row r="200" ht="13.2" customHeight="1" s="49">
      <c r="A200" s="35" t="n">
        <v>198</v>
      </c>
      <c r="B200" s="34" t="inlineStr">
        <is>
          <t>Subcoating เพื่อให้ได้ขอบยาเม็ดกลมมน</t>
        </is>
      </c>
      <c r="C200" s="35" t="n"/>
      <c r="D200" s="34" t="inlineStr">
        <is>
          <t>Film Coating with Hydroxypropyl methylcellulose (HPMC)</t>
        </is>
      </c>
      <c r="E200" s="34" t="inlineStr">
        <is>
          <t>Enteric Coating with Cellulose acetate phthalate (CAP)</t>
        </is>
      </c>
      <c r="F200" s="34" t="inlineStr">
        <is>
          <t>Hard Gelatin Capsule filling</t>
        </is>
      </c>
      <c r="G200" s="34" t="inlineStr">
        <is>
          <t>Soft Gelatin Capsule encapsulation</t>
        </is>
      </c>
      <c r="H200" s="34" t="inlineStr">
        <is>
          <t>Microcrystalline cellulose</t>
        </is>
      </c>
      <c r="I200" s="35" t="n">
        <v>1</v>
      </c>
      <c r="J200" s="34"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35" t="n"/>
      <c r="L200" s="34" t="inlineStr">
        <is>
          <t>Tablet Coating</t>
        </is>
      </c>
      <c r="M200" s="35" t="inlineStr">
        <is>
          <t>Product</t>
        </is>
      </c>
      <c r="N200" s="34" t="inlineStr">
        <is>
          <t>ข้อ 2 (PLE_CC1_Key_Rx20_UBU.md)</t>
        </is>
      </c>
      <c r="O200" s="35" t="inlineStr">
        <is>
          <t>Mock</t>
        </is>
      </c>
      <c r="P200" s="35" t="inlineStr">
        <is>
          <t>Mock Rx20 UBU</t>
        </is>
      </c>
    </row>
    <row r="201" ht="13.2" customHeight="1" s="49">
      <c r="A201" s="35" t="n">
        <v>199</v>
      </c>
      <c r="B201" s="34" t="inlineStr">
        <is>
          <t>Magnesium stearate มีส่วนประกอบดังนี้คือ Microcrystalline cellulose, Starch, Lactose, Colloidal silicon dioxide, SLS ข้อใดคือารช่วยลื่นไหลในตำรับ</t>
        </is>
      </c>
      <c r="C201" s="35" t="n"/>
      <c r="D201" s="34" t="inlineStr">
        <is>
          <t>Microcrystalline cellulose</t>
        </is>
      </c>
      <c r="E201" s="34" t="inlineStr">
        <is>
          <t>Starch</t>
        </is>
      </c>
      <c r="F201" s="34" t="inlineStr">
        <is>
          <t>Lactose</t>
        </is>
      </c>
      <c r="G201" s="34" t="inlineStr">
        <is>
          <t>Colloidal silicon dioxide</t>
        </is>
      </c>
      <c r="H201" s="34" t="inlineStr">
        <is>
          <t>SLS</t>
        </is>
      </c>
      <c r="I201" s="35" t="n">
        <v>1</v>
      </c>
      <c r="J201" s="34" t="inlineStr">
        <is>
          <t>✅ คำตอบที่ถูกต้อง: ข้อ ก. Microcrystalline cellulose
💡 Background:
คำถามข้อสอบจริงใบประกอบวิชาชีพ PLE-CC 1 (Product) ปี 2567 ข้อ 15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1" s="35" t="n"/>
      <c r="L201" s="34" t="inlineStr">
        <is>
          <t>Solid Dosage Forms &amp; Manufacturing</t>
        </is>
      </c>
      <c r="M201" s="35" t="inlineStr">
        <is>
          <t>Product</t>
        </is>
      </c>
      <c r="N201" s="34" t="inlineStr">
        <is>
          <t>ข้อสอบจริง Product ปี 2567 ข้อ 15</t>
        </is>
      </c>
      <c r="O201" s="35" t="inlineStr">
        <is>
          <t>ข้อสอบจริง</t>
        </is>
      </c>
      <c r="P201" s="35" t="inlineStr">
        <is>
          <t>ปี 2567</t>
        </is>
      </c>
    </row>
    <row r="202" ht="13.2" customHeight="1" s="49">
      <c r="A202" s="35" t="n">
        <v>200</v>
      </c>
      <c r="B202" s="34" t="inlineStr">
        <is>
          <t>ยาเม็ดมีปัญาน้ำหนักไม่สม่ำเมอ เนื่องจากผงยาไหลลงเข้าไม่เท่ากันจากการไหลไม่ดี ควรเติมสารใด</t>
        </is>
      </c>
      <c r="C202" s="35" t="n"/>
      <c r="D202" s="34" t="inlineStr">
        <is>
          <t>PEG (Polyethylene Glycol)</t>
        </is>
      </c>
      <c r="E202" s="34" t="inlineStr">
        <is>
          <t>Calcium phosphate</t>
        </is>
      </c>
      <c r="F202" s="34" t="inlineStr">
        <is>
          <t>TiO2 (Titanium Dioxide)</t>
        </is>
      </c>
      <c r="G202" s="34" t="inlineStr">
        <is>
          <t>Clay</t>
        </is>
      </c>
      <c r="H202" s="34" t="inlineStr">
        <is>
          <t>Colloidal silica</t>
        </is>
      </c>
      <c r="I202" s="35" t="n">
        <v>1</v>
      </c>
      <c r="J202" s="34" t="inlineStr">
        <is>
          <t>✅ คำตอบที่ถูกต้อง: ข้อ ก. PEG (Polyethylene Glycol)
💡 Background:
คำถามข้อสอบจริงใบประกอบวิชาชีพ PLE-CC 1 (Product) ปี 2567 ข้อ 33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2" s="35" t="n"/>
      <c r="L202" s="34" t="inlineStr">
        <is>
          <t>Solid Dosage Forms &amp; Manufacturing</t>
        </is>
      </c>
      <c r="M202" s="35" t="inlineStr">
        <is>
          <t>Product</t>
        </is>
      </c>
      <c r="N202" s="34" t="inlineStr">
        <is>
          <t>ข้อสอบจริง Product ปี 2567 ข้อ 33</t>
        </is>
      </c>
      <c r="O202" s="35" t="inlineStr">
        <is>
          <t>ข้อสอบจริง</t>
        </is>
      </c>
      <c r="P202" s="35" t="inlineStr">
        <is>
          <t>ปี 2567</t>
        </is>
      </c>
    </row>
    <row r="203" ht="13.2" customHeight="1" s="49">
      <c r="A203" s="35" t="n">
        <v>201</v>
      </c>
      <c r="B203" s="34" t="inlineStr">
        <is>
          <t>ข้อใดไม่เกี่ยวกับการทดสอบเชื้อจุลชีพใน tablets</t>
        </is>
      </c>
      <c r="C203" s="35" t="n"/>
      <c r="D203" s="34" t="inlineStr">
        <is>
          <t>container-closure integrity</t>
        </is>
      </c>
      <c r="E203" s="34" t="inlineStr">
        <is>
          <t>sterility test</t>
        </is>
      </c>
      <c r="F203" s="34" t="inlineStr">
        <is>
          <t>Moisture test</t>
        </is>
      </c>
      <c r="G203" s="34" t="inlineStr">
        <is>
          <t>microbial enumeration test</t>
        </is>
      </c>
      <c r="H203" s="34" t="n"/>
      <c r="I203" s="35" t="n">
        <v>1</v>
      </c>
      <c r="J203" s="34" t="inlineStr">
        <is>
          <t>✅ คำตอบที่ถูกต้อง: ข้อ ก. container-closure integrity
💡 Background:
คำถามข้อสอบจริงใบประกอบวิชาชีพ PLE-CC 1 (Product) ปี 2567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3" s="35" t="n"/>
      <c r="L203" s="34" t="inlineStr">
        <is>
          <t>Solid Dosage Forms &amp; Manufacturing</t>
        </is>
      </c>
      <c r="M203" s="35" t="inlineStr">
        <is>
          <t>Product</t>
        </is>
      </c>
      <c r="N203" s="34" t="inlineStr">
        <is>
          <t>ข้อสอบจริง Product ปี 2567 ข้อ 35</t>
        </is>
      </c>
      <c r="O203" s="35" t="inlineStr">
        <is>
          <t>ข้อสอบจริง</t>
        </is>
      </c>
      <c r="P203" s="35" t="inlineStr">
        <is>
          <t>ปี 2567</t>
        </is>
      </c>
    </row>
    <row r="204" ht="13.2" customHeight="1" s="49">
      <c r="A204" s="35" t="n">
        <v>202</v>
      </c>
      <c r="B204" s="34" t="inlineStr">
        <is>
          <t>(ปี 2566, Day 2 ข้อ 71\) (เรื่อง: Uniformity of Dosage Unit - Domperidone/Omeprazole) ⚠️ Domperidone 10 mg tablets และ Omeprazole 25 mg capsules ควรใช้วิธีใดตรวจ uniformity of dosage unit</t>
        </is>
      </c>
      <c r="C204" s="35" t="n"/>
      <c r="D204" s="34" t="inlineStr">
        <is>
          <t>Weight variation/Weight variation</t>
        </is>
      </c>
      <c r="E204" s="34" t="inlineStr">
        <is>
          <t>Content of uniformity/Content of uniformity</t>
        </is>
      </c>
      <c r="F204" s="34" t="inlineStr">
        <is>
          <t>Content of uniformity/Weight variation</t>
        </is>
      </c>
      <c r="G204" s="34" t="n"/>
      <c r="H204" s="34" t="n"/>
      <c r="I204" s="35" t="n">
        <v>3</v>
      </c>
      <c r="J204" s="34" t="inlineStr">
        <is>
          <t>✅ คำตอบที่ถูกต้อง: ข้อ ค. Content of uniformity/Weight variation เหตุผล: ตาม USP \&lt;905\&gt; การใช้ weight variation แทน content uniformity ได้ต้องเข้าเกณฑ์ทั้ง 2 ข้อ คือ ตัวยา ≥ 25 mg และ ≥ 25% ของน้ำหนักเม็ด/แคปซูล — Domperidone 10 mg ไม่ผ่านเกณฑ์แรก (\&lt; 25 mg) จึงต้องใช้ content uniformity ส่วน Omeprazole 25 mg (มักเป็น enteric-coated pellets ในแคปซูล) แม้โดสจะแตะ 25 mg แต่โดยทั่วไปสัดส่วนต่อน้ำหนักรวมมักไม่ถึง 25% จึงมักต้องใช้ content uniformity เช่นกัน  แต่ควรตรวจสอบน้ำหนักเม็ด/แคปซูลจริงจากโจทย์เต็มเพื่อยืนยัน
💡 Background:
คำถามข้อสอบจริงใบประกอบวิชาชีพ PLE-CC 1 (Product) ปี 2566 ข้อ 25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4" s="35" t="n"/>
      <c r="L204" s="34" t="inlineStr">
        <is>
          <t>Solid Dosage Forms &amp; Manufacturing</t>
        </is>
      </c>
      <c r="M204" s="35" t="inlineStr">
        <is>
          <t>Product</t>
        </is>
      </c>
      <c r="N204" s="34" t="inlineStr">
        <is>
          <t>ข้อสอบจริง Product ปี 2566 ข้อ 25</t>
        </is>
      </c>
      <c r="O204" s="35" t="inlineStr">
        <is>
          <t>ข้อสอบจริง</t>
        </is>
      </c>
      <c r="P204" s="35" t="inlineStr">
        <is>
          <t>ปี 2566</t>
        </is>
      </c>
    </row>
    <row r="205" ht="13.2" customHeight="1" s="49">
      <c r="A205" s="35" t="n">
        <v>203</v>
      </c>
      <c r="B205" s="34" t="inlineStr">
        <is>
          <t>ตำรับ MMI tablet ประกอบด้วย MMI, Lactose monohydrate, magnesium stearate, corn starch, talc ถามว่า talc ทำหน้าที่อะไรในตำรับ</t>
        </is>
      </c>
      <c r="C205" s="35" t="n"/>
      <c r="D205" s="34" t="inlineStr">
        <is>
          <t>Diluent</t>
        </is>
      </c>
      <c r="E205" s="34" t="inlineStr">
        <is>
          <t>Disintegration</t>
        </is>
      </c>
      <c r="F205" s="34" t="inlineStr">
        <is>
          <t>Glidant</t>
        </is>
      </c>
      <c r="G205" s="34" t="inlineStr">
        <is>
          <t>Preservative</t>
        </is>
      </c>
      <c r="H205" s="34" t="inlineStr">
        <is>
          <t>Chelating</t>
        </is>
      </c>
      <c r="I205" s="35" t="n">
        <v>1</v>
      </c>
      <c r="J205" s="34" t="inlineStr">
        <is>
          <t>✅ คำตอบที่ถูกต้อง: ข้อ ก. Diluent
💡 Background:
คำถามข้อสอบจริงใบประกอบวิชาชีพ PLE-CC 1 (Product) ปี 2565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5" s="35" t="n"/>
      <c r="L205" s="34" t="inlineStr">
        <is>
          <t>Solid Dosage Forms &amp; Manufacturing</t>
        </is>
      </c>
      <c r="M205" s="35" t="inlineStr">
        <is>
          <t>Product</t>
        </is>
      </c>
      <c r="N205" s="34" t="inlineStr">
        <is>
          <t>ข้อสอบจริง Product ปี 2565 ข้อ 25</t>
        </is>
      </c>
      <c r="O205" s="35" t="inlineStr">
        <is>
          <t>ข้อสอบจริง</t>
        </is>
      </c>
      <c r="P205" s="35" t="inlineStr">
        <is>
          <t>ปี 2565</t>
        </is>
      </c>
    </row>
    <row r="206" ht="13.2" customHeight="1" s="49">
      <c r="A206" s="35" t="n">
        <v>204</v>
      </c>
      <c r="B206" s="34" t="inlineStr">
        <is>
          <t>ยาในรูปแบบ Enteric coat ซึ่งจะมีสารก่อฟิล์มที่ใช้ ควรมีสมบัติอย่างไร</t>
        </is>
      </c>
      <c r="C206" s="35" t="n"/>
      <c r="D206" s="34" t="inlineStr">
        <is>
          <t>ละลายน้ำดี แต่ไม่ละลายในสารละลายอินทรีย์</t>
        </is>
      </c>
      <c r="E206" s="34" t="inlineStr">
        <is>
          <t>ไม่ละลายในสารละลายในกระเพาะอาหาร</t>
        </is>
      </c>
      <c r="F206" s="34" t="inlineStr">
        <is>
          <t>เพิ่มการละลายและการดูดซึมยา</t>
        </is>
      </c>
      <c r="G206" s="34" t="inlineStr">
        <is>
          <t>เพิ่มการซึมผ่านของน้ำและความชื้น</t>
        </is>
      </c>
      <c r="H206" s="34" t="inlineStr">
        <is>
          <t>ถูกย่อยสลายด้วยเอนไซม์ของแบคทีเรียในลำไส้ใหญ่</t>
        </is>
      </c>
      <c r="I206" s="35" t="n">
        <v>1</v>
      </c>
      <c r="J206" s="34" t="inlineStr">
        <is>
          <t>✅ คำตอบที่ถูกต้อง: ข้อ ก. ละลายน้ำดี แต่ไม่ละลายในสารละลายอินทรีย์
💡 Background:
คำถามข้อสอบจริงใบประกอบวิชาชีพ PLE-CC 1 (Product) ปี 2565 ข้อ 89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6" s="35" t="n"/>
      <c r="L206" s="34" t="inlineStr">
        <is>
          <t>Solid Dosage Forms &amp; Manufacturing</t>
        </is>
      </c>
      <c r="M206" s="35" t="inlineStr">
        <is>
          <t>Product</t>
        </is>
      </c>
      <c r="N206" s="34" t="inlineStr">
        <is>
          <t>ข้อสอบจริง Product ปี 2565 ข้อ 89</t>
        </is>
      </c>
      <c r="O206" s="35" t="inlineStr">
        <is>
          <t>ข้อสอบจริง</t>
        </is>
      </c>
      <c r="P206" s="35" t="inlineStr">
        <is>
          <t>ปี 2565</t>
        </is>
      </c>
    </row>
    <row r="207" ht="13.2" customHeight="1" s="49">
      <c r="A207" s="35" t="n">
        <v>205</v>
      </c>
      <c r="B207" s="34" t="inlineStr">
        <is>
          <t>แก้ปัญหายาเม็ดดังรูปด้วยวิธีใด [แนบรูป: ข้อสอบ Product ปี 2565 รหัสรูปภาพ image22]</t>
        </is>
      </c>
      <c r="C207" s="35" t="inlineStr">
        <is>
          <t>[แนบรูป: ข้อสอบ Product ปี 2565 รหัสรูปภาพ image22]</t>
        </is>
      </c>
      <c r="D207" s="34" t="inlineStr">
        <is>
          <t>เติม binder</t>
        </is>
      </c>
      <c r="E207" s="34" t="inlineStr">
        <is>
          <t>เต็ม anti-adherent</t>
        </is>
      </c>
      <c r="F207" s="34" t="inlineStr">
        <is>
          <t>[NEED_REVIEW]</t>
        </is>
      </c>
      <c r="G207" s="34" t="inlineStr">
        <is>
          <t>[NEED_REVIEW]</t>
        </is>
      </c>
      <c r="H207" s="34" t="inlineStr">
        <is>
          <t>[NEED_REVIEW]</t>
        </is>
      </c>
      <c r="I207" s="35" t="n">
        <v>1</v>
      </c>
      <c r="J207" s="34" t="inlineStr">
        <is>
          <t>✅ คำตอบที่ถูกต้อง: ข้อ ก. เติม binder
💡 Background:
คำถามข้อสอบจริงใบประกอบวิชาชีพ PLE-CC 1 (Product) ปี 2565 ข้อ 72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7" s="35" t="n"/>
      <c r="L207" s="34" t="inlineStr">
        <is>
          <t>Solid Dosage Forms &amp; Manufacturing</t>
        </is>
      </c>
      <c r="M207" s="35" t="inlineStr">
        <is>
          <t>Product</t>
        </is>
      </c>
      <c r="N207" s="34" t="inlineStr">
        <is>
          <t>ข้อสอบจริง Product ปี 2565 ข้อ 72</t>
        </is>
      </c>
      <c r="O207" s="35" t="inlineStr">
        <is>
          <t>ข้อสอบจริง</t>
        </is>
      </c>
      <c r="P207" s="35" t="inlineStr">
        <is>
          <t>ปี 2565</t>
        </is>
      </c>
    </row>
    <row r="208" ht="13.2" customHeight="1" s="49">
      <c r="A208" s="35" t="n">
        <v>206</v>
      </c>
      <c r="B208" s="34" t="inlineStr">
        <is>
          <t>ปัจจัยใดมีผลลดการละลายของ Desipramine tablet</t>
        </is>
      </c>
      <c r="C208" s="35" t="n"/>
      <c r="D208" s="34" t="inlineStr">
        <is>
          <t>เพิ่มปริมาณสารลดแรงตึงผิว (Surfactant)  เพิ่มการเปียกของผงยา → ละลายดีขึ้น</t>
        </is>
      </c>
      <c r="E208" s="34" t="inlineStr">
        <is>
          <t>ทำเป็น Dispersed solid (Solid dispersion)  ช่วยเพิ่มอัตราการละลาย</t>
        </is>
      </c>
      <c r="F208" s="34" t="inlineStr">
        <is>
          <t>ใช้ Crystalline desipramine</t>
        </is>
      </c>
      <c r="G208" s="34" t="inlineStr">
        <is>
          <t>Form complex กับ Cyclodextrin  เพิ่มการละลายของยาที่ละลายน้ำได้น้อย</t>
        </is>
      </c>
      <c r="H208" s="34" t="inlineStr">
        <is>
          <t>ใช้ Micronized desipramine  อนุภาคเล็กลง พื้นที่ผิวเพิ่ม → ละลายเร็วขึ้น</t>
        </is>
      </c>
      <c r="I208" s="35" t="n">
        <v>1</v>
      </c>
      <c r="J208" s="34" t="inlineStr">
        <is>
          <t>✅ คำตอบที่ถูกต้อง: ข้อ ก. เพิ่มปริมาณสารลดแรงตึงผิว (Surfactant)  เพิ่มการเปียกของผงยา → ละลายดีขึ้น
💡 Background:
คำถามข้อสอบจริงใบประกอบวิชาชีพ PLE-CC 1 (Product) ปี 2564 ข้อ 29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8" s="35" t="n"/>
      <c r="L208" s="34" t="inlineStr">
        <is>
          <t>Solid Dosage Forms &amp; Manufacturing</t>
        </is>
      </c>
      <c r="M208" s="35" t="inlineStr">
        <is>
          <t>Product</t>
        </is>
      </c>
      <c r="N208" s="34" t="inlineStr">
        <is>
          <t>ข้อสอบจริง Product ปี 2564 ข้อ 29</t>
        </is>
      </c>
      <c r="O208" s="35" t="inlineStr">
        <is>
          <t>ข้อสอบจริง</t>
        </is>
      </c>
      <c r="P208" s="35" t="inlineStr">
        <is>
          <t>ปี 2564</t>
        </is>
      </c>
    </row>
    <row r="209" ht="13.2" customHeight="1" s="49">
      <c r="A209" s="35" t="n">
        <v>207</v>
      </c>
      <c r="B209" s="34" t="inlineStr">
        <is>
          <t>ยาแคปซูลมี doxycycline hydrate equivalent อะไรสักอย่างเท่ากับ 100 mg ผู้ป่วยต้องใช้ bid เป็นเวลา 2 สัปดาห์ ถามว่าผู้ป่วยจะได้รับ doxycycline hydrate กี่กรัม</t>
        </is>
      </c>
      <c r="C209" s="35" t="n"/>
      <c r="D209" s="34" t="inlineStr">
        <is>
          <t>1 กรัม</t>
        </is>
      </c>
      <c r="E209" s="34" t="inlineStr">
        <is>
          <t>1.4 กรัม</t>
        </is>
      </c>
      <c r="F209" s="34" t="inlineStr">
        <is>
          <t>2.8 กรัม</t>
        </is>
      </c>
      <c r="G209" s="34" t="inlineStr">
        <is>
          <t>4.2 กรัม</t>
        </is>
      </c>
      <c r="H209" s="34" t="inlineStr">
        <is>
          <t>5.6 กรัม</t>
        </is>
      </c>
      <c r="I209" s="35" t="n">
        <v>1</v>
      </c>
      <c r="J209" s="34" t="inlineStr">
        <is>
          <t>✅ คำตอบที่ถูกต้อง: ข้อ ก. 1 กรัม
💡 Background:
คำถามข้อสอบจริงใบประกอบวิชาชีพ PLE-CC 1 (Product) ปี 2564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09" s="35" t="n"/>
      <c r="L209" s="34" t="inlineStr">
        <is>
          <t>Solid Dosage Forms &amp; Manufacturing</t>
        </is>
      </c>
      <c r="M209" s="35" t="inlineStr">
        <is>
          <t>Product</t>
        </is>
      </c>
      <c r="N209" s="34" t="inlineStr">
        <is>
          <t>ข้อสอบจริง Product ปี 2564 ข้อ 36</t>
        </is>
      </c>
      <c r="O209" s="35" t="inlineStr">
        <is>
          <t>ข้อสอบจริง</t>
        </is>
      </c>
      <c r="P209" s="35" t="inlineStr">
        <is>
          <t>ปี 2564</t>
        </is>
      </c>
    </row>
    <row r="210" ht="13.2" customHeight="1" s="49">
      <c r="A210" s="35" t="n">
        <v>208</v>
      </c>
      <c r="B210" s="34" t="inlineStr">
        <is>
          <t>Eudragit L 55 PEG 6000 ทำหน้าที่เป็นอะไร</t>
        </is>
      </c>
      <c r="C210" s="35" t="n"/>
      <c r="D210" s="34" t="inlineStr">
        <is>
          <t>Stabilizer</t>
        </is>
      </c>
      <c r="E210" s="34" t="inlineStr">
        <is>
          <t>Plasticizer</t>
        </is>
      </c>
      <c r="F210" s="34" t="inlineStr">
        <is>
          <t>Solubilizer</t>
        </is>
      </c>
      <c r="G210" s="34" t="inlineStr">
        <is>
          <t>ไม่ให้เกิดฟอง</t>
        </is>
      </c>
      <c r="H210" s="34" t="n"/>
      <c r="I210" s="35" t="n">
        <v>1</v>
      </c>
      <c r="J210" s="34" t="inlineStr">
        <is>
          <t>✅ คำตอบที่ถูกต้อง: ข้อ ก. Stabilizer
💡 Background:
คำถามข้อสอบจริงใบประกอบวิชาชีพ PLE-CC 1 (Product) ปี 2564 ข้อ 37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0" s="35" t="n"/>
      <c r="L210" s="34" t="inlineStr">
        <is>
          <t>Solid Dosage Forms &amp; Manufacturing</t>
        </is>
      </c>
      <c r="M210" s="35" t="inlineStr">
        <is>
          <t>Product</t>
        </is>
      </c>
      <c r="N210" s="34" t="inlineStr">
        <is>
          <t>ข้อสอบจริง Product ปี 2564 ข้อ 37</t>
        </is>
      </c>
      <c r="O210" s="35" t="inlineStr">
        <is>
          <t>ข้อสอบจริง</t>
        </is>
      </c>
      <c r="P210" s="35" t="inlineStr">
        <is>
          <t>ปี 2564</t>
        </is>
      </c>
    </row>
    <row r="211" ht="13.2" customHeight="1" s="49">
      <c r="A211" s="35" t="n">
        <v>209</v>
      </c>
      <c r="B211" s="34" t="inlineStr">
        <is>
          <t>ตำรับ dicloxacillin ประกอบด้วย Magnesium stearate, silica colloidal anhydrous, titanium dioxide... (จำไม่ได้) สารใดใชแทน silica colloidal anhydrous ได</t>
        </is>
      </c>
      <c r="C211" s="35" t="n"/>
      <c r="D211" s="34" t="inlineStr">
        <is>
          <t>Talcum</t>
        </is>
      </c>
      <c r="E211" s="34" t="inlineStr">
        <is>
          <t>Polyvinylpyrrolidone (PVP) เป็น Binder (สารยึดเกาะ)</t>
        </is>
      </c>
      <c r="F211" s="34" t="inlineStr">
        <is>
          <t>Microcrystalline cellulose (MCC) เป็น Diluent และช่วยในการอัดเม็ด (Dry binder)</t>
        </is>
      </c>
      <c r="G211" s="34" t="inlineStr">
        <is>
          <t>[NEED_REVIEW]</t>
        </is>
      </c>
      <c r="H211" s="34" t="inlineStr">
        <is>
          <t>[NEED_REVIEW]</t>
        </is>
      </c>
      <c r="I211" s="35" t="n">
        <v>1</v>
      </c>
      <c r="J211" s="34" t="inlineStr">
        <is>
          <t>✅ คำตอบที่ถูกต้อง: ข้อ ก. Talcum
💡 Background:
คำถามข้อสอบจริงใบประกอบวิชาชีพ PLE-CC 1 (Product) ปี 2564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1" s="35" t="n"/>
      <c r="L211" s="34" t="inlineStr">
        <is>
          <t>Solid Dosage Forms &amp; Manufacturing</t>
        </is>
      </c>
      <c r="M211" s="35" t="inlineStr">
        <is>
          <t>Product</t>
        </is>
      </c>
      <c r="N211" s="34" t="inlineStr">
        <is>
          <t>ข้อสอบจริง Product ปี 2564 ข้อ 39</t>
        </is>
      </c>
      <c r="O211" s="35" t="inlineStr">
        <is>
          <t>ข้อสอบจริง</t>
        </is>
      </c>
      <c r="P211" s="35" t="inlineStr">
        <is>
          <t>ปี 2564</t>
        </is>
      </c>
    </row>
    <row r="212" ht="13.2" customHeight="1" s="49">
      <c r="A212" s="35" t="n">
        <v>210</v>
      </c>
      <c r="B212" s="34" t="inlineStr">
        <is>
          <t>ป้องกันไม่ให้ตอกแล้วติดหน้าสากต้องใส่สารใด</t>
        </is>
      </c>
      <c r="C212" s="35" t="n"/>
      <c r="D212" s="34" t="inlineStr">
        <is>
          <t>Sodium starch glycolate  เป็น Superdisintegrant</t>
        </is>
      </c>
      <c r="E212" s="34" t="inlineStr">
        <is>
          <t>Talcum ✅ เป็น Glidant</t>
        </is>
      </c>
      <c r="F212" s="34" t="inlineStr">
        <is>
          <t>PEG 6000  เป็น Plasticizer ในการเคลือบฟิล์ม</t>
        </is>
      </c>
      <c r="G212" s="34" t="inlineStr">
        <is>
          <t>PVP K30  เป็น Binder</t>
        </is>
      </c>
      <c r="H212" s="34" t="n"/>
      <c r="I212" s="35" t="n">
        <v>1</v>
      </c>
      <c r="J212" s="34" t="inlineStr">
        <is>
          <t>✅ คำตอบที่ถูกต้อง: ข้อ ก. Sodium starch glycolate  เป็น Superdisintegrant
💡 Background:
คำถามข้อสอบจริงใบประกอบวิชาชีพ PLE-CC 1 (Product) ปี 2564 ข้อ 50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2" s="35" t="n"/>
      <c r="L212" s="34" t="inlineStr">
        <is>
          <t>Solid Dosage Forms &amp; Manufacturing</t>
        </is>
      </c>
      <c r="M212" s="35" t="inlineStr">
        <is>
          <t>Product</t>
        </is>
      </c>
      <c r="N212" s="34" t="inlineStr">
        <is>
          <t>ข้อสอบจริง Product ปี 2564 ข้อ 50</t>
        </is>
      </c>
      <c r="O212" s="35" t="inlineStr">
        <is>
          <t>ข้อสอบจริง</t>
        </is>
      </c>
      <c r="P212" s="35" t="inlineStr">
        <is>
          <t>ปี 2564</t>
        </is>
      </c>
    </row>
    <row r="213" ht="13.2" customHeight="1" s="49">
      <c r="A213" s="35" t="n">
        <v>211</v>
      </c>
      <c r="B213" s="34" t="inlineStr">
        <is>
          <t>เตรียม omeprazole susp. ความแรง 5mg/5ml 100ml ใช omeprazole 20 mg capsule กี่เม็ด</t>
        </is>
      </c>
      <c r="C213" s="35" t="n"/>
      <c r="D213" s="34" t="inlineStr">
        <is>
          <t>5</t>
        </is>
      </c>
      <c r="E213" s="34" t="inlineStr">
        <is>
          <t>10</t>
        </is>
      </c>
      <c r="F213" s="34" t="inlineStr">
        <is>
          <t>15</t>
        </is>
      </c>
      <c r="G213" s="34" t="inlineStr">
        <is>
          <t>20</t>
        </is>
      </c>
      <c r="H213" s="34" t="inlineStr">
        <is>
          <t>25</t>
        </is>
      </c>
      <c r="I213" s="35" t="n">
        <v>1</v>
      </c>
      <c r="J213" s="34" t="inlineStr">
        <is>
          <t>✅ คำตอบที่ถูกต้อง: ข้อ ก. 5
💡 Background:
คำถามข้อสอบจริงใบประกอบวิชาชีพ PLE-CC 1 (Product) ปี 2564 ข้อ 57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3" s="35" t="n"/>
      <c r="L213" s="34" t="inlineStr">
        <is>
          <t>Solid Dosage Forms &amp; Manufacturing</t>
        </is>
      </c>
      <c r="M213" s="35" t="inlineStr">
        <is>
          <t>Product</t>
        </is>
      </c>
      <c r="N213" s="34" t="inlineStr">
        <is>
          <t>ข้อสอบจริง Product ปี 2564 ข้อ 57</t>
        </is>
      </c>
      <c r="O213" s="35" t="inlineStr">
        <is>
          <t>ข้อสอบจริง</t>
        </is>
      </c>
      <c r="P213" s="35" t="inlineStr">
        <is>
          <t>ปี 2564</t>
        </is>
      </c>
    </row>
    <row r="214" ht="13.2" customHeight="1" s="49">
      <c r="A214" s="35" t="n">
        <v>212</v>
      </c>
      <c r="B214" s="34" t="inlineStr">
        <is>
          <t>ทำไมต้องเตรียม omeprazole ในรูปแบบ enteric-coated pellet</t>
        </is>
      </c>
      <c r="C214" s="35" t="n"/>
      <c r="D214" s="34" t="inlineStr">
        <is>
          <t>Acid labile</t>
        </is>
      </c>
      <c r="E214" s="34" t="inlineStr">
        <is>
          <t>Basic labile</t>
        </is>
      </c>
      <c r="F214" s="34" t="inlineStr">
        <is>
          <t>High molecular weight</t>
        </is>
      </c>
      <c r="G214" s="34" t="inlineStr">
        <is>
          <t>[NEED_REVIEW]</t>
        </is>
      </c>
      <c r="H214" s="34" t="inlineStr">
        <is>
          <t>[NEED_REVIEW]</t>
        </is>
      </c>
      <c r="I214" s="35" t="n">
        <v>1</v>
      </c>
      <c r="J214" s="34" t="inlineStr">
        <is>
          <t>✅ คำตอบที่ถูกต้อง: ข้อ ก. Acid labile
💡 Background:
คำถามข้อสอบจริงใบประกอบวิชาชีพ PLE-CC 1 (Product) ปี 2564 ข้อ 58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4" s="35" t="n"/>
      <c r="L214" s="34" t="inlineStr">
        <is>
          <t>Solid Dosage Forms &amp; Manufacturing</t>
        </is>
      </c>
      <c r="M214" s="35" t="inlineStr">
        <is>
          <t>Product</t>
        </is>
      </c>
      <c r="N214" s="34" t="inlineStr">
        <is>
          <t>ข้อสอบจริง Product ปี 2564 ข้อ 58</t>
        </is>
      </c>
      <c r="O214" s="35" t="inlineStr">
        <is>
          <t>ข้อสอบจริง</t>
        </is>
      </c>
      <c r="P214" s="35" t="inlineStr">
        <is>
          <t>ปี 2564</t>
        </is>
      </c>
    </row>
    <row r="215" ht="13.2" customHeight="1" s="49">
      <c r="A215" s="35" t="n">
        <v>213</v>
      </c>
      <c r="B215" s="34" t="inlineStr">
        <is>
          <t>สารจำเป็นใน Omeprazole pellet</t>
        </is>
      </c>
      <c r="C215" s="35" t="n"/>
      <c r="D215" s="34" t="inlineStr">
        <is>
          <t>film forming</t>
        </is>
      </c>
      <c r="E215" s="34" t="inlineStr">
        <is>
          <t>disintegrant</t>
        </is>
      </c>
      <c r="F215" s="34" t="inlineStr">
        <is>
          <t>buffer</t>
        </is>
      </c>
      <c r="G215" s="34" t="inlineStr">
        <is>
          <t>[NEED_REVIEW]</t>
        </is>
      </c>
      <c r="H215" s="34" t="inlineStr">
        <is>
          <t>[NEED_REVIEW]</t>
        </is>
      </c>
      <c r="I215" s="35" t="n">
        <v>1</v>
      </c>
      <c r="J215" s="34" t="inlineStr">
        <is>
          <t>✅ คำตอบที่ถูกต้อง: ข้อ ก. film forming
💡 Background:
คำถามข้อสอบจริงใบประกอบวิชาชีพ PLE-CC 1 (Product) ปี 2564 ข้อ 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5" s="35" t="n"/>
      <c r="L215" s="34" t="inlineStr">
        <is>
          <t>Solid Dosage Forms &amp; Manufacturing</t>
        </is>
      </c>
      <c r="M215" s="35" t="inlineStr">
        <is>
          <t>Product</t>
        </is>
      </c>
      <c r="N215" s="34" t="inlineStr">
        <is>
          <t>ข้อสอบจริง Product ปี 2564 ข้อ 59</t>
        </is>
      </c>
      <c r="O215" s="35" t="inlineStr">
        <is>
          <t>ข้อสอบจริง</t>
        </is>
      </c>
      <c r="P215" s="35" t="inlineStr">
        <is>
          <t>ปี 2564</t>
        </is>
      </c>
    </row>
    <row r="216" ht="13.2" customHeight="1" s="49">
      <c r="A216" s="35" t="n">
        <v>214</v>
      </c>
      <c r="B216" s="34" t="inlineStr">
        <is>
          <t>การทำยาเม็ด Chlorpheniramine tablet เกิดปัญหา binding (เม็ดยาติดหน้า die) ข้อใดไม่ใช่วิธีการแก้ไขปัญหา</t>
        </is>
      </c>
      <c r="C216" s="35" t="n"/>
      <c r="D216" s="34" t="inlineStr">
        <is>
          <t>การเติม lubricant จะช่วยลดแรงเสียดทานระหว่างยากับ Die และลดปัญหาการติดหน้า Die</t>
        </is>
      </c>
      <c r="E216" s="34" t="inlineStr">
        <is>
          <t>การอบ Granule ให้แห้งจะช่วยลดการเกาะติดกัน จึงลดการติดหน้า Die</t>
        </is>
      </c>
      <c r="F216" s="34" t="inlineStr">
        <is>
          <t>Silicon dioxide คือสารดูดความชื้น</t>
        </is>
      </c>
      <c r="G216" s="34" t="inlineStr">
        <is>
          <t>แรงตอกสูงอาจทำให้เกิดปัญหาแกรนูลแตกได้ แต่สามารถช่วยลดโอกาสยาติด Die</t>
        </is>
      </c>
      <c r="H216" s="34" t="inlineStr">
        <is>
          <t>หากบริเวณที่ตอกมีความชื้นมากเกินไปหรือมีความเหนียว จะทำให้ยาติด die</t>
        </is>
      </c>
      <c r="I216" s="35" t="n">
        <v>1</v>
      </c>
      <c r="J216" s="34" t="inlineStr">
        <is>
          <t>✅ คำตอบที่ถูกต้อง: ข้อ ก. การเติม lubricant จะช่วยลดแรงเสียดทานระหว่างยากับ Die และลดปัญหาการติดหน้า Die
💡 Background:
คำถามข้อสอบจริงใบประกอบวิชาชีพ PLE-CC 1 (Product) ปี 2564 ข้อ 61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6" s="35" t="n"/>
      <c r="L216" s="34" t="inlineStr">
        <is>
          <t>Solid Dosage Forms &amp; Manufacturing</t>
        </is>
      </c>
      <c r="M216" s="35" t="inlineStr">
        <is>
          <t>Product</t>
        </is>
      </c>
      <c r="N216" s="34" t="inlineStr">
        <is>
          <t>ข้อสอบจริง Product ปี 2564 ข้อ 61</t>
        </is>
      </c>
      <c r="O216" s="35" t="inlineStr">
        <is>
          <t>ข้อสอบจริง</t>
        </is>
      </c>
      <c r="P216" s="35" t="inlineStr">
        <is>
          <t>ปี 2564</t>
        </is>
      </c>
    </row>
    <row r="217" ht="409.6" customHeight="1" s="49">
      <c r="A217" s="35" t="n">
        <v>215</v>
      </c>
      <c r="B217" s="34" t="inlineStr">
        <is>
          <t>ข้อใดเป็นวิธีแก้ปัญหายา Capping</t>
        </is>
      </c>
      <c r="C217" s="35" t="n"/>
      <c r="D217" s="34" t="inlineStr">
        <is>
          <t>เพิ่มแรงในการตอกเม็ด ❌ อาจทำให้ capping แย่ลง เพราะอากาศถูกอัดไว้มากขึ้น</t>
        </is>
      </c>
      <c r="E217" s="34" t="inlineStr">
        <is>
          <t>ลดระยะเวลาผสมกับ filler ❌ ไม่ใช่วิธีแก้โดยตรง</t>
        </is>
      </c>
      <c r="F217" s="34" t="inlineStr">
        <is>
          <t>เพิ่มปริมาณ binder ✅ ถูกต้อง</t>
        </is>
      </c>
      <c r="G217" s="34" t="inlineStr">
        <is>
          <t>เพิ่มปริมาณ filler ❌ ไม่ช่วยเรื่องแรงยึดเกาะ</t>
        </is>
      </c>
      <c r="H217" s="34" t="inlineStr">
        <is>
          <t>เพิ่มสารช่วยแตกตัว ❌ อาจทำให้เม็ดเปราะและเกิด capping ได้มากขึ้น</t>
        </is>
      </c>
      <c r="I217" s="35" t="n">
        <v>1</v>
      </c>
      <c r="J217" s="34" t="inlineStr">
        <is>
          <t>✅ คำตอบที่ถูกต้อง: ข้อ ก. เพิ่มแรงในการตอกเม็ด ❌ อาจทำให้ capping แย่ลง เพราะอากาศถูกอัดไว้มากขึ้น
💡 Background:
คำถามข้อสอบจริงใบประกอบวิชาชีพ PLE-CC 1 (Product) ปี 2564 ข้อ 65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7" s="35" t="n"/>
      <c r="L217" s="34" t="inlineStr">
        <is>
          <t>Solid Dosage Forms &amp; Manufacturing</t>
        </is>
      </c>
      <c r="M217" s="35" t="inlineStr">
        <is>
          <t>Product</t>
        </is>
      </c>
      <c r="N217" s="34" t="inlineStr">
        <is>
          <t>ข้อสอบจริง Product ปี 2564 ข้อ 65</t>
        </is>
      </c>
      <c r="O217" s="35" t="inlineStr">
        <is>
          <t>ข้อสอบจริง</t>
        </is>
      </c>
      <c r="P217" s="35" t="inlineStr">
        <is>
          <t>ปี 2564</t>
        </is>
      </c>
    </row>
    <row r="218" ht="409.6" customHeight="1" s="49">
      <c r="A218" s="35" t="n">
        <v>216</v>
      </c>
      <c r="B218" s="34" t="inlineStr">
        <is>
          <t>ข้อใดไม่ใช่ปัญหาเมื่อสารเคลือบฟิล์มมีความหนืดมากเกิน</t>
        </is>
      </c>
      <c r="C218" s="35" t="n"/>
      <c r="D218" s="34" t="inlineStr">
        <is>
          <t>Picking (ฟิล์มติดหัวพ่นหรือผิวเม็ดยา) ✅ เกิดได้</t>
        </is>
      </c>
      <c r="E218" s="34" t="inlineStr">
        <is>
          <t>Cracking (ฟิล์มแตกร้าว) ❌ ไม่ใช่ผลจากความหนืดสูง → คำตอบ</t>
        </is>
      </c>
      <c r="F218" s="34" t="inlineStr">
        <is>
          <t>Twinning  (เม็ดยา 2 เม็ดติดกัน) ✅ เกิดได้</t>
        </is>
      </c>
      <c r="G218" s="34" t="inlineStr">
        <is>
          <t>Roughness  (ผิวหยาบ) ✅ เกิดได้</t>
        </is>
      </c>
      <c r="H218" s="34" t="inlineStr">
        <is>
          <t>Sticking (เม็ดยาติดกัน) ✅ เกิดได้</t>
        </is>
      </c>
      <c r="I218" s="35" t="n">
        <v>1</v>
      </c>
      <c r="J218" s="34" t="inlineStr">
        <is>
          <t>✅ คำตอบที่ถูกต้อง: ข้อ ก. Picking (ฟิล์มติดหัวพ่นหรือผิวเม็ดยา) ✅ เกิดได้
💡 Background:
คำถามข้อสอบจริงใบประกอบวิชาชีพ PLE-CC 1 (Product) ปี 2564 ข้อ 67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8" s="35" t="n"/>
      <c r="L218" s="34" t="inlineStr">
        <is>
          <t>Solid Dosage Forms &amp; Manufacturing</t>
        </is>
      </c>
      <c r="M218" s="35" t="inlineStr">
        <is>
          <t>Product</t>
        </is>
      </c>
      <c r="N218" s="34" t="inlineStr">
        <is>
          <t>ข้อสอบจริง Product ปี 2564 ข้อ 67</t>
        </is>
      </c>
      <c r="O218" s="35" t="inlineStr">
        <is>
          <t>ข้อสอบจริง</t>
        </is>
      </c>
      <c r="P218" s="35" t="inlineStr">
        <is>
          <t>ปี 2564</t>
        </is>
      </c>
    </row>
    <row r="219" ht="409.6" customHeight="1" s="49">
      <c r="A219" s="35" t="n">
        <v>217</v>
      </c>
      <c r="B219" s="34" t="inlineStr">
        <is>
          <t>ข้อใดไม่ใช่ส่วนประกอบของ soft capsule</t>
        </is>
      </c>
      <c r="C219" s="35" t="n"/>
      <c r="D219" s="34" t="inlineStr">
        <is>
          <t>Glycerin ✅ Plasticizer</t>
        </is>
      </c>
      <c r="E219" s="34" t="inlineStr">
        <is>
          <t>Propylene glycol ✅ Plasticizer (ใช้ได้ในบางสูตร)</t>
        </is>
      </c>
      <c r="F219" s="34" t="inlineStr">
        <is>
          <t>Lake color ✅ สีของเปลือกแคปซูล แม้ไม่ละลายน้ำ ก็ใช้เป็นสีของ soft capsule ได้</t>
        </is>
      </c>
      <c r="G219" s="34" t="inlineStr">
        <is>
          <t>PEG 400 ❌ ไม่ใช่ส่วนประกอบมาตรฐานของ shell (มักใช้เป็นตัวทำละลายหรือ vehicle ของไส้แคปซูลมากกว่า)</t>
        </is>
      </c>
      <c r="H219" s="34" t="inlineStr">
        <is>
          <t>Water ✅ ส่วนประกอบสำคัญของเปลือก</t>
        </is>
      </c>
      <c r="I219" s="35" t="n">
        <v>1</v>
      </c>
      <c r="J219" s="34" t="inlineStr">
        <is>
          <t>✅ คำตอบที่ถูกต้อง: ข้อ ก. Glycerin ✅ Plasticizer
💡 Background:
คำถามข้อสอบจริงใบประกอบวิชาชีพ PLE-CC 1 (Product) ปี 2564 ข้อ 70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19" s="35" t="n"/>
      <c r="L219" s="34" t="inlineStr">
        <is>
          <t>Solid Dosage Forms &amp; Manufacturing</t>
        </is>
      </c>
      <c r="M219" s="35" t="inlineStr">
        <is>
          <t>Product</t>
        </is>
      </c>
      <c r="N219" s="34" t="inlineStr">
        <is>
          <t>ข้อสอบจริง Product ปี 2564 ข้อ 70</t>
        </is>
      </c>
      <c r="O219" s="35" t="inlineStr">
        <is>
          <t>ข้อสอบจริง</t>
        </is>
      </c>
      <c r="P219" s="35" t="inlineStr">
        <is>
          <t>ปี 2564</t>
        </is>
      </c>
    </row>
    <row r="220" ht="409.6" customHeight="1" s="49">
      <c r="A220" s="35" t="n">
        <v>218</v>
      </c>
      <c r="B220" s="34" t="inlineStr">
        <is>
          <t>Calcium phosphate dihydrate ทำหน้าที่เป็นอะไรในตำรับ</t>
        </is>
      </c>
      <c r="C220" s="35" t="n"/>
      <c r="D220" s="34" t="inlineStr">
        <is>
          <t>Diluent</t>
        </is>
      </c>
      <c r="E220" s="34" t="inlineStr">
        <is>
          <t>Binder</t>
        </is>
      </c>
      <c r="F220" s="34" t="inlineStr">
        <is>
          <t>Disintegrator</t>
        </is>
      </c>
      <c r="G220" s="34" t="inlineStr">
        <is>
          <t>Lubricant</t>
        </is>
      </c>
      <c r="H220" s="34" t="inlineStr">
        <is>
          <t>ไม่มีข้อใดถูก</t>
        </is>
      </c>
      <c r="I220" s="35" t="n">
        <v>1</v>
      </c>
      <c r="J220" s="34" t="inlineStr">
        <is>
          <t>✅ คำตอบที่ถูกต้อง: ข้อ ก. Diluent
💡 Background:
คำถามข้อสอบจริงใบประกอบวิชาชีพ PLE-CC 1 (Product) ปี 2564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0" s="35" t="n"/>
      <c r="L220" s="34" t="inlineStr">
        <is>
          <t>Solid Dosage Forms &amp; Manufacturing</t>
        </is>
      </c>
      <c r="M220" s="35" t="inlineStr">
        <is>
          <t>Product</t>
        </is>
      </c>
      <c r="N220" s="34" t="inlineStr">
        <is>
          <t>ข้อสอบจริง Product ปี 2564 ข้อ 92</t>
        </is>
      </c>
      <c r="O220" s="35" t="inlineStr">
        <is>
          <t>ข้อสอบจริง</t>
        </is>
      </c>
      <c r="P220" s="35" t="inlineStr">
        <is>
          <t>ปี 2564</t>
        </is>
      </c>
    </row>
    <row r="221" ht="409.6" customHeight="1" s="49">
      <c r="A221" s="35" t="n">
        <v>219</v>
      </c>
      <c r="B221" s="34" t="inlineStr">
        <is>
          <t>ยาเม็ดพบฟิล์มแตกร้าว ( film cracking ) แก้ไขตำรับอย่างไร</t>
        </is>
      </c>
      <c r="C221" s="35" t="n"/>
      <c r="D221" s="34" t="inlineStr">
        <is>
          <t>เพิ่มสารช่วยยืดหยุ่น plasticizers</t>
        </is>
      </c>
      <c r="E221" s="34" t="inlineStr">
        <is>
          <t>เพิ่ม disintegrant ❌ ช่วยให้เม็ดแตกตัว ไม่เกี่ยวกับฟิล์มเคลือบ</t>
        </is>
      </c>
      <c r="F221" s="34" t="inlineStr">
        <is>
          <t>เพิ่มความหนืดของ plasticizers ❌ Plasticizer ไม่ได้แก้โดยเพิ่มความหนืด</t>
        </is>
      </c>
      <c r="G221" s="34" t="inlineStr">
        <is>
          <t>ลดอุณหภูมิลม ❌ อุณหภูมิการอบแห้งเกี่ยวกับกระบวนการเคลือบ แต่ไม่ใช่วิธีหลัก</t>
        </is>
      </c>
      <c r="H221" s="34" t="inlineStr">
        <is>
          <t>เพิ่มความเร็วในการหมุนหม้อเคลือบ ❌ อาจเพิ่มแรงกระแทกของเม็ด แต่ไม่แก้ความเปราะของฟิล์ม</t>
        </is>
      </c>
      <c r="I221" s="35" t="n">
        <v>1</v>
      </c>
      <c r="J221" s="34" t="inlineStr">
        <is>
          <t>✅ คำตอบที่ถูกต้อง: ข้อ ก. เพิ่มสารช่วยยืดหยุ่น plasticizers
💡 Background:
คำถามข้อสอบจริงใบประกอบวิชาชีพ PLE-CC 1 (Product) ปี 2564 ข้อ 95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1" s="35" t="n"/>
      <c r="L221" s="34" t="inlineStr">
        <is>
          <t>Solid Dosage Forms &amp; Manufacturing</t>
        </is>
      </c>
      <c r="M221" s="35" t="inlineStr">
        <is>
          <t>Product</t>
        </is>
      </c>
      <c r="N221" s="34" t="inlineStr">
        <is>
          <t>ข้อสอบจริง Product ปี 2564 ข้อ 95</t>
        </is>
      </c>
      <c r="O221" s="35" t="inlineStr">
        <is>
          <t>ข้อสอบจริง</t>
        </is>
      </c>
      <c r="P221" s="35" t="inlineStr">
        <is>
          <t>ปี 2564</t>
        </is>
      </c>
    </row>
    <row r="222" ht="409.6" customHeight="1" s="49">
      <c r="A222" s="35" t="n">
        <v>220</v>
      </c>
      <c r="B222" s="34" t="inlineStr">
        <is>
          <t>Soy bean oil มีหน้าที่อะไรในตำรับ</t>
        </is>
      </c>
      <c r="C222" s="35" t="n"/>
      <c r="D222" s="34" t="inlineStr">
        <is>
          <t>Filling</t>
        </is>
      </c>
      <c r="E222" s="34" t="inlineStr">
        <is>
          <t>Plasticizer</t>
        </is>
      </c>
      <c r="F222" s="34" t="inlineStr">
        <is>
          <t>Stabilizer</t>
        </is>
      </c>
      <c r="G222" s="34" t="inlineStr">
        <is>
          <t>Stiffening</t>
        </is>
      </c>
      <c r="H222" s="34" t="inlineStr">
        <is>
          <t>Film former</t>
        </is>
      </c>
      <c r="I222" s="35" t="n">
        <v>1</v>
      </c>
      <c r="J222" s="34" t="inlineStr">
        <is>
          <t>✅ คำตอบที่ถูกต้อง: ข้อ ก. Filling
💡 Background:
คำถามข้อสอบจริงใบประกอบวิชาชีพ PLE-CC 1 (Product) ปี 2564 ข้อ 124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2" s="35" t="n"/>
      <c r="L222" s="34" t="inlineStr">
        <is>
          <t>Solid Dosage Forms &amp; Manufacturing</t>
        </is>
      </c>
      <c r="M222" s="35" t="inlineStr">
        <is>
          <t>Product</t>
        </is>
      </c>
      <c r="N222" s="34" t="inlineStr">
        <is>
          <t>ข้อสอบจริง Product ปี 2564 ข้อ 124</t>
        </is>
      </c>
      <c r="O222" s="35" t="inlineStr">
        <is>
          <t>ข้อสอบจริง</t>
        </is>
      </c>
      <c r="P222" s="35" t="inlineStr">
        <is>
          <t>ปี 2564</t>
        </is>
      </c>
    </row>
    <row r="223" ht="409.6" customHeight="1" s="49">
      <c r="A223" s="35" t="n">
        <v>221</v>
      </c>
      <c r="B223" s="34"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223" s="35" t="n"/>
      <c r="D223" s="34" t="inlineStr">
        <is>
          <t>3 เดือน</t>
        </is>
      </c>
      <c r="E223" s="34" t="inlineStr">
        <is>
          <t>6 เดือน</t>
        </is>
      </c>
      <c r="F223" s="34" t="inlineStr">
        <is>
          <t>1 ปี</t>
        </is>
      </c>
      <c r="G223" s="34" t="inlineStr">
        <is>
          <t>2 ปี</t>
        </is>
      </c>
      <c r="H223" s="34" t="inlineStr">
        <is>
          <t>3 ปี</t>
        </is>
      </c>
      <c r="I223" s="35" t="n">
        <v>5</v>
      </c>
      <c r="J223" s="34" t="inlineStr">
        <is>
          <t>✅ คำตอบที่ถูกต้อง: ข้อ จ. 3 ปี คำอธิบาย: Shelf-life คือเวลาที่ตัวยายังอยู่ในช่วงกำหนด โดยทั่วไปกำหนด 90–110% ของ label amount (เว้นแต่โจทย์กำหนดช่วงอื่น) ดังนั้นจึงตอบ C. 1 ปี
💡 Background:
คำถามข้อสอบจริงใบประกอบวิชาชีพ PLE-CC 1 (Product) ปี 2564 ข้อ 129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3" s="35" t="n"/>
      <c r="L223" s="34" t="inlineStr">
        <is>
          <t>Solid Dosage Forms &amp; Manufacturing</t>
        </is>
      </c>
      <c r="M223" s="35" t="inlineStr">
        <is>
          <t>Product</t>
        </is>
      </c>
      <c r="N223" s="34" t="inlineStr">
        <is>
          <t>ข้อสอบจริง Product ปี 2564 ข้อ 129</t>
        </is>
      </c>
      <c r="O223" s="35" t="inlineStr">
        <is>
          <t>ข้อสอบจริง</t>
        </is>
      </c>
      <c r="P223" s="35" t="inlineStr">
        <is>
          <t>ปี 2564</t>
        </is>
      </c>
    </row>
    <row r="224" ht="409.6" customHeight="1" s="49">
      <c r="A224" s="35" t="n">
        <v>222</v>
      </c>
      <c r="B224" s="34" t="inlineStr">
        <is>
          <t>จากข้อ 135 สารในข้อใดเป็นสารช่วยแตกตัวสำรับ</t>
        </is>
      </c>
      <c r="C224" s="35" t="n"/>
      <c r="D224" s="34" t="inlineStr">
        <is>
          <t>Starch ✅ เป็น disintegrant</t>
        </is>
      </c>
      <c r="E224" s="34" t="inlineStr">
        <is>
          <t>Lactose ❌ เป็น diluent/filler</t>
        </is>
      </c>
      <c r="F224" s="34" t="inlineStr">
        <is>
          <t>Mg stearate ❌ เป็น lubricant</t>
        </is>
      </c>
      <c r="G224" s="34" t="inlineStr">
        <is>
          <t>Colloidal silicon dioxide (Aerosil) ❌ เป็น glidant/adsorbent</t>
        </is>
      </c>
      <c r="H224" s="34" t="inlineStr">
        <is>
          <t>SLS ❌ เป็น surfactant/wetting agen</t>
        </is>
      </c>
      <c r="I224" s="35" t="n">
        <v>1</v>
      </c>
      <c r="J224" s="34" t="inlineStr">
        <is>
          <t>✅ คำตอบที่ถูกต้อง: ข้อ ก. Starch ✅ เป็น disintegrant
💡 Background:
คำถามข้อสอบจริงใบประกอบวิชาชีพ PLE-CC 1 (Product) ปี 2564 ข้อ 136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4" s="35" t="n"/>
      <c r="L224" s="34" t="inlineStr">
        <is>
          <t>Solid Dosage Forms &amp; Manufacturing</t>
        </is>
      </c>
      <c r="M224" s="35" t="inlineStr">
        <is>
          <t>Product</t>
        </is>
      </c>
      <c r="N224" s="34" t="inlineStr">
        <is>
          <t>ข้อสอบจริง Product ปี 2564 ข้อ 136</t>
        </is>
      </c>
      <c r="O224" s="35" t="inlineStr">
        <is>
          <t>ข้อสอบจริง</t>
        </is>
      </c>
      <c r="P224" s="35" t="inlineStr">
        <is>
          <t>ปี 2564</t>
        </is>
      </c>
    </row>
    <row r="225" ht="409.6" customHeight="1" s="49">
      <c r="A225" s="35" t="n">
        <v>223</v>
      </c>
      <c r="B225" s="34" t="inlineStr">
        <is>
          <t>ควรใช้ polymer ใดเคลือบ pellet ในรูปแบบ enteric coated</t>
        </is>
      </c>
      <c r="C225" s="35" t="n"/>
      <c r="D225" s="34" t="inlineStr">
        <is>
          <t>Shellac ❌ ใช้ทำ enteric ได้ แต่ปัจจุบันใช้น้อย เพราะความคงตัวไม่ดี</t>
        </is>
      </c>
      <c r="E225" s="34" t="inlineStr">
        <is>
          <t>Hypromellose (HPMC) ❌ Film former ทั่วไป ไม่ใช่ enteric</t>
        </is>
      </c>
      <c r="F225" s="34" t="inlineStr">
        <is>
          <t>Polyvinyl alcohol (PVA) ❌ Film former ไม่ใช่ enteric</t>
        </is>
      </c>
      <c r="G225" s="34" t="inlineStr">
        <is>
          <t>Carboxymethyl cellulose (CMC) ❌ Thickener/Binder ไม่ใช่ enteric</t>
        </is>
      </c>
      <c r="H225" s="34" t="inlineStr">
        <is>
          <t>Polyvinyl acetate phthalate (PVAP) ✅ Enteric polymer</t>
        </is>
      </c>
      <c r="I225" s="35" t="n">
        <v>1</v>
      </c>
      <c r="J225" s="34" t="inlineStr">
        <is>
          <t>✅ คำตอบที่ถูกต้อง: ข้อ ก. Shellac ❌ ใช้ทำ enteric ได้ แต่ปัจจุบันใช้น้อย เพราะความคงตัวไม่ดี
💡 Background:
คำถามข้อสอบจริงใบประกอบวิชาชีพ PLE-CC 1 (Product) ปี 2564 ข้อ 153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5" s="35" t="n"/>
      <c r="L225" s="34" t="inlineStr">
        <is>
          <t>Solid Dosage Forms &amp; Manufacturing</t>
        </is>
      </c>
      <c r="M225" s="35" t="inlineStr">
        <is>
          <t>Product</t>
        </is>
      </c>
      <c r="N225" s="34" t="inlineStr">
        <is>
          <t>ข้อสอบจริง Product ปี 2564 ข้อ 153</t>
        </is>
      </c>
      <c r="O225" s="35" t="inlineStr">
        <is>
          <t>ข้อสอบจริง</t>
        </is>
      </c>
      <c r="P225" s="35" t="inlineStr">
        <is>
          <t>ปี 2564</t>
        </is>
      </c>
    </row>
    <row r="226" ht="409.6" customHeight="1" s="49">
      <c r="A226" s="35" t="n">
        <v>224</v>
      </c>
      <c r="B226" s="34" t="inlineStr">
        <is>
          <t>ยาเม็ดดังภาพเกิดปัญหาใด [แนบรูป: ข้อสอบ Product ปี 2564 รหัสรูปภาพ image91]</t>
        </is>
      </c>
      <c r="C226" s="35" t="inlineStr">
        <is>
          <t>[แนบรูป: ข้อสอบ Product ปี 2564 รหัสรูปภาพ image91]</t>
        </is>
      </c>
      <c r="D226" s="34" t="inlineStr">
        <is>
          <t>Capping → ฝาบนหรือฝาล่างของเม็ดยาแยกออก</t>
        </is>
      </c>
      <c r="E226" s="34" t="inlineStr">
        <is>
          <t>Chipping → ขอบเม็ดยาบิ่น/แตก</t>
        </is>
      </c>
      <c r="F226" s="34" t="inlineStr">
        <is>
          <t>Twinning → ยาเม็ด 2 เม็ดติดกัน</t>
        </is>
      </c>
      <c r="G226" s="34" t="inlineStr">
        <is>
          <t>Bridging → สารเคลือบปิดทับรอยสลัก/ตัวอักษรบนเม็ด</t>
        </is>
      </c>
      <c r="H226" s="34" t="inlineStr">
        <is>
          <t>Cracking → เกิดรอยร้าวบนผิวเม็ดยา</t>
        </is>
      </c>
      <c r="I226" s="35" t="n">
        <v>1</v>
      </c>
      <c r="J226" s="34" t="inlineStr">
        <is>
          <t>✅ คำตอบที่ถูกต้อง: ข้อ ก. Capping → ฝาบนหรือฝาล่างของเม็ดยาแยกออก
💡 Background:
คำถามข้อสอบจริงใบประกอบวิชาชีพ PLE-CC 1 (Product) ปี 2564 ข้อ 159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6" s="35" t="n"/>
      <c r="L226" s="34" t="inlineStr">
        <is>
          <t>Solid Dosage Forms &amp; Manufacturing</t>
        </is>
      </c>
      <c r="M226" s="35" t="inlineStr">
        <is>
          <t>Product</t>
        </is>
      </c>
      <c r="N226" s="34" t="inlineStr">
        <is>
          <t>ข้อสอบจริง Product ปี 2564 ข้อ 159</t>
        </is>
      </c>
      <c r="O226" s="35" t="inlineStr">
        <is>
          <t>ข้อสอบจริง</t>
        </is>
      </c>
      <c r="P226" s="35" t="inlineStr">
        <is>
          <t>ปี 2564</t>
        </is>
      </c>
    </row>
    <row r="227" ht="409.6" customHeight="1" s="49">
      <c r="A227" s="35" t="n">
        <v>225</v>
      </c>
      <c r="B227" s="34" t="inlineStr">
        <is>
          <t>หัวข้อทดสอบการควบคุมคุณภาพการนำส่งยาชนิดแผ่นแปะผิวหนังตาม USP คือข้อใด</t>
        </is>
      </c>
      <c r="C227" s="35" t="n"/>
      <c r="D227" s="34" t="inlineStr">
        <is>
          <t>Assay</t>
        </is>
      </c>
      <c r="E227" s="34" t="inlineStr">
        <is>
          <t>Impurities</t>
        </is>
      </c>
      <c r="F227" s="34" t="inlineStr">
        <is>
          <t>Description</t>
        </is>
      </c>
      <c r="G227" s="34" t="inlineStr">
        <is>
          <t>Identification</t>
        </is>
      </c>
      <c r="H227" s="34" t="inlineStr">
        <is>
          <t>Uniformity of dosage unit</t>
        </is>
      </c>
      <c r="I227" s="35" t="n">
        <v>1</v>
      </c>
      <c r="J227" s="34" t="inlineStr">
        <is>
          <t>✅ คำตอบที่ถูกต้อง: ข้อ ก. Assay
💡 Background:
คำถามข้อสอบจริงใบประกอบวิชาชีพ PLE-CC 1 (Product) ปี 2564 ข้อ 164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7" s="35" t="n"/>
      <c r="L227" s="34" t="inlineStr">
        <is>
          <t>Solid Dosage Forms &amp; Manufacturing</t>
        </is>
      </c>
      <c r="M227" s="35" t="inlineStr">
        <is>
          <t>Product</t>
        </is>
      </c>
      <c r="N227" s="34" t="inlineStr">
        <is>
          <t>ข้อสอบจริง Product ปี 2564 ข้อ 164</t>
        </is>
      </c>
      <c r="O227" s="35" t="inlineStr">
        <is>
          <t>ข้อสอบจริง</t>
        </is>
      </c>
      <c r="P227" s="35" t="inlineStr">
        <is>
          <t>ปี 2564</t>
        </is>
      </c>
    </row>
    <row r="228" ht="409.6" customHeight="1" s="49">
      <c r="A228" s="35" t="n">
        <v>226</v>
      </c>
      <c r="B228" s="34" t="inlineStr">
        <is>
          <t>ยาเม็ดพบฟิล์มแตกร้าว (film cracking) แก้ไขตำรับอย่างไร ต้นฉบับ: Day 1 ข้อ 12</t>
        </is>
      </c>
      <c r="C228" s="35" t="n"/>
      <c r="D228" s="34" t="inlineStr">
        <is>
          <t>เพิ่มสารช่วยยืดหยุ่น plasticizers</t>
        </is>
      </c>
      <c r="E228" s="34" t="inlineStr">
        <is>
          <t>เพิ่ม disintegrant</t>
        </is>
      </c>
      <c r="F228" s="34" t="inlineStr">
        <is>
          <t>เพิ่มความหนืดของ plasticizers</t>
        </is>
      </c>
      <c r="G228" s="34" t="inlineStr">
        <is>
          <t>ลดอุณหภูมิลม</t>
        </is>
      </c>
      <c r="H228" s="34" t="inlineStr">
        <is>
          <t>เพิ่มความเร็วในการหมุนหม้อเคลือบ</t>
        </is>
      </c>
      <c r="I228" s="35" t="n">
        <v>1</v>
      </c>
      <c r="J228" s="34" t="inlineStr">
        <is>
          <t>✅ คำตอบที่ถูกต้อง: ข้อ ก. เพิ่มสารช่วยยืดหยุ่น plasticizers
💡 Background:
คำถามข้อสอบจริงใบประกอบวิชาชีพ PLE-CC 1 (Product) ปี 2563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8" s="35" t="n"/>
      <c r="L228" s="34" t="inlineStr">
        <is>
          <t>Solid Dosage Forms &amp; Manufacturing</t>
        </is>
      </c>
      <c r="M228" s="35" t="inlineStr">
        <is>
          <t>Product</t>
        </is>
      </c>
      <c r="N228" s="34" t="inlineStr">
        <is>
          <t>ข้อสอบจริง Product ปี 2563 ข้อ 18</t>
        </is>
      </c>
      <c r="O228" s="35" t="inlineStr">
        <is>
          <t>ข้อสอบจริง</t>
        </is>
      </c>
      <c r="P228" s="35" t="inlineStr">
        <is>
          <t>ปี 2563</t>
        </is>
      </c>
    </row>
    <row r="229" ht="409.6" customHeight="1" s="49">
      <c r="A229" s="35" t="n">
        <v>227</v>
      </c>
      <c r="B229" s="34" t="inlineStr">
        <is>
          <t>ข้อใดระบุใน monograph ของยาเม็ดในเภสัชตำรับ ต้นฉบับ: Day 1 ข้อ 18</t>
        </is>
      </c>
      <c r="C229" s="35" t="n"/>
      <c r="D229" s="34" t="inlineStr">
        <is>
          <t>Hardness</t>
        </is>
      </c>
      <c r="E229" s="34" t="inlineStr">
        <is>
          <t>Loss on drying</t>
        </is>
      </c>
      <c r="F229" s="34" t="inlineStr">
        <is>
          <t>Friability</t>
        </is>
      </c>
      <c r="G229" s="34" t="inlineStr">
        <is>
          <t>Residue on ignition</t>
        </is>
      </c>
      <c r="H229" s="34" t="inlineStr">
        <is>
          <t>Uniformity of dosage units</t>
        </is>
      </c>
      <c r="I229" s="35" t="n">
        <v>5</v>
      </c>
      <c r="J229" s="34" t="inlineStr">
        <is>
          <t>✅ คำตอบที่ถูกต้อง: ข้อ จ. Uniformity of dosage units | คำตอบ: e) Uniformity of dosage units ใช้ตรวจว่าแต่ละเม็ดได้รับตัวยาสม่ำเสมอกัน ข้อที่ไม่ถูก a) Hardness มักเป็นการควบคุมระหว่างการผลิต b) Loss on drying ไม่ใช่ข้อกำหนดหลักของยาเม็ดทุกตำรับ c) Friability ใช้ตรวจความทนต่อการกะเทาะ d) Residue on ignition ใช้ประเมินสารอนินทรีย์ตกค้าง ซึ่งมักอยู่ใน drug substances | | :---- | 
💡 Background:
คำถามข้อสอบจริงใบประกอบวิชาชีพ PLE-CC 1 (Product) ปี 2563 ข้อ 19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29" s="35" t="n"/>
      <c r="L229" s="34" t="inlineStr">
        <is>
          <t>Solid Dosage Forms &amp; Manufacturing</t>
        </is>
      </c>
      <c r="M229" s="35" t="inlineStr">
        <is>
          <t>Product</t>
        </is>
      </c>
      <c r="N229" s="34" t="inlineStr">
        <is>
          <t>ข้อสอบจริง Product ปี 2563 ข้อ 19</t>
        </is>
      </c>
      <c r="O229" s="35" t="inlineStr">
        <is>
          <t>ข้อสอบจริง</t>
        </is>
      </c>
      <c r="P229" s="35" t="inlineStr">
        <is>
          <t>ปี 2563</t>
        </is>
      </c>
    </row>
    <row r="230" ht="409.6" customHeight="1" s="49">
      <c r="A230" s="35" t="n">
        <v>228</v>
      </c>
      <c r="B230" s="34" t="inlineStr">
        <is>
          <t>ให้ตำรับมา Atorvastatin 20 mg ต้นฉบับ: Day 1 ข้อ 19 Calcium phosphate dihydrate 	100 mg HPC 				4 mg Nymcel 				4 mg Caposil 				2 mg Talcum 				4.5 mg ถามว่า Calcium phosphate dihydrate ทำหน้าที่อะไรในสูตรตำรับ</t>
        </is>
      </c>
      <c r="C230" s="35" t="n"/>
      <c r="D230" s="34" t="inlineStr">
        <is>
          <t>Binder</t>
        </is>
      </c>
      <c r="E230" s="34" t="inlineStr">
        <is>
          <t>Disintegrator</t>
        </is>
      </c>
      <c r="F230" s="34" t="inlineStr">
        <is>
          <t>Diluent</t>
        </is>
      </c>
      <c r="G230" s="34" t="inlineStr">
        <is>
          <t>Lubricant</t>
        </is>
      </c>
      <c r="H230" s="34" t="inlineStr">
        <is>
          <t>ไม่มีข้อถูก</t>
        </is>
      </c>
      <c r="I230" s="35" t="n">
        <v>3</v>
      </c>
      <c r="J230" s="34" t="inlineStr">
        <is>
          <t>✅ คำตอบที่ถูกต้อง: ข้อ ค. Diluent
💡 Background:
คำถามข้อสอบจริงใบประกอบวิชาชีพ PLE-CC 1 (Product) ปี 2563 ข้อ 20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0" s="35" t="n"/>
      <c r="L230" s="34" t="inlineStr">
        <is>
          <t>Solid Dosage Forms &amp; Manufacturing</t>
        </is>
      </c>
      <c r="M230" s="35" t="inlineStr">
        <is>
          <t>Product</t>
        </is>
      </c>
      <c r="N230" s="34" t="inlineStr">
        <is>
          <t>ข้อสอบจริง Product ปี 2563 ข้อ 20</t>
        </is>
      </c>
      <c r="O230" s="35" t="inlineStr">
        <is>
          <t>ข้อสอบจริง</t>
        </is>
      </c>
      <c r="P230" s="35" t="inlineStr">
        <is>
          <t>ปี 2563</t>
        </is>
      </c>
    </row>
    <row r="231" ht="409.6" customHeight="1" s="49">
      <c r="A231" s="35" t="n">
        <v>229</v>
      </c>
      <c r="B231" s="34" t="inlineStr">
        <is>
          <t>ข้อใดถูกเกี่ยวกับยา venlafaxine XR (75mg capsule) ต้นฉบับ: Day 1 ข้อ 44</t>
        </is>
      </c>
      <c r="C231" s="35" t="n"/>
      <c r="D231" s="34" t="inlineStr">
        <is>
          <t>ตัวยาปลดปล่อยทันทีหลังรับประทาน</t>
        </is>
      </c>
      <c r="E231" s="34" t="inlineStr">
        <is>
          <t>ตัวยาค่อย ๆ ปลดปล่อยถึงระดับการรักษาและคงที่ระดับไว้ที่ 8-12 ชม.</t>
        </is>
      </c>
      <c r="F231" s="34" t="inlineStr">
        <is>
          <t>กินยาแล้วห้ามนอนราบ</t>
        </is>
      </c>
      <c r="G231" s="34" t="inlineStr">
        <is>
          <t>ตัวยาจะออกฤทธิ์เมื่อเคลื่อนที่ไปถึงลำไส้</t>
        </is>
      </c>
      <c r="H231" s="34" t="inlineStr">
        <is>
          <t>สามารถบดยาผสมกับน้ำส้มได้ | คำตอบที่ข้อสอบน่าจะต้องการ: b) ตัวยาค่อย ๆ ปลดปล่อยถึงระดับการรักษาและคงที่ระดับไว้ที่ 8-12 ชม. รูปแบบ XR ค่อย ๆ ปล่อยยา ทำให้ดูดซึมช้ากว่าแบบ immediate release</t>
        </is>
      </c>
      <c r="I231" s="35" t="n">
        <v>1</v>
      </c>
      <c r="J231" s="34" t="inlineStr">
        <is>
          <t>✅ คำตอบที่ถูกต้อง: ข้อ ก. ตัวยาปลดปล่อยทันทีหลังรับประทาน
💡 Background:
คำถามข้อสอบจริงใบประกอบวิชาชีพ PLE-CC 1 (Product) ปี 2563 ข้อ 22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1" s="35" t="n"/>
      <c r="L231" s="34" t="inlineStr">
        <is>
          <t>Solid Dosage Forms &amp; Manufacturing</t>
        </is>
      </c>
      <c r="M231" s="35" t="inlineStr">
        <is>
          <t>Product</t>
        </is>
      </c>
      <c r="N231" s="34" t="inlineStr">
        <is>
          <t>ข้อสอบจริง Product ปี 2563 ข้อ 22</t>
        </is>
      </c>
      <c r="O231" s="35" t="inlineStr">
        <is>
          <t>ข้อสอบจริง</t>
        </is>
      </c>
      <c r="P231" s="35" t="inlineStr">
        <is>
          <t>ปี 2563</t>
        </is>
      </c>
    </row>
    <row r="232" ht="409.6" customHeight="1" s="49">
      <c r="A232" s="35" t="n">
        <v>230</v>
      </c>
      <c r="B232" s="34" t="inlineStr">
        <is>
          <t>ข้อใดเป็นวิธีแก้ปัญหา Capping ต้นฉบับ: Day 2 ข้อ 19</t>
        </is>
      </c>
      <c r="C232" s="35" t="n"/>
      <c r="D232" s="34" t="inlineStr">
        <is>
          <t>เพิ่มแรงในการตอก</t>
        </is>
      </c>
      <c r="E232" s="34" t="inlineStr">
        <is>
          <t>ลดระยะเวลาผสมกับ filler</t>
        </is>
      </c>
      <c r="F232" s="34" t="inlineStr">
        <is>
          <t>เพิ่มปริมาณ binder</t>
        </is>
      </c>
      <c r="G232" s="34" t="inlineStr">
        <is>
          <t>เพิ่มปริมาณ filler</t>
        </is>
      </c>
      <c r="H232" s="34" t="inlineStr">
        <is>
          <t>เพิ่มสารช่วยแตกตัว</t>
        </is>
      </c>
      <c r="I232" s="35" t="n">
        <v>3</v>
      </c>
      <c r="J232" s="34" t="inlineStr">
        <is>
          <t>✅ คำตอบที่ถูกต้อง: ข้อ ค. เพิ่มปริมาณ binder
💡 Background:
คำถามข้อสอบจริงใบประกอบวิชาชีพ PLE-CC 1 (Product) ปี 2563 ข้อ 27
🎯 ทำไมข้อนี้ถึงถูก:
ข้อ ค.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2" s="35" t="n"/>
      <c r="L232" s="34" t="inlineStr">
        <is>
          <t>Solid Dosage Forms &amp; Manufacturing</t>
        </is>
      </c>
      <c r="M232" s="35" t="inlineStr">
        <is>
          <t>Product</t>
        </is>
      </c>
      <c r="N232" s="34" t="inlineStr">
        <is>
          <t>ข้อสอบจริง Product ปี 2563 ข้อ 27</t>
        </is>
      </c>
      <c r="O232" s="35" t="inlineStr">
        <is>
          <t>ข้อสอบจริง</t>
        </is>
      </c>
      <c r="P232" s="35" t="inlineStr">
        <is>
          <t>ปี 2563</t>
        </is>
      </c>
    </row>
    <row r="233" ht="409.6" customHeight="1" s="49">
      <c r="A233" s="35" t="n">
        <v>231</v>
      </c>
      <c r="B233" s="34" t="inlineStr">
        <is>
          <t>ข้อใดไม่ใช่ปัญหาเมื่อสารเคลือบฟิล์มมีความหนืดมากเกิน ต้นฉบับ: Day 2 ข้อ 25</t>
        </is>
      </c>
      <c r="C233" s="35" t="n"/>
      <c r="D233" s="34" t="inlineStr">
        <is>
          <t>Picking</t>
        </is>
      </c>
      <c r="E233" s="34" t="inlineStr">
        <is>
          <t>Cracking</t>
        </is>
      </c>
      <c r="F233" s="34" t="inlineStr">
        <is>
          <t>Twinning</t>
        </is>
      </c>
      <c r="G233" s="34" t="inlineStr">
        <is>
          <t>Roughness</t>
        </is>
      </c>
      <c r="H233" s="34" t="inlineStr">
        <is>
          <t>Sticking</t>
        </is>
      </c>
      <c r="I233" s="35" t="n">
        <v>2</v>
      </c>
      <c r="J233" s="34" t="inlineStr">
        <is>
          <t>✅ คำตอบที่ถูกต้อง: ข้อ ข. Cracking
💡 Background:
คำถามข้อสอบจริงใบประกอบวิชาชีพ PLE-CC 1 (Product) ปี 2563 ข้อ 30
🎯 ทำไมข้อนี้ถึงถูก:
ข้อ ข.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3" s="35" t="n"/>
      <c r="L233" s="34" t="inlineStr">
        <is>
          <t>Solid Dosage Forms &amp; Manufacturing</t>
        </is>
      </c>
      <c r="M233" s="35" t="inlineStr">
        <is>
          <t>Product</t>
        </is>
      </c>
      <c r="N233" s="34" t="inlineStr">
        <is>
          <t>ข้อสอบจริง Product ปี 2563 ข้อ 30</t>
        </is>
      </c>
      <c r="O233" s="35" t="inlineStr">
        <is>
          <t>ข้อสอบจริง</t>
        </is>
      </c>
      <c r="P233" s="35" t="inlineStr">
        <is>
          <t>ปี 2563</t>
        </is>
      </c>
    </row>
    <row r="234" ht="409.6" customHeight="1" s="49">
      <c r="A234" s="35" t="n">
        <v>232</v>
      </c>
      <c r="B234" s="34" t="inlineStr">
        <is>
          <t>หัวข้อใดพบได้ใน monograph ต้นฉบับ: Day 2 ข้อ 114</t>
        </is>
      </c>
      <c r="C234" s="35" t="n"/>
      <c r="D234" s="34" t="inlineStr">
        <is>
          <t>Hardness</t>
        </is>
      </c>
      <c r="E234" s="34" t="inlineStr">
        <is>
          <t>Loss on drying</t>
        </is>
      </c>
      <c r="F234" s="34" t="inlineStr">
        <is>
          <t>Friability</t>
        </is>
      </c>
      <c r="G234" s="34" t="inlineStr">
        <is>
          <t>Residue on ignition</t>
        </is>
      </c>
      <c r="H234" s="34" t="inlineStr">
        <is>
          <t>Uniformity of dosage unit | คำตอบที่ข้อสอบน่าจะต้องการ: e) Uniformity of dosage units เป็นข้อกำหนดสำคัญเพื่อให้แต่ละหน่วยมีปริมาณตัวยาสม่ำเสมอ</t>
        </is>
      </c>
      <c r="I234" s="35" t="n">
        <v>1</v>
      </c>
      <c r="J234" s="34" t="inlineStr">
        <is>
          <t>✅ คำตอบที่ถูกต้อง: ข้อ ก. Hardness
💡 Background:
คำถามข้อสอบจริงใบประกอบวิชาชีพ PLE-CC 1 (Product) ปี 2563 ข้อ 39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4" s="35" t="n"/>
      <c r="L234" s="34" t="inlineStr">
        <is>
          <t>Solid Dosage Forms &amp; Manufacturing</t>
        </is>
      </c>
      <c r="M234" s="35" t="inlineStr">
        <is>
          <t>Product</t>
        </is>
      </c>
      <c r="N234" s="34" t="inlineStr">
        <is>
          <t>ข้อสอบจริง Product ปี 2563 ข้อ 39</t>
        </is>
      </c>
      <c r="O234" s="35" t="inlineStr">
        <is>
          <t>ข้อสอบจริง</t>
        </is>
      </c>
      <c r="P234" s="35" t="inlineStr">
        <is>
          <t>ปี 2563</t>
        </is>
      </c>
    </row>
    <row r="235" ht="409.6" customHeight="1" s="49">
      <c r="A235" s="35" t="n">
        <v>233</v>
      </c>
      <c r="B235" s="34" t="inlineStr">
        <is>
          <t>สารช่วยแตกกระจายตัวในยาเม็ด ต้นฉบับ: Day 2 ข้อ 115</t>
        </is>
      </c>
      <c r="C235" s="35" t="n"/>
      <c r="D235" s="34" t="inlineStr">
        <is>
          <t>anhydrous lactose</t>
        </is>
      </c>
      <c r="E235" s="34" t="inlineStr">
        <is>
          <t>HPC</t>
        </is>
      </c>
      <c r="F235" s="34" t="inlineStr">
        <is>
          <t>Magnesium stearate</t>
        </is>
      </c>
      <c r="G235" s="34" t="inlineStr">
        <is>
          <t>PEG</t>
        </is>
      </c>
      <c r="H235" s="34" t="inlineStr">
        <is>
          <t>croscarmellose sodium</t>
        </is>
      </c>
      <c r="I235" s="35" t="n">
        <v>5</v>
      </c>
      <c r="J235" s="34" t="inlineStr">
        <is>
          <t>✅ คำตอบที่ถูกต้อง: ข้อ จ. croscarmellose sodium | คำตอบ: e) Croscarmellose sodium เป็น superdisintegrant ที่ดูดน้ำและพองตัว ทำให้เม็ดยาแตกเร็วขึ้น ข้อที่ไม่ถูก a) Anhydrous lactose เป็น diluent b) HPC ใช้เป็น binder หรือ film former c) Magnesium stearate เป็น lubricant d) PEG ใช้เป็น plasticizer หรือตัวทำละลาย | | :---- | 
💡 Background:
คำถามข้อสอบจริงใบประกอบวิชาชีพ PLE-CC 1 (Product) ปี 2563 ข้อ 40
🎯 ทำไมข้อนี้ถึงถูก:
ข้อ จ.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5" s="35" t="n"/>
      <c r="L235" s="34" t="inlineStr">
        <is>
          <t>Solid Dosage Forms &amp; Manufacturing</t>
        </is>
      </c>
      <c r="M235" s="35" t="inlineStr">
        <is>
          <t>Product</t>
        </is>
      </c>
      <c r="N235" s="34" t="inlineStr">
        <is>
          <t>ข้อสอบจริง Product ปี 2563 ข้อ 40</t>
        </is>
      </c>
      <c r="O235" s="35" t="inlineStr">
        <is>
          <t>ข้อสอบจริง</t>
        </is>
      </c>
      <c r="P235" s="35" t="inlineStr">
        <is>
          <t>ปี 2563</t>
        </is>
      </c>
    </row>
    <row r="236" ht="409.6" customHeight="1" s="49">
      <c r="A236" s="35" t="n">
        <v>234</v>
      </c>
      <c r="B236" s="34" t="inlineStr">
        <is>
          <t>แหล่งคาร์บอเนต (carbonate source) — sodium bicarbonate, sodium carbonate, potassium bicarbonate   ปฏิกิริยาที่เกิดขึ้น: C₆H₈O₇ \+ 3 NaHCO₃ → Na₃C₆H₅O₇ \+ 3 H₂O \+ 3 CO₂↑ (กรดซิตริก \+ โซเดียมไบคาร์บอเนต → โซเดียมซิเตรต \+ น้ำ \+ คาร์บอนไดออกไซด์)   ฟองแก๊ส CO₂ ที่เกิดขึ้นทำหน้าที่ 3 อย่าง: • ช่วยให้เม็ดยาแตกตัวและละลายเร็วมาก (ภายใน 1–2 นาที) • กลบรสขมของตัวยา • เพิ่มความน่ารับประทานเหมือนน้ำอัดลม   ในตัวเลือกที่มี ข้อ ก. เป็นข้อเดียวที่จับคู่ “กรด \+ ไบคาร์บอเนต” ได้ครบถูกต้อง | | :---- | ## สถานการณ์ที่ 10 ชายอายุ 56 ปี โรคประจำตัวความดันโลหิตสูงและเบาหวาน CC: chest pain 2 hr PTA / Dx: ST-ACS ทำ PCI ใส่ drug-eluting stent / Home med: ASA 81 mg 1x1 pc, Enalapril 5 mg 1x2 pc, Atenolol 50 mg 1x1 pc ข้อ 90. หากต้องการทำยา isosorbide dinitrate SR tablet ต้องใช้สารเคลือบฟิล์มใด</t>
        </is>
      </c>
      <c r="C236" s="35" t="n"/>
      <c r="D236" s="34" t="inlineStr">
        <is>
          <t>HPMC</t>
        </is>
      </c>
      <c r="E236" s="34" t="inlineStr">
        <is>
          <t>PEG 4000</t>
        </is>
      </c>
      <c r="F236" s="34" t="inlineStr">
        <is>
          <t>Ethyl cellulose</t>
        </is>
      </c>
      <c r="G236" s="34" t="inlineStr">
        <is>
          <t>Methyl cellulose</t>
        </is>
      </c>
      <c r="H236" s="34" t="inlineStr">
        <is>
          <t>Sorbitan monostearate |</t>
        </is>
      </c>
      <c r="I236" s="35" t="n">
        <v>1</v>
      </c>
      <c r="J236" s="34" t="inlineStr">
        <is>
          <t>✅ คำตอบที่ถูกต้อง: ข้อ ก. HPMC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6" s="35" t="n"/>
      <c r="L236" s="34" t="inlineStr">
        <is>
          <t>Solid Dosage Forms &amp; Manufacturing</t>
        </is>
      </c>
      <c r="M236" s="35" t="inlineStr">
        <is>
          <t>Product</t>
        </is>
      </c>
      <c r="N236" s="34" t="inlineStr">
        <is>
          <t>ข้อสอบจริง Product ปี 2562 ข้อ 2</t>
        </is>
      </c>
      <c r="O236" s="35" t="inlineStr">
        <is>
          <t>ข้อสอบจริง</t>
        </is>
      </c>
      <c r="P236" s="35" t="inlineStr">
        <is>
          <t>ปี 2562</t>
        </is>
      </c>
    </row>
    <row r="237" ht="409.6" customHeight="1" s="49">
      <c r="A237" s="35" t="n">
        <v>235</v>
      </c>
      <c r="B237" s="34" t="inlineStr">
        <is>
          <t>Swelling — เมื่อได้รับน้ำ จะพองตัวได้ 4–8 เท่าของปริมาตรเดิม สร้างแรงดันจากภายในดันให้เม็ดยาแตกออก   ข้อได้เปรียบของ superdisintegrant เหนือ disintegrant ธรรมดา: • ใช้ปริมาณน้อยมาก (2–5%) เทียบกับ starch ที่ต้องใช้ 5–20% • ออกฤทธิ์เร็วกว่ามาก ทำให้ ODT แตกตัวได้ภายใน 30 วินาทีในน้ำลายปริมาณน้อย • ประสิทธิภาพไม่ลดลงแม้เม็ดยาจะมีความแข็งสูง   Superdisintegrant ตัวอื่นในกลุ่มเดียวกัน: sodium starch glycolate (Explotab), crospovidone (Polyplasdone)   คุณสมบัตินี้สำคัญกับผู้ป่วยรายนี้เป็นพิเศษ เพราะ deferiprone ต้องรับประทานวันละ 3 ครั้งตลอดชีวิต รูปแบบ ODT ช่วยเพิ่มความสะดวกและความร่วมมือในการใช้ยา | | :---- | ข้อ 109. ถ้าไม่มี PVP K30 ในสูตรตำรับจะเกิดปัญหาอย่างไร</t>
        </is>
      </c>
      <c r="C237" s="35" t="n"/>
      <c r="D237" s="34" t="inlineStr">
        <is>
          <t>1:10</t>
        </is>
      </c>
      <c r="E237" s="34" t="inlineStr">
        <is>
          <t>1:100</t>
        </is>
      </c>
      <c r="F237" s="34" t="inlineStr">
        <is>
          <t>10:1</t>
        </is>
      </c>
      <c r="G237" s="34" t="inlineStr">
        <is>
          <t>100:1</t>
        </is>
      </c>
      <c r="H237" s="34" t="inlineStr">
        <is>
          <t>1000:1 |</t>
        </is>
      </c>
      <c r="I237" s="35" t="n">
        <v>1</v>
      </c>
      <c r="J237" s="34" t="inlineStr">
        <is>
          <t>✅ คำตอบที่ถูกต้อง: ข้อ ก. 1:10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7" s="35" t="n"/>
      <c r="L237" s="34" t="inlineStr">
        <is>
          <t>Solid Dosage Forms &amp; Manufacturing</t>
        </is>
      </c>
      <c r="M237" s="35" t="inlineStr">
        <is>
          <t>Product</t>
        </is>
      </c>
      <c r="N237" s="34" t="inlineStr">
        <is>
          <t>ข้อสอบจริง Product ปี 2562 ข้อ 2</t>
        </is>
      </c>
      <c r="O237" s="35" t="inlineStr">
        <is>
          <t>ข้อสอบจริง</t>
        </is>
      </c>
      <c r="P237" s="35" t="inlineStr">
        <is>
          <t>ปี 2562</t>
        </is>
      </c>
    </row>
    <row r="238" ht="409.6" customHeight="1" s="49">
      <c r="A238" s="35" t="n">
        <v>236</v>
      </c>
      <c r="B238" s="34" t="inlineStr">
        <is>
          <t>จากข้อ 83 soy bean oil มีน้าที่อะไรในตำรับ</t>
        </is>
      </c>
      <c r="C238" s="35" t="n"/>
      <c r="D238" s="34" t="inlineStr">
        <is>
          <t>Filler</t>
        </is>
      </c>
      <c r="E238" s="34" t="inlineStr">
        <is>
          <t>Plasticizer</t>
        </is>
      </c>
      <c r="F238" s="34" t="inlineStr">
        <is>
          <t>Stabilizer</t>
        </is>
      </c>
      <c r="G238" s="34" t="inlineStr">
        <is>
          <t>Stiffening</t>
        </is>
      </c>
      <c r="H238" s="34" t="inlineStr">
        <is>
          <t>Film former</t>
        </is>
      </c>
      <c r="I238" s="35" t="n">
        <v>1</v>
      </c>
      <c r="J238" s="34" t="inlineStr">
        <is>
          <t>✅ คำตอบที่ถูกต้อง: ข้อ ก. Filler
💡 Background:
คำถามข้อสอบจริงใบประกอบวิชาชีพ PLE-CC 1 (Product) ปี 2561 ข้อ 17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8" s="35" t="n"/>
      <c r="L238" s="34" t="inlineStr">
        <is>
          <t>Solid Dosage Forms &amp; Manufacturing</t>
        </is>
      </c>
      <c r="M238" s="35" t="inlineStr">
        <is>
          <t>Product</t>
        </is>
      </c>
      <c r="N238" s="34" t="inlineStr">
        <is>
          <t>ข้อสอบจริง Product ปี 2561 ข้อ 17</t>
        </is>
      </c>
      <c r="O238" s="35" t="inlineStr">
        <is>
          <t>ข้อสอบจริง</t>
        </is>
      </c>
      <c r="P238" s="35" t="inlineStr">
        <is>
          <t>ปี 2561</t>
        </is>
      </c>
    </row>
    <row r="239" ht="409.6" customHeight="1" s="49">
      <c r="A239" s="35" t="n">
        <v>237</v>
      </c>
      <c r="B239" s="34" t="inlineStr">
        <is>
          <t>สารใดทำหน้าที่เป็นตัวควบคุมการปลดปล่อยแบบ enteric coated</t>
        </is>
      </c>
      <c r="C239" s="35" t="n"/>
      <c r="D239" s="34" t="inlineStr">
        <is>
          <t>HPMC</t>
        </is>
      </c>
      <c r="E239" s="34" t="inlineStr">
        <is>
          <t>HPC</t>
        </is>
      </c>
      <c r="F239" s="34" t="inlineStr">
        <is>
          <t>HEC</t>
        </is>
      </c>
      <c r="G239" s="34" t="inlineStr">
        <is>
          <t>PEG</t>
        </is>
      </c>
      <c r="H239" s="34" t="inlineStr">
        <is>
          <t>Methacrylic acid</t>
        </is>
      </c>
      <c r="I239" s="35" t="n">
        <v>1</v>
      </c>
      <c r="J239" s="34" t="inlineStr">
        <is>
          <t>✅ คำตอบที่ถูกต้อง: ข้อ ก. HPMC
💡 Background:
คำถามข้อสอบจริงใบประกอบวิชาชีพ PLE-CC 1 (Product) ปี 2561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39" s="35" t="n"/>
      <c r="L239" s="34" t="inlineStr">
        <is>
          <t>Solid Dosage Forms &amp; Manufacturing</t>
        </is>
      </c>
      <c r="M239" s="35" t="inlineStr">
        <is>
          <t>Product</t>
        </is>
      </c>
      <c r="N239" s="34" t="inlineStr">
        <is>
          <t>ข้อสอบจริง Product ปี 2561 ข้อ 25</t>
        </is>
      </c>
      <c r="O239" s="35" t="inlineStr">
        <is>
          <t>ข้อสอบจริง</t>
        </is>
      </c>
      <c r="P239" s="35" t="inlineStr">
        <is>
          <t>ปี 2561</t>
        </is>
      </c>
    </row>
    <row r="240" ht="409.6" customHeight="1" s="49">
      <c r="A240" s="35" t="n">
        <v>238</v>
      </c>
      <c r="B240" s="34" t="inlineStr">
        <is>
          <t>จากรูปเมื่อผ่า omeprazole pellet ดังรูปส่วนที่ 1 2 และ 3 น่าจะเป็นส่วนใดตามลำดับ [แนบรูป: ข้อสอบ Product ปี 2561 รหัสรูปภาพ image106]</t>
        </is>
      </c>
      <c r="C240" s="35" t="inlineStr">
        <is>
          <t>[แนบรูป: ข้อสอบ Product ปี 2561 รหัสรูปภาพ image106]</t>
        </is>
      </c>
      <c r="D240" s="34" t="inlineStr">
        <is>
          <t>Omeprazole/Methacrylic acid/HPMC</t>
        </is>
      </c>
      <c r="E240" s="34" t="inlineStr">
        <is>
          <t>HPMC/Omeprazole/Methacrylic acid</t>
        </is>
      </c>
      <c r="F240" s="34" t="inlineStr">
        <is>
          <t>Methacrylic acid/HPMC/Omeprazole</t>
        </is>
      </c>
      <c r="G240" s="34" t="inlineStr">
        <is>
          <t>Omeprazole/HPMC/Methacrylic acid</t>
        </is>
      </c>
      <c r="H240" s="34" t="inlineStr">
        <is>
          <t>HPMC/Omeprazole/Methacrylic acid</t>
        </is>
      </c>
      <c r="I240" s="35" t="n">
        <v>1</v>
      </c>
      <c r="J240" s="34" t="inlineStr">
        <is>
          <t>✅ คำตอบที่ถูกต้อง: ข้อ ก. Omeprazole/Methacrylic acid/HPMC
💡 Background:
คำถามข้อสอบจริงใบประกอบวิชาชีพ PLE-CC 1 (Product) ปี 2561 ข้อ 26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0" s="35" t="n"/>
      <c r="L240" s="34" t="inlineStr">
        <is>
          <t>Solid Dosage Forms &amp; Manufacturing</t>
        </is>
      </c>
      <c r="M240" s="35" t="inlineStr">
        <is>
          <t>Product</t>
        </is>
      </c>
      <c r="N240" s="34" t="inlineStr">
        <is>
          <t>ข้อสอบจริง Product ปี 2561 ข้อ 26</t>
        </is>
      </c>
      <c r="O240" s="35" t="inlineStr">
        <is>
          <t>ข้อสอบจริง</t>
        </is>
      </c>
      <c r="P240" s="35" t="inlineStr">
        <is>
          <t>ปี 2561</t>
        </is>
      </c>
    </row>
    <row r="241" ht="409.6" customHeight="1" s="49">
      <c r="A241" s="35" t="n">
        <v>239</v>
      </c>
      <c r="B241" s="34" t="inlineStr">
        <is>
          <t>Donepezil 5 mg คุณสมบัติไหลดี เกิด hydrolysis in alkaline and neutral solution ได้ degradable products ควรเตรียมยาด้วยวิธีอะไร</t>
        </is>
      </c>
      <c r="C241" s="35" t="n"/>
      <c r="D241" s="34" t="inlineStr">
        <is>
          <t>Dry granulation</t>
        </is>
      </c>
      <c r="E241" s="34" t="inlineStr">
        <is>
          <t>Direct compression</t>
        </is>
      </c>
      <c r="F241" s="34" t="inlineStr">
        <is>
          <t>Wet granulation ใช้ starch paste binder</t>
        </is>
      </c>
      <c r="G241" s="34" t="inlineStr">
        <is>
          <t>Wet or dry granulation with starch paste binder</t>
        </is>
      </c>
      <c r="H241" s="34" t="inlineStr">
        <is>
          <t>Direct compression or dry granulation with starch binder</t>
        </is>
      </c>
      <c r="I241" s="35" t="n">
        <v>1</v>
      </c>
      <c r="J241" s="34" t="inlineStr">
        <is>
          <t>✅ คำตอบที่ถูกต้อง: ข้อ ก. Dry granulation
💡 Background:
คำถามข้อสอบจริงใบประกอบวิชาชีพ PLE-CC 1 (Product) ปี 2561 ข้อ 30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1" s="35" t="n"/>
      <c r="L241" s="34" t="inlineStr">
        <is>
          <t>Solid Dosage Forms &amp; Manufacturing</t>
        </is>
      </c>
      <c r="M241" s="35" t="inlineStr">
        <is>
          <t>Product</t>
        </is>
      </c>
      <c r="N241" s="34" t="inlineStr">
        <is>
          <t>ข้อสอบจริง Product ปี 2561 ข้อ 30</t>
        </is>
      </c>
      <c r="O241" s="35" t="inlineStr">
        <is>
          <t>ข้อสอบจริง</t>
        </is>
      </c>
      <c r="P241" s="35" t="inlineStr">
        <is>
          <t>ปี 2561</t>
        </is>
      </c>
    </row>
    <row r="242" ht="409.6" customHeight="1" s="49">
      <c r="A242" s="35" t="n">
        <v>240</v>
      </c>
      <c r="B242" s="34" t="inlineStr">
        <is>
          <t>ยา B มีคุณสมบัติละลายน้ำไม่ดี หากต้องการเตรียมเป็นยา capsule ควรเลือก diluent แบบใด</t>
        </is>
      </c>
      <c r="C242" s="35" t="n"/>
      <c r="D242" s="34" t="inlineStr">
        <is>
          <t>Starch</t>
        </is>
      </c>
      <c r="E242" s="34" t="inlineStr">
        <is>
          <t>Lactose</t>
        </is>
      </c>
      <c r="F242" s="34" t="inlineStr">
        <is>
          <t>Calcium sulphate</t>
        </is>
      </c>
      <c r="G242" s="34" t="inlineStr">
        <is>
          <t>Microcrystalline cellulose</t>
        </is>
      </c>
      <c r="H242" s="34" t="inlineStr">
        <is>
          <t>Dibasic calcium phosphate</t>
        </is>
      </c>
      <c r="I242" s="35" t="n">
        <v>1</v>
      </c>
      <c r="J242" s="34" t="inlineStr">
        <is>
          <t>✅ คำตอบที่ถูกต้อง: ข้อ ก. Starch
💡 Background:
คำถามข้อสอบจริงใบประกอบวิชาชีพ PLE-CC 1 (Product) ปี 2561 ข้อ 34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2" s="35" t="n"/>
      <c r="L242" s="34" t="inlineStr">
        <is>
          <t>Solid Dosage Forms &amp; Manufacturing</t>
        </is>
      </c>
      <c r="M242" s="35" t="inlineStr">
        <is>
          <t>Product</t>
        </is>
      </c>
      <c r="N242" s="34" t="inlineStr">
        <is>
          <t>ข้อสอบจริง Product ปี 2561 ข้อ 34</t>
        </is>
      </c>
      <c r="O242" s="35" t="inlineStr">
        <is>
          <t>ข้อสอบจริง</t>
        </is>
      </c>
      <c r="P242" s="35" t="inlineStr">
        <is>
          <t>ปี 2561</t>
        </is>
      </c>
    </row>
    <row r="243" ht="409.6" customHeight="1" s="49">
      <c r="A243" s="35" t="n">
        <v>241</v>
      </c>
      <c r="B243" s="34" t="inlineStr">
        <is>
          <t>จากข้อ 117 สารในข้อใดเป็นสารช่วยแตกตัวในตำรับ</t>
        </is>
      </c>
      <c r="C243" s="35" t="n"/>
      <c r="D243" s="34" t="inlineStr">
        <is>
          <t>SLS</t>
        </is>
      </c>
      <c r="E243" s="34" t="inlineStr">
        <is>
          <t>Starch</t>
        </is>
      </c>
      <c r="F243" s="34" t="inlineStr">
        <is>
          <t>Lactose</t>
        </is>
      </c>
      <c r="G243" s="34" t="inlineStr">
        <is>
          <t>Magnesium stearate</t>
        </is>
      </c>
      <c r="H243" s="34" t="inlineStr">
        <is>
          <t>Colloidal silicon dioxide</t>
        </is>
      </c>
      <c r="I243" s="35" t="n">
        <v>1</v>
      </c>
      <c r="J243" s="34" t="inlineStr">
        <is>
          <t>✅ คำตอบที่ถูกต้อง: ข้อ ก. SLS
💡 Background:
คำถามข้อสอบจริงใบประกอบวิชาชีพ PLE-CC 1 (Product) ปี 2561 ข้อ 36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3" s="35" t="n"/>
      <c r="L243" s="34" t="inlineStr">
        <is>
          <t>Solid Dosage Forms &amp; Manufacturing</t>
        </is>
      </c>
      <c r="M243" s="35" t="inlineStr">
        <is>
          <t>Product</t>
        </is>
      </c>
      <c r="N243" s="34" t="inlineStr">
        <is>
          <t>ข้อสอบจริง Product ปี 2561 ข้อ 36</t>
        </is>
      </c>
      <c r="O243" s="35" t="inlineStr">
        <is>
          <t>ข้อสอบจริง</t>
        </is>
      </c>
      <c r="P243" s="35" t="inlineStr">
        <is>
          <t>ปี 2561</t>
        </is>
      </c>
    </row>
    <row r="244" ht="409.6" customHeight="1" s="49">
      <c r="A244" s="35" t="n">
        <v>242</v>
      </c>
      <c r="B244" s="34" t="inlineStr">
        <is>
          <t>Sodium starch glycolate ทำหน้าที่อะไรในตำรับ</t>
        </is>
      </c>
      <c r="C244" s="35" t="n"/>
      <c r="D244" s="34" t="inlineStr">
        <is>
          <t>Binder</t>
        </is>
      </c>
      <c r="E244" s="34" t="inlineStr">
        <is>
          <t>Diluent</t>
        </is>
      </c>
      <c r="F244" s="34" t="inlineStr">
        <is>
          <t>Glidant</t>
        </is>
      </c>
      <c r="G244" s="34" t="inlineStr">
        <is>
          <t>Lubricant</t>
        </is>
      </c>
      <c r="H244" s="34" t="inlineStr">
        <is>
          <t>Disintegrating</t>
        </is>
      </c>
      <c r="I244" s="35" t="n">
        <v>1</v>
      </c>
      <c r="J244" s="34" t="inlineStr">
        <is>
          <t>✅ คำตอบที่ถูกต้อง: ข้อ ก. Binder
💡 Background:
คำถามข้อสอบจริงใบประกอบวิชาชีพ PLE-CC 1 (Product) ปี 2561 ข้อ 46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4" s="35" t="n"/>
      <c r="L244" s="34" t="inlineStr">
        <is>
          <t>Solid Dosage Forms &amp; Manufacturing</t>
        </is>
      </c>
      <c r="M244" s="35" t="inlineStr">
        <is>
          <t>Product</t>
        </is>
      </c>
      <c r="N244" s="34" t="inlineStr">
        <is>
          <t>ข้อสอบจริง Product ปี 2561 ข้อ 46</t>
        </is>
      </c>
      <c r="O244" s="35" t="inlineStr">
        <is>
          <t>ข้อสอบจริง</t>
        </is>
      </c>
      <c r="P244" s="35" t="inlineStr">
        <is>
          <t>ปี 2561</t>
        </is>
      </c>
    </row>
    <row r="245" ht="409.6" customHeight="1" s="49">
      <c r="A245" s="35" t="n">
        <v>243</v>
      </c>
      <c r="B245" s="34" t="inlineStr">
        <is>
          <t>PEG 4000 ในสูตรตำรับยาเม็ดเคลือบฟิล์มทำหน้าที่อะไร</t>
        </is>
      </c>
      <c r="C245" s="35" t="n"/>
      <c r="D245" s="34" t="inlineStr">
        <is>
          <t>Plasticizer</t>
        </is>
      </c>
      <c r="E245" s="34" t="inlineStr">
        <is>
          <t>Cosolvent</t>
        </is>
      </c>
      <c r="F245" s="34" t="inlineStr">
        <is>
          <t>Opacifiying agent</t>
        </is>
      </c>
      <c r="G245" s="34" t="inlineStr">
        <is>
          <t>Emulsifying agent</t>
        </is>
      </c>
      <c r="H245" s="34" t="inlineStr">
        <is>
          <t>Film coating agent</t>
        </is>
      </c>
      <c r="I245" s="35" t="n">
        <v>1</v>
      </c>
      <c r="J245" s="34" t="inlineStr">
        <is>
          <t>✅ คำตอบที่ถูกต้อง: ข้อ ก. Plasticizer
💡 Background:
คำถามข้อสอบจริงใบประกอบวิชาชีพ PLE-CC 1 (Product) ปี 2561 ข้อ 49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5" s="35" t="n"/>
      <c r="L245" s="34" t="inlineStr">
        <is>
          <t>Solid Dosage Forms &amp; Manufacturing</t>
        </is>
      </c>
      <c r="M245" s="35" t="inlineStr">
        <is>
          <t>Product</t>
        </is>
      </c>
      <c r="N245" s="34" t="inlineStr">
        <is>
          <t>ข้อสอบจริง Product ปี 2561 ข้อ 49</t>
        </is>
      </c>
      <c r="O245" s="35" t="inlineStr">
        <is>
          <t>ข้อสอบจริง</t>
        </is>
      </c>
      <c r="P245" s="35" t="inlineStr">
        <is>
          <t>ปี 2561</t>
        </is>
      </c>
    </row>
    <row r="246" ht="409.6" customHeight="1" s="49">
      <c r="A246" s="35" t="n">
        <v>244</v>
      </c>
      <c r="B246" s="34" t="inlineStr">
        <is>
          <t>สารใดไม่จำเป็นต้องมีในตำรับ soft capsule</t>
        </is>
      </c>
      <c r="C246" s="35" t="n"/>
      <c r="D246" s="34" t="inlineStr">
        <is>
          <t>Glidant</t>
        </is>
      </c>
      <c r="E246" s="34" t="inlineStr">
        <is>
          <t>Opacifier</t>
        </is>
      </c>
      <c r="F246" s="34" t="inlineStr">
        <is>
          <t>Plasticizer</t>
        </is>
      </c>
      <c r="G246" s="34" t="inlineStr">
        <is>
          <t>Preservative</t>
        </is>
      </c>
      <c r="H246" s="34" t="inlineStr">
        <is>
          <t>Wetting agent</t>
        </is>
      </c>
      <c r="I246" s="35" t="n">
        <v>1</v>
      </c>
      <c r="J246" s="34" t="inlineStr">
        <is>
          <t>✅ คำตอบที่ถูกต้อง: ข้อ ก. Glidant
💡 Background:
คำถามข้อสอบจริงใบประกอบวิชาชีพ PLE-CC 1 (Product) ปี 2561 ข้อ 54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6" s="35" t="n"/>
      <c r="L246" s="34" t="inlineStr">
        <is>
          <t>Solid Dosage Forms &amp; Manufacturing</t>
        </is>
      </c>
      <c r="M246" s="35" t="inlineStr">
        <is>
          <t>Product</t>
        </is>
      </c>
      <c r="N246" s="34" t="inlineStr">
        <is>
          <t>ข้อสอบจริง Product ปี 2561 ข้อ 54</t>
        </is>
      </c>
      <c r="O246" s="35" t="inlineStr">
        <is>
          <t>ข้อสอบจริง</t>
        </is>
      </c>
      <c r="P246" s="35" t="inlineStr">
        <is>
          <t>ปี 2561</t>
        </is>
      </c>
    </row>
    <row r="247" ht="409.6" customHeight="1" s="49">
      <c r="A247" s="35" t="n">
        <v>245</v>
      </c>
      <c r="B247" s="34" t="inlineStr">
        <is>
          <t>หากต้องการเตรียม dry powder inhaler และต้องการให้ผงยาไหลได้ดีควรใช้สารช่วยตัวใด</t>
        </is>
      </c>
      <c r="C247" s="35" t="n"/>
      <c r="D247" s="34" t="inlineStr">
        <is>
          <t>Lactose</t>
        </is>
      </c>
      <c r="E247" s="34" t="inlineStr">
        <is>
          <t>PVP K30</t>
        </is>
      </c>
      <c r="F247" s="34" t="inlineStr">
        <is>
          <t>PEG 6000</t>
        </is>
      </c>
      <c r="G247" s="34" t="inlineStr">
        <is>
          <t>Calcium carbonate</t>
        </is>
      </c>
      <c r="H247" s="34" t="inlineStr">
        <is>
          <t>Magnesium stearate</t>
        </is>
      </c>
      <c r="I247" s="35" t="n">
        <v>1</v>
      </c>
      <c r="J247" s="34" t="inlineStr">
        <is>
          <t>✅ คำตอบที่ถูกต้อง: ข้อ ก. Lactose
💡 Background:
คำถามข้อสอบจริงใบประกอบวิชาชีพ PLE-CC 1 (Product) ปี 2561 ข้อ 76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7" s="35" t="n"/>
      <c r="L247" s="34" t="inlineStr">
        <is>
          <t>Solid Dosage Forms &amp; Manufacturing</t>
        </is>
      </c>
      <c r="M247" s="35" t="inlineStr">
        <is>
          <t>Product</t>
        </is>
      </c>
      <c r="N247" s="34" t="inlineStr">
        <is>
          <t>ข้อสอบจริง Product ปี 2561 ข้อ 76</t>
        </is>
      </c>
      <c r="O247" s="35" t="inlineStr">
        <is>
          <t>ข้อสอบจริง</t>
        </is>
      </c>
      <c r="P247" s="35" t="inlineStr">
        <is>
          <t>ปี 2561</t>
        </is>
      </c>
    </row>
    <row r="248" ht="409.6" customHeight="1" s="49">
      <c r="A248" s="35" t="n">
        <v>246</v>
      </c>
      <c r="B248" s="34" t="inlineStr">
        <is>
          <t>ยา calcium effervescent tablet เก็บไว้แล้ว เมื่อฉีกซองออกมามีลักษณะเยิ้ม เหนียว เกิดจากการมีส่วนประกอบใดมากเกินไปในตำรับ</t>
        </is>
      </c>
      <c r="C248" s="35" t="n"/>
      <c r="D248" s="34" t="inlineStr">
        <is>
          <t>Citric acid</t>
        </is>
      </c>
      <c r="E248" s="34" t="inlineStr">
        <is>
          <t>Tartaric acid</t>
        </is>
      </c>
      <c r="F248" s="34" t="inlineStr">
        <is>
          <t>Sodium carbonate</t>
        </is>
      </c>
      <c r="G248" s="34" t="inlineStr">
        <is>
          <t>Calcium carbonate</t>
        </is>
      </c>
      <c r="H248" s="34" t="inlineStr">
        <is>
          <t>Sodium bicarbonate</t>
        </is>
      </c>
      <c r="I248" s="35" t="n">
        <v>1</v>
      </c>
      <c r="J248" s="34" t="inlineStr">
        <is>
          <t>✅ คำตอบที่ถูกต้อง: ข้อ ก. Citric acid
💡 Background:
คำถามข้อสอบจริงใบประกอบวิชาชีพ PLE-CC 1 (Product) ปี 2561 ข้อ 79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8" s="35" t="n"/>
      <c r="L248" s="34" t="inlineStr">
        <is>
          <t>Solid Dosage Forms &amp; Manufacturing</t>
        </is>
      </c>
      <c r="M248" s="35" t="inlineStr">
        <is>
          <t>Product</t>
        </is>
      </c>
      <c r="N248" s="34" t="inlineStr">
        <is>
          <t>ข้อสอบจริง Product ปี 2561 ข้อ 79</t>
        </is>
      </c>
      <c r="O248" s="35" t="inlineStr">
        <is>
          <t>ข้อสอบจริง</t>
        </is>
      </c>
      <c r="P248" s="35" t="inlineStr">
        <is>
          <t>ปี 2561</t>
        </is>
      </c>
    </row>
    <row r="249" ht="409.6" customHeight="1" s="49">
      <c r="A249" s="35" t="n">
        <v>247</v>
      </c>
      <c r="B249" s="34" t="inlineStr">
        <is>
          <t>จากโครงสร้างของ folic acid ในการพัฒนาสูตรตำรับ folic acid 0.5 mg tablet ปัจจัยในข้อใดควรคำนึงถึงน้อยที่สุด</t>
        </is>
      </c>
      <c r="C249" s="35" t="n"/>
      <c r="D249" s="34" t="inlineStr">
        <is>
          <t>ความทนต่อแสง</t>
        </is>
      </c>
      <c r="E249" s="34" t="inlineStr">
        <is>
          <t>ความคงตัวทางเคมีเรื่อง pH</t>
        </is>
      </c>
      <c r="F249" s="34" t="inlineStr">
        <is>
          <t>ความสามารถในการตอกอัดของยา</t>
        </is>
      </c>
      <c r="G249" s="34" t="inlineStr">
        <is>
          <t>ความคงตัวทางเคมี เรื่องการเกิด reduction</t>
        </is>
      </c>
      <c r="H249" s="34" t="inlineStr">
        <is>
          <t>ความคงตัวทางเคมี เรื่องการเกิด oxidation</t>
        </is>
      </c>
      <c r="I249" s="35" t="n">
        <v>1</v>
      </c>
      <c r="J249" s="34" t="inlineStr">
        <is>
          <t>✅ คำตอบที่ถูกต้อง: ข้อ ก. ความทนต่อแสง
💡 Background:
คำถามข้อสอบจริงใบประกอบวิชาชีพ PLE-CC 1 (Product) ปี 2561 ข้อ 85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49" s="35" t="n"/>
      <c r="L249" s="34" t="inlineStr">
        <is>
          <t>Solid Dosage Forms &amp; Manufacturing</t>
        </is>
      </c>
      <c r="M249" s="35" t="inlineStr">
        <is>
          <t>Product</t>
        </is>
      </c>
      <c r="N249" s="34" t="inlineStr">
        <is>
          <t>ข้อสอบจริง Product ปี 2561 ข้อ 85</t>
        </is>
      </c>
      <c r="O249" s="35" t="inlineStr">
        <is>
          <t>ข้อสอบจริง</t>
        </is>
      </c>
      <c r="P249" s="35" t="inlineStr">
        <is>
          <t>ปี 2561</t>
        </is>
      </c>
    </row>
    <row r="250" ht="409.6" customHeight="1" s="49">
      <c r="A250" s="35" t="n">
        <v>248</v>
      </c>
      <c r="B250" s="34" t="inlineStr">
        <is>
          <t>ส่วนประกอบของ folic acid 0.5 mg/tab ประกอบด้วยสารช่วย colloidal silica, maize starch, Magnesium stearate, spray dry lactose ควรใช้วิธีใดในการผลิต</t>
        </is>
      </c>
      <c r="C250" s="35" t="n"/>
      <c r="D250" s="34" t="inlineStr">
        <is>
          <t>Slug</t>
        </is>
      </c>
      <c r="E250" s="34" t="inlineStr">
        <is>
          <t>Wet granulation</t>
        </is>
      </c>
      <c r="F250" s="34" t="inlineStr">
        <is>
          <t>Dry granulation</t>
        </is>
      </c>
      <c r="G250" s="34" t="inlineStr">
        <is>
          <t>Direct compression</t>
        </is>
      </c>
      <c r="H250" s="34" t="inlineStr">
        <is>
          <t>Non-aqueous wet granulation</t>
        </is>
      </c>
      <c r="I250" s="35" t="n">
        <v>1</v>
      </c>
      <c r="J250" s="34" t="inlineStr">
        <is>
          <t>✅ คำตอบที่ถูกต้อง: ข้อ ก. Slug
💡 Background:
คำถามข้อสอบจริงใบประกอบวิชาชีพ PLE-CC 1 (Product) ปี 2561 ข้อ 86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0" s="35" t="n"/>
      <c r="L250" s="34" t="inlineStr">
        <is>
          <t>Solid Dosage Forms &amp; Manufacturing</t>
        </is>
      </c>
      <c r="M250" s="35" t="inlineStr">
        <is>
          <t>Product</t>
        </is>
      </c>
      <c r="N250" s="34" t="inlineStr">
        <is>
          <t>ข้อสอบจริง Product ปี 2561 ข้อ 86</t>
        </is>
      </c>
      <c r="O250" s="35" t="inlineStr">
        <is>
          <t>ข้อสอบจริง</t>
        </is>
      </c>
      <c r="P250" s="35" t="inlineStr">
        <is>
          <t>ปี 2561</t>
        </is>
      </c>
    </row>
    <row r="251" ht="409.6" customHeight="1" s="49">
      <c r="A251" s="35" t="n">
        <v>249</v>
      </c>
      <c r="B251" s="34" t="inlineStr">
        <is>
          <t>ข้อใดจับชื่อคู่สารกับหน้าที่สารในตำรับผิด</t>
        </is>
      </c>
      <c r="C251" s="35" t="n"/>
      <c r="D251" s="34" t="inlineStr">
        <is>
          <t>Tricitrate เป็น plasticizer</t>
        </is>
      </c>
      <c r="E251" s="34" t="inlineStr">
        <is>
          <t>Crospovidone เป็น stabilizer</t>
        </is>
      </c>
      <c r="F251" s="34" t="inlineStr">
        <is>
          <t>Polysorbate เป็น wetting agent</t>
        </is>
      </c>
      <c r="G251" s="34" t="inlineStr">
        <is>
          <t>Sugar sphere เป็น wetting agent</t>
        </is>
      </c>
      <c r="H251" s="34" t="inlineStr">
        <is>
          <t>Copolymer enteric coated เป็น copolymer</t>
        </is>
      </c>
      <c r="I251" s="35" t="n">
        <v>1</v>
      </c>
      <c r="J251" s="34" t="inlineStr">
        <is>
          <t>✅ คำตอบที่ถูกต้อง: ข้อ ก. Tricitrate เป็น plasticizer
💡 Background:
คำถามข้อสอบจริงใบประกอบวิชาชีพ PLE-CC 1 (Product) ปี 2561 ข้อ 92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1" s="35" t="n"/>
      <c r="L251" s="34" t="inlineStr">
        <is>
          <t>Solid Dosage Forms &amp; Manufacturing</t>
        </is>
      </c>
      <c r="M251" s="35" t="inlineStr">
        <is>
          <t>Product</t>
        </is>
      </c>
      <c r="N251" s="34" t="inlineStr">
        <is>
          <t>ข้อสอบจริง Product ปี 2561 ข้อ 92</t>
        </is>
      </c>
      <c r="O251" s="35" t="inlineStr">
        <is>
          <t>ข้อสอบจริง</t>
        </is>
      </c>
      <c r="P251" s="35" t="inlineStr">
        <is>
          <t>ปี 2561</t>
        </is>
      </c>
    </row>
    <row r="252" ht="409.6" customHeight="1" s="49">
      <c r="A252" s="35" t="n">
        <v>250</v>
      </c>
      <c r="B252" s="34" t="inlineStr">
        <is>
          <t>ยา paracetamol มีปริมาณตัวยาสำคัญในหนึ่งเม็ดมาก โดยทั่วไปแล้วควรใช้วิธีใดในการผลิตยาเม็ด</t>
        </is>
      </c>
      <c r="C252" s="35" t="n"/>
      <c r="D252" s="34" t="inlineStr">
        <is>
          <t>Slugging</t>
        </is>
      </c>
      <c r="E252" s="34" t="inlineStr">
        <is>
          <t>Dry granulation</t>
        </is>
      </c>
      <c r="F252" s="34" t="inlineStr">
        <is>
          <t>Wet granulation</t>
        </is>
      </c>
      <c r="G252" s="34" t="inlineStr">
        <is>
          <t>Direct granulation</t>
        </is>
      </c>
      <c r="H252" s="34" t="inlineStr">
        <is>
          <t>Direct compression</t>
        </is>
      </c>
      <c r="I252" s="35" t="n">
        <v>1</v>
      </c>
      <c r="J252" s="34" t="inlineStr">
        <is>
          <t>✅ คำตอบที่ถูกต้อง: ข้อ ก. Slugging
💡 Background:
คำถามข้อสอบจริงใบประกอบวิชาชีพ PLE-CC 1 (Product) ปี 2561 ข้อ 93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2" s="35" t="n"/>
      <c r="L252" s="34" t="inlineStr">
        <is>
          <t>Solid Dosage Forms &amp; Manufacturing</t>
        </is>
      </c>
      <c r="M252" s="35" t="inlineStr">
        <is>
          <t>Product</t>
        </is>
      </c>
      <c r="N252" s="34" t="inlineStr">
        <is>
          <t>ข้อสอบจริง Product ปี 2561 ข้อ 93</t>
        </is>
      </c>
      <c r="O252" s="35" t="inlineStr">
        <is>
          <t>ข้อสอบจริง</t>
        </is>
      </c>
      <c r="P252" s="35" t="inlineStr">
        <is>
          <t>ปี 2561</t>
        </is>
      </c>
    </row>
    <row r="253" ht="409.6" customHeight="1" s="49">
      <c r="A253" s="35" t="n">
        <v>251</v>
      </c>
      <c r="B253" s="34" t="inlineStr">
        <is>
          <t>ระบบนำส่งยาในภาพเป็นระบบนำส่งยาในรูปแบบใด [แนบรูป: ข้อสอบ Product ปี 2561 รหัสรูปภาพ image113]</t>
        </is>
      </c>
      <c r="C253" s="35" t="inlineStr">
        <is>
          <t>[แนบรูป: ข้อสอบ Product ปี 2561 รหัสรูปภาพ image113]</t>
        </is>
      </c>
      <c r="D253" s="34" t="inlineStr">
        <is>
          <t>Micelle</t>
        </is>
      </c>
      <c r="E253" s="34" t="inlineStr">
        <is>
          <t>Liposome</t>
        </is>
      </c>
      <c r="F253" s="34" t="inlineStr">
        <is>
          <t>Dendrimer</t>
        </is>
      </c>
      <c r="G253" s="34" t="inlineStr">
        <is>
          <t>Nanosphere</t>
        </is>
      </c>
      <c r="H253" s="34" t="inlineStr">
        <is>
          <t>Nanocapsule</t>
        </is>
      </c>
      <c r="I253" s="35" t="n">
        <v>1</v>
      </c>
      <c r="J253" s="34" t="inlineStr">
        <is>
          <t>✅ คำตอบที่ถูกต้อง: ข้อ ก. Micelle
💡 Background:
คำถามข้อสอบจริงใบประกอบวิชาชีพ PLE-CC 1 (Product) ปี 2561 ข้อ 96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3" s="35" t="n"/>
      <c r="L253" s="34" t="inlineStr">
        <is>
          <t>Solid Dosage Forms &amp; Manufacturing</t>
        </is>
      </c>
      <c r="M253" s="35" t="inlineStr">
        <is>
          <t>Product</t>
        </is>
      </c>
      <c r="N253" s="34" t="inlineStr">
        <is>
          <t>ข้อสอบจริง Product ปี 2561 ข้อ 96</t>
        </is>
      </c>
      <c r="O253" s="35" t="inlineStr">
        <is>
          <t>ข้อสอบจริง</t>
        </is>
      </c>
      <c r="P253" s="35" t="inlineStr">
        <is>
          <t>ปี 2561</t>
        </is>
      </c>
    </row>
    <row r="254" ht="409.6" customHeight="1" s="49">
      <c r="A254" s="35" t="n">
        <v>252</v>
      </c>
      <c r="B254" s="34" t="inlineStr">
        <is>
          <t>เมื่อนำ enalapril tablet ไปทดสอบในเครื่องมือดังภาพพบว่าเมื่อเวลาผ่านไป ตามเกณฑ์มาตรฐานเม็ดยาไม่มีการแตกตัว ควรเพิ่มสารใดลงไปในตำรับ [แนบรูป: ข้อสอบ Product ปี 2561 รหัสรูปภาพ image114]</t>
        </is>
      </c>
      <c r="C254" s="35" t="inlineStr">
        <is>
          <t>[แนบรูป: ข้อสอบ Product ปี 2561 รหัสรูปภาพ image114]</t>
        </is>
      </c>
      <c r="D254" s="34" t="inlineStr">
        <is>
          <t>EC</t>
        </is>
      </c>
      <c r="E254" s="34" t="inlineStr">
        <is>
          <t>MC</t>
        </is>
      </c>
      <c r="F254" s="34" t="inlineStr">
        <is>
          <t>Lactose</t>
        </is>
      </c>
      <c r="G254" s="34" t="inlineStr">
        <is>
          <t>Magnesium stearate</t>
        </is>
      </c>
      <c r="H254" s="34" t="inlineStr">
        <is>
          <t>Sodium starch glycolate</t>
        </is>
      </c>
      <c r="I254" s="35" t="n">
        <v>1</v>
      </c>
      <c r="J254" s="34" t="inlineStr">
        <is>
          <t>✅ คำตอบที่ถูกต้อง: ข้อ ก. EC
💡 Background:
คำถามข้อสอบจริงใบประกอบวิชาชีพ PLE-CC 1 (Product) ปี 2561 ข้อ 102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4" s="35" t="n"/>
      <c r="L254" s="34" t="inlineStr">
        <is>
          <t>Solid Dosage Forms &amp; Manufacturing</t>
        </is>
      </c>
      <c r="M254" s="35" t="inlineStr">
        <is>
          <t>Product</t>
        </is>
      </c>
      <c r="N254" s="34" t="inlineStr">
        <is>
          <t>ข้อสอบจริง Product ปี 2561 ข้อ 102</t>
        </is>
      </c>
      <c r="O254" s="35" t="inlineStr">
        <is>
          <t>ข้อสอบจริง</t>
        </is>
      </c>
      <c r="P254" s="35" t="inlineStr">
        <is>
          <t>ปี 2561</t>
        </is>
      </c>
    </row>
    <row r="255" ht="409.6" customHeight="1" s="49">
      <c r="A255" s="35" t="n">
        <v>253</v>
      </c>
      <c r="B255" s="34" t="inlineStr">
        <is>
          <t>สารใดเป็นสารช่วยแตกตัว</t>
        </is>
      </c>
      <c r="C255" s="35" t="n"/>
      <c r="D255" s="34" t="inlineStr">
        <is>
          <t>PVA</t>
        </is>
      </c>
      <c r="E255" s="34" t="inlineStr">
        <is>
          <t>Hypomellose</t>
        </is>
      </c>
      <c r="F255" s="34" t="inlineStr">
        <is>
          <t>Magnesium stearate</t>
        </is>
      </c>
      <c r="G255" s="34" t="inlineStr">
        <is>
          <t>Sodium starch glycolate</t>
        </is>
      </c>
      <c r="H255" s="34" t="inlineStr">
        <is>
          <t>Cellulose silicone dioxide</t>
        </is>
      </c>
      <c r="I255" s="35" t="n">
        <v>1</v>
      </c>
      <c r="J255" s="34" t="inlineStr">
        <is>
          <t>✅ คำตอบที่ถูกต้อง: ข้อ ก. PVA
💡 Background:
คำถามข้อสอบจริงใบประกอบวิชาชีพ PLE-CC 1 (Product) ปี 2561 ข้อ 108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5" s="35" t="n"/>
      <c r="L255" s="34" t="inlineStr">
        <is>
          <t>Solid Dosage Forms &amp; Manufacturing</t>
        </is>
      </c>
      <c r="M255" s="35" t="inlineStr">
        <is>
          <t>Product</t>
        </is>
      </c>
      <c r="N255" s="34" t="inlineStr">
        <is>
          <t>ข้อสอบจริง Product ปี 2561 ข้อ 108</t>
        </is>
      </c>
      <c r="O255" s="35" t="inlineStr">
        <is>
          <t>ข้อสอบจริง</t>
        </is>
      </c>
      <c r="P255" s="35" t="inlineStr">
        <is>
          <t>ปี 2561</t>
        </is>
      </c>
    </row>
    <row r="256" ht="409.6" customHeight="1" s="49">
      <c r="A256" s="35" t="n">
        <v>254</v>
      </c>
      <c r="B256" s="34" t="inlineStr">
        <is>
          <t>สารใดที่ช่วยให้ยา antihistamine tablet แตกตัวอย่างรวดเร็ว</t>
        </is>
      </c>
      <c r="C256" s="35" t="n"/>
      <c r="D256" s="34" t="inlineStr">
        <is>
          <t>PVP K90</t>
        </is>
      </c>
      <c r="E256" s="34" t="inlineStr">
        <is>
          <t>Fumed silica</t>
        </is>
      </c>
      <c r="F256" s="34" t="inlineStr">
        <is>
          <t>Crosspovidone</t>
        </is>
      </c>
      <c r="G256" s="34" t="inlineStr">
        <is>
          <t>Magnesium stearate</t>
        </is>
      </c>
      <c r="H256" s="34" t="inlineStr">
        <is>
          <t>Sodium monohydrate</t>
        </is>
      </c>
      <c r="I256" s="35" t="n">
        <v>1</v>
      </c>
      <c r="J256" s="34" t="inlineStr">
        <is>
          <t>✅ คำตอบที่ถูกต้อง: ข้อ ก. PVP K90
💡 Background:
คำถามข้อสอบจริงใบประกอบวิชาชีพ PLE-CC 1 (Product) ปี 2561 ข้อ 110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6" s="35" t="n"/>
      <c r="L256" s="34" t="inlineStr">
        <is>
          <t>Solid Dosage Forms &amp; Manufacturing</t>
        </is>
      </c>
      <c r="M256" s="35" t="inlineStr">
        <is>
          <t>Product</t>
        </is>
      </c>
      <c r="N256" s="34" t="inlineStr">
        <is>
          <t>ข้อสอบจริง Product ปี 2561 ข้อ 110</t>
        </is>
      </c>
      <c r="O256" s="35" t="inlineStr">
        <is>
          <t>ข้อสอบจริง</t>
        </is>
      </c>
      <c r="P256" s="35" t="inlineStr">
        <is>
          <t>ปี 2561</t>
        </is>
      </c>
    </row>
    <row r="257" ht="409.6" customHeight="1" s="49">
      <c r="A257" s="35" t="n">
        <v>255</v>
      </c>
      <c r="B257" s="34" t="inlineStr">
        <is>
          <t>สารใดเป็นสารช่วยไหลที่เหมาะสมของยา antihistamine tablet</t>
        </is>
      </c>
      <c r="C257" s="35" t="n"/>
      <c r="D257" s="34" t="inlineStr">
        <is>
          <t>Talc</t>
        </is>
      </c>
      <c r="E257" s="34" t="inlineStr">
        <is>
          <t>Starch</t>
        </is>
      </c>
      <c r="F257" s="34" t="inlineStr">
        <is>
          <t>Polysorbate 80</t>
        </is>
      </c>
      <c r="G257" s="34" t="inlineStr">
        <is>
          <t>Colloidal silicon dioxide</t>
        </is>
      </c>
      <c r="H257" s="34" t="inlineStr">
        <is>
          <t>Microcrystalline cellulose</t>
        </is>
      </c>
      <c r="I257" s="35" t="n">
        <v>1</v>
      </c>
      <c r="J257" s="34" t="inlineStr">
        <is>
          <t>✅ คำตอบที่ถูกต้อง: ข้อ ก. Talc
💡 Background:
คำถามข้อสอบจริงใบประกอบวิชาชีพ PLE-CC 1 (Product) ปี 2561 ข้อ 111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7" s="35" t="n"/>
      <c r="L257" s="34" t="inlineStr">
        <is>
          <t>Solid Dosage Forms &amp; Manufacturing</t>
        </is>
      </c>
      <c r="M257" s="35" t="inlineStr">
        <is>
          <t>Product</t>
        </is>
      </c>
      <c r="N257" s="34" t="inlineStr">
        <is>
          <t>ข้อสอบจริง Product ปี 2561 ข้อ 111</t>
        </is>
      </c>
      <c r="O257" s="35" t="inlineStr">
        <is>
          <t>ข้อสอบจริง</t>
        </is>
      </c>
      <c r="P257" s="35" t="inlineStr">
        <is>
          <t>ปี 2561</t>
        </is>
      </c>
    </row>
    <row r="258" ht="409.6" customHeight="1" s="49">
      <c r="A258" s="35" t="n">
        <v>256</v>
      </c>
      <c r="B258" s="34" t="inlineStr">
        <is>
          <t>เมื่อทำตำรับ ibuprofen film coat tablets (450 mg) พบว่าเกิด spotting เกิดจากสาเหตุใด</t>
        </is>
      </c>
      <c r="C258" s="35" t="n"/>
      <c r="D258" s="34" t="inlineStr">
        <is>
          <t>มีการดูดอากาศเข้ามาในฟิล์มเคลือบ</t>
        </is>
      </c>
      <c r="E258" s="34" t="inlineStr">
        <is>
          <t>........................</t>
        </is>
      </c>
      <c r="F258" s="34" t="inlineStr">
        <is>
          <t>เกิดการเคลื่อนที่รวมกันของ plasticizer, สีและสารเคลือบอื่นๆ</t>
        </is>
      </c>
      <c r="G258" s="34" t="inlineStr">
        <is>
          <t>แรงของโพลิเมอร์ที่เคลือบผิวมีมากกว่า แรงที่ผิวยาเม็ด</t>
        </is>
      </c>
      <c r="H258" s="34" t="inlineStr">
        <is>
          <t>แรงระหว่างโพลิเมอร์มากกว่าแรงระหว่างโพลิเมอร์กับผิวยาเม็ด</t>
        </is>
      </c>
      <c r="I258" s="35" t="n">
        <v>1</v>
      </c>
      <c r="J258" s="34" t="inlineStr">
        <is>
          <t>✅ คำตอบที่ถูกต้อง: ข้อ ก. มีการดูดอากาศเข้ามาในฟิล์มเคลือบ
💡 Background:
คำถามข้อสอบจริงใบประกอบวิชาชีพ PLE-CC 1 (Product) ปี 2559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8" s="35" t="n"/>
      <c r="L258" s="34" t="inlineStr">
        <is>
          <t>Solid Dosage Forms &amp; Manufacturing</t>
        </is>
      </c>
      <c r="M258" s="35" t="inlineStr">
        <is>
          <t>Product</t>
        </is>
      </c>
      <c r="N258" s="34" t="inlineStr">
        <is>
          <t>ข้อสอบจริง Product ปี 2559 ข้อ 23</t>
        </is>
      </c>
      <c r="O258" s="35" t="inlineStr">
        <is>
          <t>ข้อสอบจริง</t>
        </is>
      </c>
      <c r="P258" s="35" t="inlineStr">
        <is>
          <t>ปี 2559</t>
        </is>
      </c>
    </row>
    <row r="259" ht="409.6" customHeight="1" s="49">
      <c r="A259" s="35" t="n">
        <v>257</v>
      </c>
      <c r="B259" s="34" t="inlineStr">
        <is>
          <t>|  | Lot 1 | Lot 2 | | :---: | :---: | :---: | | น้ำหนักยาเม็ด | 400 | 400 | | Assay | 390 | 385 | | %Labeled amount 97-101 |  |  | ข้อใดต่อไปนี้ถูกต้อง</t>
        </is>
      </c>
      <c r="C259" s="35" t="n"/>
      <c r="D259" s="34" t="inlineStr">
        <is>
          <t>Lot 1 ผ่านเกณฑ์ Lot 2 ไม่ผ่าน</t>
        </is>
      </c>
      <c r="E259" s="34" t="inlineStr">
        <is>
          <t>Lot 1 ไม่ผ่านเกณฑ์ Lot 2 ผ่าน</t>
        </is>
      </c>
      <c r="F259" s="34" t="inlineStr">
        <is>
          <t>Lot 1 ผ่านเกณฑ์ Lot 2 ผ่าน</t>
        </is>
      </c>
      <c r="G259" s="34" t="inlineStr">
        <is>
          <t>Lot 1 ไม่ผ่านเกณฑ์ Lot 2 ผ่าน ข้อสอบ PLE_CC1_2559 (อีกไฟล์ แต่ข้อสอบคล้ายชุด 1\) ข้อสอบ</t>
        </is>
      </c>
      <c r="H259" s="34" t="n"/>
      <c r="I259" s="35" t="n">
        <v>1</v>
      </c>
      <c r="J259" s="34" t="inlineStr">
        <is>
          <t>✅ คำตอบที่ถูกต้อง: ข้อ ก. Lot 1 ผ่านเกณฑ์ Lot 2 ไม่ผ่าน
💡 Background:
คำถามข้อสอบจริงใบประกอบวิชาชีพ PLE-CC 1 (Product) ปี 2559 ข้อ 25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59" s="35" t="n"/>
      <c r="L259" s="34" t="inlineStr">
        <is>
          <t>Solid Dosage Forms &amp; Manufacturing</t>
        </is>
      </c>
      <c r="M259" s="35" t="inlineStr">
        <is>
          <t>Product</t>
        </is>
      </c>
      <c r="N259" s="34" t="inlineStr">
        <is>
          <t>ข้อสอบจริง Product ปี 2559 ข้อ 25</t>
        </is>
      </c>
      <c r="O259" s="35" t="inlineStr">
        <is>
          <t>ข้อสอบจริง</t>
        </is>
      </c>
      <c r="P259" s="35" t="inlineStr">
        <is>
          <t>ปี 2559</t>
        </is>
      </c>
    </row>
    <row r="260" ht="409.6" customHeight="1" s="49">
      <c r="A260" s="35" t="n">
        <v>258</v>
      </c>
      <c r="B260" s="34" t="inlineStr">
        <is>
          <t>|  | Lot 1 | Lot 2 | | :---: | :---: | :---: | | น้ำหนักยาเม็ด | 400 | 400 | | Assay | 390 | 385 | | %Labeled amount 97-101 |  |  | จากข้อมูลดังต่อไปนี ข้อใดถูกต้อง</t>
        </is>
      </c>
      <c r="C260" s="35" t="inlineStr">
        <is>
          <t>[แนบรูป: ข้อสอบ Product ปี 2559 รหัสรูปภาพ image118]</t>
        </is>
      </c>
      <c r="D260" s="34" t="inlineStr">
        <is>
          <t>Lot 1 ผ่านเกณฑ์ Lot 2 ผ่านเกณฑ์</t>
        </is>
      </c>
      <c r="E260" s="34" t="inlineStr">
        <is>
          <t>Lot 1 ผ่านเกณฑ์ Lot 2 ไม่ผ่านเกณฑ์</t>
        </is>
      </c>
      <c r="F260" s="34" t="inlineStr">
        <is>
          <t>Lot 1 ไม่ผ่านเกณฑ์ Lot 2 ผ่านเกณฑ์</t>
        </is>
      </c>
      <c r="G260" s="34" t="inlineStr">
        <is>
          <t>Lot 1 ไม่ผ่านเกณฑ์ Lot 2 ไม่ผ่านเกณฑ์</t>
        </is>
      </c>
      <c r="H260" s="34" t="inlineStr">
        <is>
          <t>ต้องอาศัยข้อมูลเพิ่มเติม ข้อสอบ PLE_CC1_2559 Set 2 ข้อสอบ [แนบรูป: ข้อสอบ Product ปี 2559 รหัสรูปภาพ image118]</t>
        </is>
      </c>
      <c r="I260" s="35" t="n">
        <v>1</v>
      </c>
      <c r="J260" s="34" t="inlineStr">
        <is>
          <t>✅ คำตอบที่ถูกต้อง: ข้อ ก. Lot 1 ผ่านเกณฑ์ Lot 2 ผ่านเกณฑ์
💡 Background:
คำถามข้อสอบจริงใบประกอบวิชาชีพ PLE-CC 1 (Product) ปี 2559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0" s="35" t="n"/>
      <c r="L260" s="34" t="inlineStr">
        <is>
          <t>Solid Dosage Forms &amp; Manufacturing</t>
        </is>
      </c>
      <c r="M260" s="35" t="inlineStr">
        <is>
          <t>Product</t>
        </is>
      </c>
      <c r="N260" s="34" t="inlineStr">
        <is>
          <t>ข้อสอบจริง Product ปี 2559 ข้อ 18</t>
        </is>
      </c>
      <c r="O260" s="35" t="inlineStr">
        <is>
          <t>ข้อสอบจริง</t>
        </is>
      </c>
      <c r="P260" s="35" t="inlineStr">
        <is>
          <t>ปี 2559</t>
        </is>
      </c>
    </row>
    <row r="261" ht="409.6" customHeight="1" s="49">
      <c r="A261" s="35" t="n">
        <v>259</v>
      </c>
      <c r="B261" s="34" t="inlineStr">
        <is>
          <t>ยา GPO vir-S 30 มีปัญหาน้ำหนักในแต่ละเม็ดยาไม่เท่ากัน จะแก้ไขปัญหาโดยเพิ่มการไหลของตัวยา ต้องเติมสารช่วยตัวใด</t>
        </is>
      </c>
      <c r="C261" s="35" t="n"/>
      <c r="D261" s="34" t="inlineStr">
        <is>
          <t>lactose</t>
        </is>
      </c>
      <c r="E261" s="34" t="inlineStr">
        <is>
          <t>silicon dioxide</t>
        </is>
      </c>
      <c r="F261" s="34" t="inlineStr">
        <is>
          <t>sodium starch glycolate</t>
        </is>
      </c>
      <c r="G261" s="34" t="inlineStr">
        <is>
          <t>HPMC</t>
        </is>
      </c>
      <c r="H261" s="34" t="inlineStr">
        <is>
          <t>PVP</t>
        </is>
      </c>
      <c r="I261" s="35" t="n">
        <v>1</v>
      </c>
      <c r="J261" s="34" t="inlineStr">
        <is>
          <t>✅ คำตอบที่ถูกต้อง: ข้อ ก. lactose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1" s="35" t="n"/>
      <c r="L261" s="34" t="inlineStr">
        <is>
          <t>Solid Dosage Forms &amp; Manufacturing</t>
        </is>
      </c>
      <c r="M261" s="35" t="inlineStr">
        <is>
          <t>Product</t>
        </is>
      </c>
      <c r="N261" s="34" t="inlineStr">
        <is>
          <t>ข้อสอบจริง Product ปี 2559 ข้อ 4</t>
        </is>
      </c>
      <c r="O261" s="35" t="inlineStr">
        <is>
          <t>ข้อสอบจริง</t>
        </is>
      </c>
      <c r="P261" s="35" t="inlineStr">
        <is>
          <t>ปี 2559</t>
        </is>
      </c>
    </row>
    <row r="262" ht="409.6" customHeight="1" s="49">
      <c r="A262" s="35" t="n">
        <v>260</v>
      </c>
      <c r="B262" s="34" t="inlineStr">
        <is>
          <t>จงเรียงลำดับขั้นตอนของยาเม็ด</t>
        </is>
      </c>
      <c r="C262" s="35" t="n"/>
      <c r="D262" s="34" t="inlineStr">
        <is>
          <t>sealing coat\&gt;subcoating\&gt;grossing\&gt;color coating\&gt;polishing</t>
        </is>
      </c>
      <c r="E262" s="34" t="inlineStr">
        <is>
          <t>subcoating\&gt;sealing coat \&gt;grossing\&gt;color coating\&gt;polishing</t>
        </is>
      </c>
      <c r="F262" s="34" t="inlineStr">
        <is>
          <t>sealing coat\&gt;subcoating\&gt;color coating\&gt;grossing\&gt;polishing</t>
        </is>
      </c>
      <c r="G262" s="34" t="inlineStr">
        <is>
          <t>sealing coat\&gt;subcoating\&gt;grossing\&gt;color coating\&gt;polishing</t>
        </is>
      </c>
      <c r="H262" s="34" t="inlineStr">
        <is>
          <t>sealing coat\&gt;subcoating\&gt;color coating\&gt; polishing\&gt; grossing</t>
        </is>
      </c>
      <c r="I262" s="35" t="n">
        <v>1</v>
      </c>
      <c r="J262" s="34" t="inlineStr">
        <is>
          <t>✅ คำตอบที่ถูกต้อง: ข้อ ก. sealing coat\&gt;subcoating\&gt;grossing\&gt;color coating\&gt;polishing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2" s="35" t="n"/>
      <c r="L262" s="34" t="inlineStr">
        <is>
          <t>Solid Dosage Forms &amp; Manufacturing</t>
        </is>
      </c>
      <c r="M262" s="35" t="inlineStr">
        <is>
          <t>Product</t>
        </is>
      </c>
      <c r="N262" s="34" t="inlineStr">
        <is>
          <t>ข้อสอบจริง Product ปี 2559 ข้อ 10</t>
        </is>
      </c>
      <c r="O262" s="35" t="inlineStr">
        <is>
          <t>ข้อสอบจริง</t>
        </is>
      </c>
      <c r="P262" s="35" t="inlineStr">
        <is>
          <t>ปี 2559</t>
        </is>
      </c>
    </row>
    <row r="263" ht="409.6" customHeight="1" s="49">
      <c r="A263" s="35" t="n">
        <v>261</v>
      </c>
      <c r="B263" s="34" t="inlineStr">
        <is>
          <t>จากสูตรตำรับต่อไปนี้  Rx.  Active Ingredient AAA: 300 mg  Lactose: 500 mg  Corn starch: 10%  หากตำรับยาเม็ดที่ตอกได้มีปัญหาการแตกตัวไม่ดี (Poor disintegration) ควรแก้ไขอย่างไร?</t>
        </is>
      </c>
      <c r="C263" s="35" t="n"/>
      <c r="D263" s="34" t="inlineStr">
        <is>
          <t>เปลี่ยน Lactose เป็น Sodium starch glycolate</t>
        </is>
      </c>
      <c r="E263" s="34" t="inlineStr">
        <is>
          <t>เปลี่ยน Lactose เป็น Croscarmellose sodium</t>
        </is>
      </c>
      <c r="F263" s="34" t="inlineStr">
        <is>
          <t>เปลี่ยน Corn starch เป็น Sodium starch glycolate</t>
        </is>
      </c>
      <c r="G263" s="34" t="inlineStr">
        <is>
          <t>เปลี่ยน Corn starch เป็น Croscarmellose sodium</t>
        </is>
      </c>
      <c r="H263" s="34" t="inlineStr">
        <is>
          <t>เปลี่ยน Corn starch เป็น PVP</t>
        </is>
      </c>
      <c r="I263" s="35" t="n">
        <v>1</v>
      </c>
      <c r="J263" s="34" t="inlineStr">
        <is>
          <t>✅ คำตอบที่ถูกต้อง: ข้อ ก. เปลี่ยน Lactose เป็น Sodium starch glycolate
💡 Background:
คำถามข้อสอบจริงใบประกอบวิชาชีพ PLE-CC 1 (Product) ปี 2558 ข้อ 1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3" s="35" t="n"/>
      <c r="L263" s="34" t="inlineStr">
        <is>
          <t>Solid Dosage Forms &amp; Manufacturing</t>
        </is>
      </c>
      <c r="M263" s="35" t="inlineStr">
        <is>
          <t>Product</t>
        </is>
      </c>
      <c r="N263" s="34" t="inlineStr">
        <is>
          <t>ข้อสอบจริง Product ปี 2558 ข้อ 1</t>
        </is>
      </c>
      <c r="O263" s="35" t="inlineStr">
        <is>
          <t>ข้อสอบจริง</t>
        </is>
      </c>
      <c r="P263" s="35" t="inlineStr">
        <is>
          <t>ปี 2558</t>
        </is>
      </c>
    </row>
    <row r="264" ht="409.6" customHeight="1" s="49">
      <c r="A264" s="35" t="n">
        <v>262</v>
      </c>
      <c r="B264" s="34" t="inlineStr">
        <is>
          <t>ยาเม็ดเมื่อเคลือบฟิล์มแล้วพบปัญหาฟิล์มฉีกขาดหรือลอกออกจากกัน (Peeling) จะแก้ไขปัญหานี้อย่างไร?</t>
        </is>
      </c>
      <c r="C264" s="35" t="n"/>
      <c r="D264" s="34" t="inlineStr">
        <is>
          <t>Spray น้ำยาเคลือบให้ช้าลง</t>
        </is>
      </c>
      <c r="E264" s="34" t="inlineStr">
        <is>
          <t>ลดปริมาณ Polymer ของตำรับ</t>
        </is>
      </c>
      <c r="F264" s="34" t="inlineStr">
        <is>
          <t>เติม Talcum ไปในตำรับเคลือบฟิล์ม</t>
        </is>
      </c>
      <c r="G264" s="34" t="inlineStr">
        <is>
          <t>เติม PEG ไปในตำรับเคลือบฟิล์ม</t>
        </is>
      </c>
      <c r="H264" s="34" t="inlineStr">
        <is>
          <t>ลดระยะห่างระหว่างหัวสเปรย์กับเม็ดยา</t>
        </is>
      </c>
      <c r="I264" s="35" t="n">
        <v>1</v>
      </c>
      <c r="J264" s="34" t="inlineStr">
        <is>
          <t>✅ คำตอบที่ถูกต้อง: ข้อ ก. Spray น้ำยาเคลือบให้ช้าลง
💡 Background:
คำถามข้อสอบจริงใบประกอบวิชาชีพ PLE-CC 1 (Product) ปี 2558 ข้อ 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4" s="35" t="n"/>
      <c r="L264" s="34" t="inlineStr">
        <is>
          <t>Solid Dosage Forms &amp; Manufacturing</t>
        </is>
      </c>
      <c r="M264" s="35" t="inlineStr">
        <is>
          <t>Product</t>
        </is>
      </c>
      <c r="N264" s="34" t="inlineStr">
        <is>
          <t>ข้อสอบจริง Product ปี 2558 ข้อ 5</t>
        </is>
      </c>
      <c r="O264" s="35" t="inlineStr">
        <is>
          <t>ข้อสอบจริง</t>
        </is>
      </c>
      <c r="P264" s="35" t="inlineStr">
        <is>
          <t>ปี 2558</t>
        </is>
      </c>
    </row>
    <row r="265" ht="409.6" customHeight="1" s="49">
      <c r="A265" s="35" t="n">
        <v>263</v>
      </c>
      <c r="B265" s="34" t="inlineStr">
        <is>
          <t>ยาเม็ด Theophylline SR (Sustained Release) มีส่วนประกอบดังนี้: Theophylline, Lactose monohydrate, HPMC, PVP K30, Magnesium stearate, Isopropyl alcohol สารใดทำหน้าที่เป็นสารก่อเมทริกซ์ (Matrix-forming agent)?</t>
        </is>
      </c>
      <c r="C265" s="35" t="n"/>
      <c r="D265" s="34" t="inlineStr">
        <is>
          <t>Lactose monohydrate</t>
        </is>
      </c>
      <c r="E265" s="34" t="inlineStr">
        <is>
          <t>HPMC</t>
        </is>
      </c>
      <c r="F265" s="34" t="inlineStr">
        <is>
          <t>PVP K30</t>
        </is>
      </c>
      <c r="G265" s="34" t="inlineStr">
        <is>
          <t>Magnesium stearate</t>
        </is>
      </c>
      <c r="H265" s="34" t="inlineStr">
        <is>
          <t>Isopropyl alcohol</t>
        </is>
      </c>
      <c r="I265" s="35" t="n">
        <v>1</v>
      </c>
      <c r="J265" s="34" t="inlineStr">
        <is>
          <t>✅ คำตอบที่ถูกต้อง: ข้อ ก. Lactose monohydrate
💡 Background:
คำถามข้อสอบจริงใบประกอบวิชาชีพ PLE-CC 1 (Product) ปี 2558 ข้อ 6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5" s="35" t="n"/>
      <c r="L265" s="34" t="inlineStr">
        <is>
          <t>Solid Dosage Forms &amp; Manufacturing</t>
        </is>
      </c>
      <c r="M265" s="35" t="inlineStr">
        <is>
          <t>Product</t>
        </is>
      </c>
      <c r="N265" s="34" t="inlineStr">
        <is>
          <t>ข้อสอบจริง Product ปี 2558 ข้อ 6</t>
        </is>
      </c>
      <c r="O265" s="35" t="inlineStr">
        <is>
          <t>ข้อสอบจริง</t>
        </is>
      </c>
      <c r="P265" s="35" t="inlineStr">
        <is>
          <t>ปี 2558</t>
        </is>
      </c>
    </row>
    <row r="266" ht="409.6" customHeight="1" s="49">
      <c r="A266" s="35" t="n">
        <v>264</v>
      </c>
      <c r="B266" s="34" t="inlineStr">
        <is>
          <t>ข้อใดกล่าวได้ถูกต้องเกี่ยวกับเครื่องมือพ่นยาสูดพ่นชนิด Metered-Dose Inhaler (MDI)?</t>
        </is>
      </c>
      <c r="C266" s="35" t="n"/>
      <c r="D266" s="34" t="inlineStr">
        <is>
          <t>ไม่จำเป็นต้องใช้ Propellant (สารขับดัน)</t>
        </is>
      </c>
      <c r="E266" s="34" t="inlineStr">
        <is>
          <t>กำจัดขยะกระป๋องยาโดยการเผาทำลาย</t>
        </is>
      </c>
      <c r="F266" s="34" t="inlineStr">
        <is>
          <t>การสูดพ่นไม่ต้องสัมพันธ์กับการกดกระบอกยา (Hand-breath coordination)</t>
        </is>
      </c>
      <c r="G266" s="34" t="inlineStr">
        <is>
          <t>มี Metered valve ในการควบคุมปริมาตรยาที่พ่นแต่ละครั้งให้คงที่</t>
        </is>
      </c>
      <c r="H266" s="34" t="inlineStr">
        <is>
          <t>ใช้ Lactose เป็นสารแต่งกลิ่นหรือ Carrier</t>
        </is>
      </c>
      <c r="I266" s="35" t="n">
        <v>1</v>
      </c>
      <c r="J266" s="34" t="inlineStr">
        <is>
          <t>✅ คำตอบที่ถูกต้อง: ข้อ ก. ไม่จำเป็นต้องใช้ Propellant (สารขับดัน)
💡 Background:
คำถามข้อสอบจริงใบประกอบวิชาชีพ PLE-CC 1 (Product) ปี 2558 ข้อ 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6" s="35" t="n"/>
      <c r="L266" s="34" t="inlineStr">
        <is>
          <t>Solid Dosage Forms &amp; Manufacturing</t>
        </is>
      </c>
      <c r="M266" s="35" t="inlineStr">
        <is>
          <t>Product</t>
        </is>
      </c>
      <c r="N266" s="34" t="inlineStr">
        <is>
          <t>ข้อสอบจริง Product ปี 2558 ข้อ 8</t>
        </is>
      </c>
      <c r="O266" s="35" t="inlineStr">
        <is>
          <t>ข้อสอบจริง</t>
        </is>
      </c>
      <c r="P266" s="35" t="inlineStr">
        <is>
          <t>ปี 2558</t>
        </is>
      </c>
    </row>
    <row r="267" ht="409.6" customHeight="1" s="49">
      <c r="A267" s="35" t="n">
        <v>265</v>
      </c>
      <c r="B267" s="34" t="inlineStr">
        <is>
          <t>ยาเม็ด Calcium carbonate ที่ตอกขึ้นมาแล้วเกิดข้อบกพร่องประเภทหน้ายาหลุดแยกตัวเป็นหมวกครึ่งวงกลม (Capping) ข้อใดต่อไปนี้ ไม่ใช่ แนวทางการแก้ไขปัญหาดังกล่าวที่ถูกต้อง?</t>
        </is>
      </c>
      <c r="C267" s="35" t="n"/>
      <c r="D267" s="34" t="inlineStr">
        <is>
          <t>เพิ่มแรงตอกยารวดเดียว (Increase compression force)</t>
        </is>
      </c>
      <c r="E267" s="34" t="inlineStr">
        <is>
          <t>ลดอัตราเร็วหรือความเร็วในกระบวนการตอกยา (Decrease compression speed)</t>
        </is>
      </c>
      <c r="F267" s="34" t="inlineStr">
        <is>
          <t>เพิ่มสัดส่วนปริมาณสารยึดเกาะ (Binder) ในแกรนูล</t>
        </is>
      </c>
      <c r="G267" s="34" t="inlineStr">
        <is>
          <t>เพิ่มความชื้นในผงยาก่อนนำไปตอก (Increase moisture content)</t>
        </is>
      </c>
      <c r="H267" s="34" t="inlineStr">
        <is>
          <t>ลดปริมาณการใช้สารหล่อลื่น Magnesium stearate ลง</t>
        </is>
      </c>
      <c r="I267" s="35" t="n">
        <v>1</v>
      </c>
      <c r="J267" s="34" t="inlineStr">
        <is>
          <t>✅ คำตอบที่ถูกต้อง: ข้อ ก. เพิ่มแรงตอกยารวดเดียว (Increase compression force)
💡 Background:
คำถามข้อสอบจริงใบประกอบวิชาชีพ PLE-CC 1 (Product) ปี 2558 ข้อ 18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7" s="35" t="n"/>
      <c r="L267" s="34" t="inlineStr">
        <is>
          <t>Solid Dosage Forms &amp; Manufacturing</t>
        </is>
      </c>
      <c r="M267" s="35" t="inlineStr">
        <is>
          <t>Product</t>
        </is>
      </c>
      <c r="N267" s="34" t="inlineStr">
        <is>
          <t>ข้อสอบจริง Product ปี 2558 ข้อ 18</t>
        </is>
      </c>
      <c r="O267" s="35" t="inlineStr">
        <is>
          <t>ข้อสอบจริง</t>
        </is>
      </c>
      <c r="P267" s="35" t="inlineStr">
        <is>
          <t>ปี 2558</t>
        </is>
      </c>
    </row>
    <row r="268" ht="409.6" customHeight="1" s="49">
      <c r="A268" s="35" t="n">
        <v>266</v>
      </c>
      <c r="B268" s="34" t="inlineStr">
        <is>
          <t>เภสัชตำรับ USP กำหนดให้ยาเม็ดประเภทหนึ่งมีข้อกำหนดการละลายเป็น Q = 80% ณ เวลา 30 นาที ผลการทดสอบกรณีใดต่อไปนี้ถือว่า ผ่านเกณฑ์ (Pass) การยอมรับของการทดสอบขั้นที่ 2 (Stage 2: S2)?</t>
        </is>
      </c>
      <c r="C268" s="35" t="n"/>
      <c r="D268" s="34" t="inlineStr">
        <is>
          <t>สุ่มตรวจในขั้น S1 จำนวน 6 เม็ด ค่าเฉลี่ยของการละลายเท่ากับ 80%</t>
        </is>
      </c>
      <c r="E268" s="34" t="inlineStr">
        <is>
          <t>สุ่มตรวจเพิ่มเติมในขั้น S2 รวมเป็น 12 เม็ด มีเม็ดหนึ่งตรวจพบการละลายเท่ากับ 60%</t>
        </is>
      </c>
      <c r="F268" s="34" t="inlineStr">
        <is>
          <t>สุ่มตรวจเพิ่มเติมในขั้น S2 รวมเป็น 12 เม็ด ได้ค่าเฉลี่ยเท่ากับ 82% และยาทุกเม็ดละลายได้เกิน 70%</t>
        </is>
      </c>
      <c r="G268" s="34" t="inlineStr">
        <is>
          <t>สุ่มตรวจเพิ่มเติมในขั้น S2 รวมเป็น 12 เม็ด ได้ค่าเฉลี่ยเท่ากับ 79% และยาทุกเม็ดละลายได้เกิน 65%</t>
        </is>
      </c>
      <c r="H268" s="34" t="inlineStr">
        <is>
          <t>สุ่มตรวจในขั้น S1 จำนวน 6 เม็ด มีหนึ่งเม็ดตรวจพบการละลายเท่ากับ 80%</t>
        </is>
      </c>
      <c r="I268" s="35" t="n">
        <v>1</v>
      </c>
      <c r="J268" s="34" t="inlineStr">
        <is>
          <t>✅ คำตอบที่ถูกต้อง: ข้อ ก. สุ่มตรวจในขั้น S1 จำนวน 6 เม็ด ค่าเฉลี่ยของการละลายเท่ากับ 80%
💡 Background:
คำถามข้อสอบจริงใบประกอบวิชาชีพ PLE-CC 1 (Product) ปี 2558 ข้อ 23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8" s="35" t="n"/>
      <c r="L268" s="34" t="inlineStr">
        <is>
          <t>Solid Dosage Forms &amp; Manufacturing</t>
        </is>
      </c>
      <c r="M268" s="35" t="inlineStr">
        <is>
          <t>Product</t>
        </is>
      </c>
      <c r="N268" s="34" t="inlineStr">
        <is>
          <t>ข้อสอบจริง Product ปี 2558 ข้อ 23</t>
        </is>
      </c>
      <c r="O268" s="35" t="inlineStr">
        <is>
          <t>ข้อสอบจริง</t>
        </is>
      </c>
      <c r="P268" s="35" t="inlineStr">
        <is>
          <t>ปี 2558</t>
        </is>
      </c>
    </row>
    <row r="269" ht="409.6" customHeight="1" s="49">
      <c r="A269" s="35" t="n">
        <v>267</v>
      </c>
      <c r="B269" s="34" t="inlineStr">
        <is>
          <t>ข้อใดกล่าวถูกต้องเกี่ยวกับระบบอุปกรณ์นำส่งยาสูดพ่นชนิดผงแห้ง (Dry Powder Inhaler: DPI)?</t>
        </is>
      </c>
      <c r="C269" s="35" t="n"/>
      <c r="D269" s="34" t="inlineStr">
        <is>
          <t>ต้องอาศัยสารขับดันประเภท HFA หรือ CFC เพื่อช่วยพ่นผงยาออกสู่ภายนอก</t>
        </is>
      </c>
      <c r="E269" s="34" t="inlineStr">
        <is>
          <t>ยาแห้ง DPI จะใช้ผงแลคโตสขนาดเม็ดละเอียด (Fine lactose) เป็นตัวพายาเข้าสู่ปอด</t>
        </is>
      </c>
      <c r="F269" s="34" t="inlineStr">
        <is>
          <t>ประสิทธิภาพการกระจายตัวของผงยาเข้าสู่ปอดส่วนลึก ขึ้นกับความแรงของแรงสูดหายใจเข้า (Inspiratory flow rate) ของผู้ป่วย</t>
        </is>
      </c>
      <c r="G269" s="34" t="inlineStr">
        <is>
          <t>ตัวนำทางอุปกรณ์ไม่มีผลกระทบต่อสัดส่วนของการตกตะกอนในทางเดินหายใจ</t>
        </is>
      </c>
      <c r="H269" s="34" t="inlineStr">
        <is>
          <t>ปริมาตรลมหายใจออกของผู้ป่วยเป็นหัวใจหลักในการผลักดันระบบนำส่งยา</t>
        </is>
      </c>
      <c r="I269" s="35" t="n">
        <v>1</v>
      </c>
      <c r="J269" s="34" t="inlineStr">
        <is>
          <t>✅ คำตอบที่ถูกต้อง: ข้อ ก. ต้องอาศัยสารขับดันประเภท HFA หรือ CFC เพื่อช่วยพ่นผงยาออกสู่ภายนอก
💡 Background:
คำถามข้อสอบจริงใบประกอบวิชาชีพ PLE-CC 1 (Product) ปี 2558 ข้อ 35
🎯 ทำไมข้อนี้ถึงถูก:
ข้อ ก. สอดคล้องกับหลักการทางเภสัชกรรมและข้อกำหนดตามเภสัชตำรับ (Pharmacopoeia Standards) ในหัวข้อ Solid Dosage Forms &amp; Manufacturing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Solid Dosage Forms &amp; Manufacturing</t>
        </is>
      </c>
      <c r="K269" s="35" t="n"/>
      <c r="L269" s="34" t="inlineStr">
        <is>
          <t>Solid Dosage Forms &amp; Manufacturing</t>
        </is>
      </c>
      <c r="M269" s="35" t="inlineStr">
        <is>
          <t>Product</t>
        </is>
      </c>
      <c r="N269" s="34" t="inlineStr">
        <is>
          <t>ข้อสอบจริง Product ปี 2558 ข้อ 35</t>
        </is>
      </c>
      <c r="O269" s="35" t="inlineStr">
        <is>
          <t>ข้อสอบจริง</t>
        </is>
      </c>
      <c r="P269" s="35" t="inlineStr">
        <is>
          <t>ปี 2558</t>
        </is>
      </c>
    </row>
    <row r="270" ht="13.2" customHeight="1" s="49">
      <c r="A270" t="n">
        <v>268</v>
      </c>
      <c r="B270" t="inlineStr">
        <is>
          <t>ตามเภสัชตำรับ (Pharmacopoeia Monograph) การหาปริมาณสารสำคัญ (Assay) ของยาเม็ดแอสไพริน (Aspirin tablets) ใช้วิธีการไทเทรตแบบใด</t>
        </is>
      </c>
      <c r="D270" t="inlineStr">
        <is>
          <t>Residual (Back) acid-base titration</t>
        </is>
      </c>
      <c r="E270" t="inlineStr">
        <is>
          <t>Direct acid-base titration</t>
        </is>
      </c>
      <c r="F270" t="inlineStr">
        <is>
          <t>Complexometric titration</t>
        </is>
      </c>
      <c r="G270" t="inlineStr">
        <is>
          <t>Precipitation titration</t>
        </is>
      </c>
      <c r="H270" t="inlineStr">
        <is>
          <t>Non-aqueous acid-base titration</t>
        </is>
      </c>
      <c r="I270" t="n">
        <v>1</v>
      </c>
      <c r="J270"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L270" t="inlineStr">
        <is>
          <t>Medicinal Chemistry &amp; Quality Analysis</t>
        </is>
      </c>
      <c r="M270" t="inlineStr">
        <is>
          <t>Clinic</t>
        </is>
      </c>
      <c r="N270" t="inlineStr">
        <is>
          <t>PLE-CC1 ปี 2566 Day 1 ข้อ 23</t>
        </is>
      </c>
    </row>
    <row r="271" ht="13.2" customHeight="1" s="49">
      <c r="A271" t="n">
        <v>269</v>
      </c>
      <c r="B271"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D271" t="inlineStr">
        <is>
          <t>Enteric polymer เช่น Cellulose Acetate Phthalate (CAP) หรือ Methacrylic acid copolymer (Eudragit L)</t>
        </is>
      </c>
      <c r="E271" t="inlineStr">
        <is>
          <t>Povidone (PVP K30)</t>
        </is>
      </c>
      <c r="F271" t="inlineStr">
        <is>
          <t>Hydroxypropyl Methylcellulose (HPMC E5) เคลือบแบบ Film-coat ธรรมดา</t>
        </is>
      </c>
      <c r="G271" t="inlineStr">
        <is>
          <t>Polyethylene Glycol (PEG 4000)</t>
        </is>
      </c>
      <c r="H271" t="inlineStr">
        <is>
          <t>Ethyl cellulose เคลือบแบบ Sustained release</t>
        </is>
      </c>
      <c r="I271" t="inlineStr">
        <is>
          <t>1</t>
        </is>
      </c>
      <c r="J271"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271" t="inlineStr">
        <is>
          <t>Pharmaceutics &amp; Formulation Science</t>
        </is>
      </c>
      <c r="L271" t="inlineStr">
        <is>
          <t>PLE_CC1_2565_Day1_Key ข้อ 29</t>
        </is>
      </c>
      <c r="M271" t="inlineStr">
        <is>
          <t>Clinic</t>
        </is>
      </c>
      <c r="N271" t="inlineStr">
        <is>
          <t>PLE_CC1_2565_Day1_Key ข้อ 29</t>
        </is>
      </c>
    </row>
    <row r="272" ht="13.2" customHeight="1" s="49">
      <c r="A272" t="n">
        <v>270</v>
      </c>
      <c r="B272" t="inlineStr">
        <is>
          <t>เภสัชกรโรงงานต้องการผลิตตำหรับ milk of magnesia เครื่องมือใดต่อไปนี้เหมาะสมที่สุด</t>
        </is>
      </c>
      <c r="D272" t="inlineStr">
        <is>
          <t>Sigma blade mixer</t>
        </is>
      </c>
      <c r="E272" t="inlineStr">
        <is>
          <t>Planetary mixer</t>
        </is>
      </c>
      <c r="F272" t="inlineStr">
        <is>
          <t>Tubine mixer</t>
        </is>
      </c>
      <c r="G272" t="inlineStr">
        <is>
          <t>Agitator mixer</t>
        </is>
      </c>
      <c r="H272" t="inlineStr">
        <is>
          <t>Fluidized bed mixers</t>
        </is>
      </c>
      <c r="I272" t="inlineStr">
        <is>
          <t>1</t>
        </is>
      </c>
      <c r="J272" t="inlineStr">
        <is>
          <t>✅ คำตอบที่ถูกต้อง: ข้อ ก. Sigma blade mixer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72" t="inlineStr">
        <is>
          <t>Hypertension</t>
        </is>
      </c>
      <c r="M272" t="inlineStr">
        <is>
          <t>Clinic</t>
        </is>
      </c>
      <c r="N272" t="inlineStr">
        <is>
          <t>ข้อ 114 (Pharmtutor_2024_Set2.md)</t>
        </is>
      </c>
    </row>
    <row r="273" ht="13.2" customHeight="1" s="49">
      <c r="A273" t="n">
        <v>271</v>
      </c>
      <c r="B273" t="inlineStr">
        <is>
          <t>กำหนดค่า Q=80% เม็ดยา warfarin 5 mg นำมา 6 เม็ด N1=4.5, N2=4.5, N3=5.25, N4=4.75, N5=5.25, N6=4.0 จะสรุปได้ว่าอย่างไร</t>
        </is>
      </c>
      <c r="D273" t="inlineStr">
        <is>
          <t>ผ่าน S1</t>
        </is>
      </c>
      <c r="E273" t="inlineStr">
        <is>
          <t>ไม่ผ่าน S1 เนื่องจากมียา 1 เม็ดที่อยู่ต ่ากว่า Q+5</t>
        </is>
      </c>
      <c r="F273" t="inlineStr">
        <is>
          <t>ไม่ผ่าน S1 เนื่องจากมียา 4 เม็ดที่อยู่ต ่ากว่า Q+5</t>
        </is>
      </c>
      <c r="G273" t="inlineStr">
        <is>
          <t>ไม่ผ่าน S1 ต้องเพิ่มยาอีก 6 เม็ด</t>
        </is>
      </c>
      <c r="H273" t="inlineStr">
        <is>
          <t>............................</t>
        </is>
      </c>
      <c r="I273" t="inlineStr">
        <is>
          <t>1</t>
        </is>
      </c>
      <c r="J273" t="inlineStr">
        <is>
          <t>✅ คำตอบที่ถูกต้อง: ข้อ ก. ผ่าน S1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Target INR Range: เป้าหมาย INR 2.0-3.0 ใน Non-valvular AF, DVT, PE (เป้าหมาย 2.5-3.5 ใน Mechanical Mitral Valve)
• Genetic &amp; CYP2C9 DDI: CYP2C9 inducers (Rifampicin) ลดระดับยา; CYP2C9 inhibitors (Amiodarone, Bactrim, Fluconazole) เพิ่ม INR และ bleeding risk
• Reversal Protocol: กรณีมี life-threatening bleeding ให้หยุดยา ให้ Vitamin K1 (Phytomenadione) 5-10 mg IV ช้าๆ ร่วมกับ 4-Factor Prothrombin Complex Concentrate (PCC)</t>
        </is>
      </c>
      <c r="L273" t="inlineStr">
        <is>
          <t>Hypertension</t>
        </is>
      </c>
      <c r="M273" t="inlineStr">
        <is>
          <t>Clinic</t>
        </is>
      </c>
      <c r="N273" t="inlineStr">
        <is>
          <t>ข้อ 1 (PLE_CC1_2555 Day 1.md)</t>
        </is>
      </c>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Q24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33" t="n">
        <v>1</v>
      </c>
      <c r="B3" s="34" t="inlineStr">
        <is>
          <t>แพทย์สั่งยา : Ferrous sulphate syrup (25mg/5mL) PO BID PC (ใช้ตอบข้อ 52-54)
ส่วนประกอบใน Multivitamin syrup ในข้อใด มีอันตรกิริยากับยา Ferrous sulphate syrup</t>
        </is>
      </c>
      <c r="C3" s="35" t="n"/>
      <c r="D3" s="34" t="inlineStr">
        <is>
          <t>Lysine</t>
        </is>
      </c>
      <c r="E3" s="34" t="inlineStr">
        <is>
          <t>Nicotinamide</t>
        </is>
      </c>
      <c r="F3" s="34" t="inlineStr">
        <is>
          <t>D-panthenol</t>
        </is>
      </c>
      <c r="G3" s="34" t="inlineStr">
        <is>
          <t>Vitamin D</t>
        </is>
      </c>
      <c r="H3" s="34" t="inlineStr">
        <is>
          <t>Calcium</t>
        </is>
      </c>
      <c r="I3" s="33" t="inlineStr">
        <is>
          <t>5</t>
        </is>
      </c>
      <c r="J3" s="34"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35" t="n"/>
      <c r="L3" s="34" t="inlineStr">
        <is>
          <t>Solutions, Syrups &amp; Elixirs</t>
        </is>
      </c>
      <c r="M3" s="35" t="inlineStr">
        <is>
          <t>Product</t>
        </is>
      </c>
      <c r="N3" s="34" t="inlineStr">
        <is>
          <t>Mock PLE-CC 1 ข้อ 53</t>
        </is>
      </c>
      <c r="O3" s="35" t="inlineStr">
        <is>
          <t>Mock</t>
        </is>
      </c>
      <c r="P3" s="35" t="inlineStr">
        <is>
          <t>Mock RxCU83</t>
        </is>
      </c>
      <c r="Q3" s="2" t="n"/>
    </row>
    <row r="4" ht="13.2" customHeight="1" s="49">
      <c r="A4" s="33" t="n">
        <v>2</v>
      </c>
      <c r="B4" s="34" t="inlineStr">
        <is>
          <t>แพทย์สั่งยา : Ferrous sulphate syrup (25mg/5mL) PO BID PC (ใช้ตอบข้อ 52-54)
ข้อใดคืออาการไม่พึงประสงค์จากการรับประทานธาตุเหล็ก</t>
        </is>
      </c>
      <c r="C4" s="35" t="n"/>
      <c r="D4" s="34" t="inlineStr">
        <is>
          <t>ขาดวิตามินบี 12</t>
        </is>
      </c>
      <c r="E4" s="34" t="inlineStr">
        <is>
          <t>ท้องผูก</t>
        </is>
      </c>
      <c r="F4" s="34" t="inlineStr">
        <is>
          <t>ปัสสาวะสีดำ</t>
        </is>
      </c>
      <c r="G4" s="34" t="inlineStr">
        <is>
          <t>ปวดศีรษะ</t>
        </is>
      </c>
      <c r="H4" s="34" t="inlineStr">
        <is>
          <t>เป็นแผลในกระเพาะปัสสาวะ</t>
        </is>
      </c>
      <c r="I4" s="33" t="inlineStr">
        <is>
          <t>2</t>
        </is>
      </c>
      <c r="J4" s="34"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35" t="n"/>
      <c r="L4" s="34" t="inlineStr">
        <is>
          <t>Solutions, Syrups &amp; Elixirs</t>
        </is>
      </c>
      <c r="M4" s="35" t="inlineStr">
        <is>
          <t>Product</t>
        </is>
      </c>
      <c r="N4" s="34" t="inlineStr">
        <is>
          <t>Mock PLE-CC 1 ข้อ 54</t>
        </is>
      </c>
      <c r="O4" s="35" t="inlineStr">
        <is>
          <t>Mock</t>
        </is>
      </c>
      <c r="P4" s="35" t="inlineStr">
        <is>
          <t>Mock RxCU83</t>
        </is>
      </c>
      <c r="Q4" s="2" t="n"/>
    </row>
    <row r="5" ht="13.2" customHeight="1" s="49">
      <c r="A5" s="33" t="n">
        <v>3</v>
      </c>
      <c r="B5" s="34" t="inlineStr">
        <is>
          <t>แพทย์สั่งยา : Ferrous sulphate syrup (25mg/5mL) PO BID PC (ใช้ตอบข้อ 52-54)
กลไกการออกฤทธิ์ของ Ferrous sulphate ในการรักษาภาวะโลหิตจางคือข้อใด</t>
        </is>
      </c>
      <c r="C5" s="35" t="n"/>
      <c r="D5" s="34" t="inlineStr">
        <is>
          <t>เพิ่มการสร้าง erythropoietin จากไต</t>
        </is>
      </c>
      <c r="E5" s="34" t="inlineStr">
        <is>
          <t>เพิ่มการสร้าง instrinsic factor จากกระเพาะอาหาร</t>
        </is>
      </c>
      <c r="F5" s="34" t="inlineStr">
        <is>
          <t>จัดหาเหล็กในรูปของ ferrous สำหรับการสร้าง heme และ hemoglobin</t>
        </is>
      </c>
      <c r="G5" s="34" t="inlineStr">
        <is>
          <t>ยับยั้งการทำลายเม็ดเลือดจากม้าม</t>
        </is>
      </c>
      <c r="H5" s="34" t="inlineStr">
        <is>
          <t>เพิ่มการสร้าง transferrin โดยตรง</t>
        </is>
      </c>
      <c r="I5" s="33" t="inlineStr">
        <is>
          <t>3</t>
        </is>
      </c>
      <c r="J5" s="34"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35" t="n"/>
      <c r="L5" s="34" t="inlineStr">
        <is>
          <t>Solutions, Syrups &amp; Elixirs</t>
        </is>
      </c>
      <c r="M5" s="35" t="inlineStr">
        <is>
          <t>Product</t>
        </is>
      </c>
      <c r="N5" s="34" t="inlineStr">
        <is>
          <t>Mock PLE-CC 1 ข้อ 55</t>
        </is>
      </c>
      <c r="O5" s="35" t="inlineStr">
        <is>
          <t>Mock</t>
        </is>
      </c>
      <c r="P5" s="35" t="inlineStr">
        <is>
          <t>Mock RxCU83</t>
        </is>
      </c>
      <c r="Q5" s="2" t="n"/>
    </row>
    <row r="6" ht="13.2" customHeight="1" s="49">
      <c r="A6" s="33" t="n">
        <v>4</v>
      </c>
      <c r="B6" s="34"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35" t="n"/>
      <c r="D6" s="34" t="inlineStr">
        <is>
          <t>Ferrous Sulfate syrup PO</t>
        </is>
      </c>
      <c r="E6" s="34" t="inlineStr">
        <is>
          <t>Hydroxocobalamin PO</t>
        </is>
      </c>
      <c r="F6" s="34" t="inlineStr">
        <is>
          <t>Folic acid เพียงอย่างเดียว</t>
        </is>
      </c>
      <c r="G6" s="34" t="inlineStr">
        <is>
          <t>Ascorbic acid PO</t>
        </is>
      </c>
      <c r="H6" s="34" t="inlineStr">
        <is>
          <t>deferasirox PO</t>
        </is>
      </c>
      <c r="I6" s="33" t="inlineStr">
        <is>
          <t>2</t>
        </is>
      </c>
      <c r="J6" s="34"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35" t="n"/>
      <c r="L6" s="34" t="inlineStr">
        <is>
          <t>Solutions, Syrups &amp; Elixirs</t>
        </is>
      </c>
      <c r="M6" s="35" t="inlineStr">
        <is>
          <t>Product</t>
        </is>
      </c>
      <c r="N6" s="34" t="inlineStr">
        <is>
          <t>Mock PLE-CC 1 ข้อ 56</t>
        </is>
      </c>
      <c r="O6" s="35" t="inlineStr">
        <is>
          <t>Mock</t>
        </is>
      </c>
      <c r="P6" s="35" t="inlineStr">
        <is>
          <t>Mock RxCU83</t>
        </is>
      </c>
      <c r="Q6" s="2" t="n"/>
    </row>
    <row r="7" ht="13.2" customHeight="1" s="49">
      <c r="A7" s="33" t="n">
        <v>5</v>
      </c>
      <c r="B7" s="34" t="inlineStr">
        <is>
          <t>Acyclovir cream 5% w/w 1 g จะมีกี่ mg/g และถ้าต้องการผลิตภัณฑ์ยา 25 mg ต้องใช้กี่กรัม</t>
        </is>
      </c>
      <c r="C7" s="35" t="n"/>
      <c r="D7" s="34" t="inlineStr">
        <is>
          <t>0.5 mg/g, 0.0125 g</t>
        </is>
      </c>
      <c r="E7" s="34" t="inlineStr">
        <is>
          <t>5 mg/g, 0.0125 g</t>
        </is>
      </c>
      <c r="F7" s="34" t="inlineStr">
        <is>
          <t>5 mg/g, 0.125 g</t>
        </is>
      </c>
      <c r="G7" s="34" t="inlineStr">
        <is>
          <t>50 mg/g, 0.125 g</t>
        </is>
      </c>
      <c r="H7" s="34" t="inlineStr">
        <is>
          <t>50 mg/g, 0.5 g</t>
        </is>
      </c>
      <c r="I7" s="33" t="inlineStr">
        <is>
          <t>5</t>
        </is>
      </c>
      <c r="J7" s="34"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35" t="n"/>
      <c r="L7" s="34" t="inlineStr">
        <is>
          <t>Creams &amp; Ointments</t>
        </is>
      </c>
      <c r="M7" s="35" t="inlineStr">
        <is>
          <t>Product</t>
        </is>
      </c>
      <c r="N7" s="34" t="inlineStr">
        <is>
          <t>Mock PLE-CC 1 ข้อ 124</t>
        </is>
      </c>
      <c r="O7" s="35" t="inlineStr">
        <is>
          <t>Mock</t>
        </is>
      </c>
      <c r="P7" s="35" t="inlineStr">
        <is>
          <t>Mock RxCU83</t>
        </is>
      </c>
      <c r="Q7" s="2" t="n"/>
    </row>
    <row r="8" ht="13.2" customHeight="1" s="49">
      <c r="A8" s="33" t="n">
        <v>6</v>
      </c>
      <c r="B8" s="34" t="inlineStr">
        <is>
          <t>ยาครีม acyclovir หัวข้อไหน ไม่ต้องทดสอบในการควบคุมคุณภาพตามเภสัชตำรับ</t>
        </is>
      </c>
      <c r="C8" s="35" t="n"/>
      <c r="D8" s="34" t="inlineStr">
        <is>
          <t>Assay</t>
        </is>
      </c>
      <c r="E8" s="34" t="inlineStr">
        <is>
          <t>Identification</t>
        </is>
      </c>
      <c r="F8" s="34" t="inlineStr">
        <is>
          <t>Dissolution</t>
        </is>
      </c>
      <c r="G8" s="34" t="inlineStr">
        <is>
          <t>Minimum fill</t>
        </is>
      </c>
      <c r="H8" s="34" t="inlineStr">
        <is>
          <t>Impurity &amp; Microbial limit</t>
        </is>
      </c>
      <c r="I8" s="33" t="inlineStr">
        <is>
          <t>3</t>
        </is>
      </c>
      <c r="J8" s="34"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35" t="n"/>
      <c r="L8" s="34" t="inlineStr">
        <is>
          <t>Creams &amp; Ointments</t>
        </is>
      </c>
      <c r="M8" s="35" t="inlineStr">
        <is>
          <t>Product</t>
        </is>
      </c>
      <c r="N8" s="34" t="inlineStr">
        <is>
          <t>Mock PLE-CC 1 ข้อ 128</t>
        </is>
      </c>
      <c r="O8" s="35" t="inlineStr">
        <is>
          <t>Mock</t>
        </is>
      </c>
      <c r="P8" s="35" t="inlineStr">
        <is>
          <t>Mock RxCU83</t>
        </is>
      </c>
      <c r="Q8" s="2" t="n"/>
    </row>
    <row r="9" ht="13.2" customHeight="1" s="49">
      <c r="A9" s="33" t="n">
        <v>7</v>
      </c>
      <c r="B9" s="34" t="inlineStr">
        <is>
          <t>ยาครีม acyclovir เกิดปัญหาเนื้อครีมเหลวเกินไป ควรเติมสารในข้อใดเพื่อเพิ่มความคงตัวและความข้นหนืด (Stiffening agent)</t>
        </is>
      </c>
      <c r="C9" s="35" t="n"/>
      <c r="D9" s="34" t="inlineStr">
        <is>
          <t>Sodium lauryl sulfate</t>
        </is>
      </c>
      <c r="E9" s="34" t="inlineStr">
        <is>
          <t>Mineral oil</t>
        </is>
      </c>
      <c r="F9" s="34" t="inlineStr">
        <is>
          <t>Cetostearyl alcohol</t>
        </is>
      </c>
      <c r="G9" s="34" t="inlineStr">
        <is>
          <t>Propylene glycol</t>
        </is>
      </c>
      <c r="H9" s="34" t="inlineStr">
        <is>
          <t>White petrolatum</t>
        </is>
      </c>
      <c r="I9" s="33" t="inlineStr">
        <is>
          <t>3</t>
        </is>
      </c>
      <c r="J9" s="34"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35" t="n"/>
      <c r="L9" s="34" t="inlineStr">
        <is>
          <t>Creams &amp; Ointments</t>
        </is>
      </c>
      <c r="M9" s="35" t="inlineStr">
        <is>
          <t>Product</t>
        </is>
      </c>
      <c r="N9" s="34" t="inlineStr">
        <is>
          <t>Mock PLE-CC 1 ข้อ 129</t>
        </is>
      </c>
      <c r="O9" s="35" t="inlineStr">
        <is>
          <t>Mock</t>
        </is>
      </c>
      <c r="P9" s="35" t="inlineStr">
        <is>
          <t>Mock RxCU83</t>
        </is>
      </c>
      <c r="Q9" s="2" t="n"/>
    </row>
    <row r="10" ht="13.2" customHeight="1" s="49">
      <c r="A10" s="33" t="n">
        <v>8</v>
      </c>
      <c r="B10" s="34"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35" t="n"/>
      <c r="D10" s="34" t="inlineStr">
        <is>
          <t>ละลายในน้ำแล้วค่อยนำไปผสมเตรียมครีม</t>
        </is>
      </c>
      <c r="E10" s="34" t="inlineStr">
        <is>
          <t>ละลายใน phase น้ำแล้วค่อยไปผสมกับพื้นครีม</t>
        </is>
      </c>
      <c r="F10" s="34" t="inlineStr">
        <is>
          <t>กระจายกับ mineral oil แล้วค่อยไปผสมพื้นครีม</t>
        </is>
      </c>
      <c r="G10" s="34" t="inlineStr">
        <is>
          <t>กระจายกับ propylene glycol แล้วผสมกับพื้นครีม</t>
        </is>
      </c>
      <c r="H10" s="34" t="inlineStr">
        <is>
          <t>กระจายผงยากับพื้นครีมโดยตรง</t>
        </is>
      </c>
      <c r="I10" s="33" t="inlineStr">
        <is>
          <t>4</t>
        </is>
      </c>
      <c r="J10" s="34"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ไม่จับกันเป็นก้อนสาก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เนื้อครีมสากระคายเคืองผิว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35" t="n"/>
      <c r="L10" s="34" t="inlineStr">
        <is>
          <t>Creams &amp; Ointments</t>
        </is>
      </c>
      <c r="M10" s="35" t="inlineStr">
        <is>
          <t>Product</t>
        </is>
      </c>
      <c r="N10" s="34" t="inlineStr">
        <is>
          <t>Mock PLE-CC 1 ข้อ 132</t>
        </is>
      </c>
      <c r="O10" s="35" t="inlineStr">
        <is>
          <t>Mock</t>
        </is>
      </c>
      <c r="P10" s="35" t="inlineStr">
        <is>
          <t>Mock RxCU83</t>
        </is>
      </c>
      <c r="Q10" s="2" t="n"/>
    </row>
    <row r="11" ht="13.2" customHeight="1" s="49">
      <c r="A11" s="33" t="n">
        <v>9</v>
      </c>
      <c r="B11" s="34"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t>
        </is>
      </c>
      <c r="C11" s="35" t="n"/>
      <c r="D11" s="34" t="inlineStr">
        <is>
          <t>20 g</t>
        </is>
      </c>
      <c r="E11" s="34" t="inlineStr">
        <is>
          <t>200 g</t>
        </is>
      </c>
      <c r="F11" s="34" t="inlineStr">
        <is>
          <t>40 g</t>
        </is>
      </c>
      <c r="G11" s="34" t="inlineStr">
        <is>
          <t>400 g</t>
        </is>
      </c>
      <c r="H11" s="34" t="inlineStr">
        <is>
          <t>100 g</t>
        </is>
      </c>
      <c r="I11" s="33" t="inlineStr">
        <is>
          <t>2</t>
        </is>
      </c>
      <c r="J11" s="34"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35" t="n"/>
      <c r="L11" s="34" t="inlineStr">
        <is>
          <t>Suspensions &amp; Gels</t>
        </is>
      </c>
      <c r="M11" s="35" t="inlineStr">
        <is>
          <t>Product</t>
        </is>
      </c>
      <c r="N11" s="34" t="inlineStr">
        <is>
          <t>ข้อสอบเก่า 2567 ข้อ 12</t>
        </is>
      </c>
      <c r="O11" s="35" t="inlineStr">
        <is>
          <t>ข้อสอบเก่า</t>
        </is>
      </c>
      <c r="P11" s="33" t="inlineStr">
        <is>
          <t>2567</t>
        </is>
      </c>
      <c r="Q11" s="2" t="n"/>
    </row>
    <row r="12" ht="13.2" customHeight="1" s="49">
      <c r="A12" s="33" t="n">
        <v>10</v>
      </c>
      <c r="B12" s="34" t="inlineStr">
        <is>
          <t>Glycerin suppository (ตำรับที่ใช้ stearic acid) เกิดปฏิกิริยาระหว่าง Sodium carbonate และ Stearic acid ข้อใดต่อไปนี้กล่าวถูกต้อง</t>
        </is>
      </c>
      <c r="C12" s="35" t="n"/>
      <c r="D12" s="34" t="inlineStr">
        <is>
          <t>Stearic acid ทำให้ตำรับมีความแข็ง</t>
        </is>
      </c>
      <c r="E12" s="34" t="inlineStr">
        <is>
          <t>Sodium carbonate ทำให้ตำรับมีความแข็ง</t>
        </is>
      </c>
      <c r="F12" s="34" t="inlineStr">
        <is>
          <t>Stearic acid สามารถละลายใน rectal fluid ทำให้ปลดปล่อยตัวยาสำคัญได้</t>
        </is>
      </c>
      <c r="G12" s="34" t="inlineStr">
        <is>
          <t>Sodium stearate เป็น Soap ทำให้ตำรับมีความคงตัว</t>
        </is>
      </c>
      <c r="H12" s="34" t="inlineStr">
        <is>
          <t>ตำรับนี้เหมือน Gelatinized glycerin base</t>
        </is>
      </c>
      <c r="I12" s="33" t="inlineStr">
        <is>
          <t>4</t>
        </is>
      </c>
      <c r="J12" s="34"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35" t="n"/>
      <c r="L12" s="34" t="inlineStr">
        <is>
          <t>Suppositories</t>
        </is>
      </c>
      <c r="M12" s="35" t="inlineStr">
        <is>
          <t>Product</t>
        </is>
      </c>
      <c r="N12" s="34" t="inlineStr">
        <is>
          <t>ข้อสอบเก่า 2567 ข้อ 13</t>
        </is>
      </c>
      <c r="O12" s="35" t="inlineStr">
        <is>
          <t>ข้อสอบเก่า</t>
        </is>
      </c>
      <c r="P12" s="33" t="inlineStr">
        <is>
          <t>2567</t>
        </is>
      </c>
      <c r="Q12" s="2" t="n"/>
    </row>
    <row r="13" ht="13.2" customHeight="1" s="49">
      <c r="A13" s="33" t="n">
        <v>11</v>
      </c>
      <c r="B13" s="34" t="inlineStr">
        <is>
          <t>ตำรับ hard gelatin capsule ไม่จำเป็นต้องทำการทดสอบคุณภาพตามเภสัชตำรับในหัวข้อใด</t>
        </is>
      </c>
      <c r="C13" s="35" t="n"/>
      <c r="D13" s="34" t="inlineStr">
        <is>
          <t>Dissolution</t>
        </is>
      </c>
      <c r="E13" s="34" t="inlineStr">
        <is>
          <t>Friability</t>
        </is>
      </c>
      <c r="F13" s="34" t="inlineStr">
        <is>
          <t>Microbial enumeration test</t>
        </is>
      </c>
      <c r="G13" s="34" t="inlineStr">
        <is>
          <t>Uniformity of dosage units</t>
        </is>
      </c>
      <c r="H13" s="34" t="inlineStr">
        <is>
          <t>Disintegration</t>
        </is>
      </c>
      <c r="I13" s="33" t="inlineStr">
        <is>
          <t>2</t>
        </is>
      </c>
      <c r="J13" s="34"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35" t="n"/>
      <c r="L13" s="34" t="inlineStr">
        <is>
          <t>Capsules &amp; Quality Control</t>
        </is>
      </c>
      <c r="M13" s="35" t="inlineStr">
        <is>
          <t>Product</t>
        </is>
      </c>
      <c r="N13" s="34" t="inlineStr">
        <is>
          <t>ข้อสอบเก่า 2567 ข้อ 14</t>
        </is>
      </c>
      <c r="O13" s="35" t="inlineStr">
        <is>
          <t>ข้อสอบเก่า</t>
        </is>
      </c>
      <c r="P13" s="33" t="inlineStr">
        <is>
          <t>2567</t>
        </is>
      </c>
      <c r="Q13" s="2" t="n"/>
    </row>
    <row r="14" ht="13.2" customHeight="1" s="49">
      <c r="A14" s="33" t="n">
        <v>12</v>
      </c>
      <c r="B14" s="34" t="inlineStr">
        <is>
          <t>ตำรับยาครีมที่มี Sodium Lauryl Sulfate (SLS) เป็นสารช่วยก่ออิมัลชัน จัดเป็นครีมประเภทใด</t>
        </is>
      </c>
      <c r="C14" s="35" t="n"/>
      <c r="D14" s="34" t="inlineStr">
        <is>
          <t>Vanishing cream</t>
        </is>
      </c>
      <c r="E14" s="34" t="inlineStr">
        <is>
          <t>Cold cream</t>
        </is>
      </c>
      <c r="F14" s="34" t="inlineStr">
        <is>
          <t>Anionic cream</t>
        </is>
      </c>
      <c r="G14" s="34" t="inlineStr">
        <is>
          <t>Cationic cream</t>
        </is>
      </c>
      <c r="H14" s="34" t="inlineStr">
        <is>
          <t>Nonionic cream</t>
        </is>
      </c>
      <c r="I14" s="33" t="inlineStr">
        <is>
          <t>3</t>
        </is>
      </c>
      <c r="J14" s="34"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35" t="n"/>
      <c r="L14" s="34" t="inlineStr">
        <is>
          <t>Creams &amp; Emulsions</t>
        </is>
      </c>
      <c r="M14" s="35" t="inlineStr">
        <is>
          <t>Product</t>
        </is>
      </c>
      <c r="N14" s="34" t="inlineStr">
        <is>
          <t>ข้อสอบเก่า 2566 Day 2 ข้อ 81</t>
        </is>
      </c>
      <c r="O14" s="35" t="inlineStr">
        <is>
          <t>ข้อสอบเก่า</t>
        </is>
      </c>
      <c r="P14" s="33" t="inlineStr">
        <is>
          <t>2566</t>
        </is>
      </c>
      <c r="Q14" s="2" t="n"/>
    </row>
    <row r="15" ht="13.2" customHeight="1" s="49">
      <c r="A15" s="33" t="n">
        <v>13</v>
      </c>
      <c r="B15" s="34" t="inlineStr">
        <is>
          <t>Topical capsaicin</t>
        </is>
      </c>
      <c r="C15" s="35" t="n"/>
      <c r="D15" s="34" t="inlineStr">
        <is>
          <t>Liquid &amp; Semisolid</t>
        </is>
      </c>
      <c r="E15" s="34" t="inlineStr">
        <is>
          <t>Simple Syrup USP (85% w/v Sucrose)</t>
        </is>
      </c>
      <c r="F15" s="34" t="inlineStr">
        <is>
          <t>Elixir with 10-20% Alcohol cosolvent</t>
        </is>
      </c>
      <c r="G15" s="34" t="inlineStr">
        <is>
          <t>Flocculated Oral Suspension with Xanthan Gum</t>
        </is>
      </c>
      <c r="H15" s="34" t="inlineStr">
        <is>
          <t>Deflocculated Suspension formulation</t>
        </is>
      </c>
      <c r="I15" s="33" t="inlineStr">
        <is>
          <t>1</t>
        </is>
      </c>
      <c r="J15"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15" s="35" t="n"/>
      <c r="L15" s="34" t="inlineStr">
        <is>
          <t>Solutions, Syrups &amp; Elixirs</t>
        </is>
      </c>
      <c r="M15" s="35" t="inlineStr">
        <is>
          <t>Liquid &amp; Semisolid</t>
        </is>
      </c>
      <c r="N15" s="34" t="inlineStr">
        <is>
          <t>PLE-CC1 ปี 2566 Day 1 ข้อ 3</t>
        </is>
      </c>
      <c r="O15" s="35" t="inlineStr">
        <is>
          <t>ข้อสอบจริง</t>
        </is>
      </c>
      <c r="P15" s="35" t="inlineStr">
        <is>
          <t>ปี 2566</t>
        </is>
      </c>
    </row>
    <row r="16" ht="13.2" customHeight="1" s="49">
      <c r="A16" s="33" t="n">
        <v>14</v>
      </c>
      <c r="B16" s="34" t="inlineStr">
        <is>
          <t>Fusidic acid cream</t>
        </is>
      </c>
      <c r="C16" s="35" t="n"/>
      <c r="D16" s="34" t="inlineStr">
        <is>
          <t>Liquid &amp; Semisolid</t>
        </is>
      </c>
      <c r="E16" s="34" t="inlineStr">
        <is>
          <t>Deflocculated Suspension formulation</t>
        </is>
      </c>
      <c r="F16" s="34" t="inlineStr">
        <is>
          <t>O/W Emulsion stabilized by Polysorbate 80 / Span 80</t>
        </is>
      </c>
      <c r="G16" s="34" t="inlineStr">
        <is>
          <t>W/O Emulsion with Sorbitan monooleate</t>
        </is>
      </c>
      <c r="H16" s="34" t="inlineStr">
        <is>
          <t>Carbopol 940 hydrogel neutralized with Triethanolamine</t>
        </is>
      </c>
      <c r="I16" s="33" t="inlineStr">
        <is>
          <t>1</t>
        </is>
      </c>
      <c r="J1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35" t="n"/>
      <c r="L16" s="34" t="inlineStr">
        <is>
          <t>Creams &amp; Ointments</t>
        </is>
      </c>
      <c r="M16" s="35" t="inlineStr">
        <is>
          <t>Liquid &amp; Semisolid</t>
        </is>
      </c>
      <c r="N16" s="34" t="inlineStr">
        <is>
          <t>PLE-CC1 ปี 2566 Day 1 ข้อ 2</t>
        </is>
      </c>
      <c r="O16" s="35" t="inlineStr">
        <is>
          <t>ข้อสอบจริง</t>
        </is>
      </c>
      <c r="P16" s="35" t="inlineStr">
        <is>
          <t>ปี 2566</t>
        </is>
      </c>
    </row>
    <row r="17" ht="13.2" customHeight="1" s="49">
      <c r="A17" s="33" t="n">
        <v>15</v>
      </c>
      <c r="B17" s="34" t="inlineStr">
        <is>
          <t>Bactricin ointment</t>
        </is>
      </c>
      <c r="C17" s="35" t="n"/>
      <c r="D17" s="34" t="inlineStr">
        <is>
          <t>Liquid &amp; Semisolid</t>
        </is>
      </c>
      <c r="E17" s="34" t="inlineStr">
        <is>
          <t>Carbopol 940 hydrogel neutralized with Triethanolamine</t>
        </is>
      </c>
      <c r="F17" s="34" t="inlineStr">
        <is>
          <t>Oleaginous Ointment base (White Petrolatum)</t>
        </is>
      </c>
      <c r="G17" s="34" t="inlineStr">
        <is>
          <t>Absorption Ointment base (Lanolin USP)</t>
        </is>
      </c>
      <c r="H17" s="34" t="inlineStr">
        <is>
          <t>Fatty Suppository base (Hard Fat / Witepsol)</t>
        </is>
      </c>
      <c r="I17" s="33" t="inlineStr">
        <is>
          <t>1</t>
        </is>
      </c>
      <c r="J1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35" t="n"/>
      <c r="L17" s="34" t="inlineStr">
        <is>
          <t>Creams &amp; Ointments</t>
        </is>
      </c>
      <c r="M17" s="35" t="inlineStr">
        <is>
          <t>Liquid &amp; Semisolid</t>
        </is>
      </c>
      <c r="N17" s="34" t="inlineStr">
        <is>
          <t>PLE-CC1 ปี 2566 Day 1 ข้อ 3</t>
        </is>
      </c>
      <c r="O17" s="35" t="inlineStr">
        <is>
          <t>ข้อสอบจริง</t>
        </is>
      </c>
      <c r="P17" s="35" t="inlineStr">
        <is>
          <t>ปี 2566</t>
        </is>
      </c>
    </row>
    <row r="18" ht="13.2" customHeight="1" s="49">
      <c r="A18" s="33" t="n">
        <v>16</v>
      </c>
      <c r="B18" s="34" t="inlineStr">
        <is>
          <t>Chloramphenicol ointment</t>
        </is>
      </c>
      <c r="C18" s="35" t="n"/>
      <c r="D18" s="34" t="inlineStr">
        <is>
          <t>Liquid &amp; Semisolid</t>
        </is>
      </c>
      <c r="E18" s="34" t="inlineStr">
        <is>
          <t>Fatty Suppository base (Hard Fat / Witepsol)</t>
        </is>
      </c>
      <c r="F18" s="34" t="inlineStr">
        <is>
          <t>Simple Syrup USP (85% w/v Sucrose)</t>
        </is>
      </c>
      <c r="G18" s="34" t="inlineStr">
        <is>
          <t>Elixir with 10-20% Alcohol cosolvent</t>
        </is>
      </c>
      <c r="H18" s="34" t="inlineStr">
        <is>
          <t>Flocculated Oral Suspension with Xanthan Gum</t>
        </is>
      </c>
      <c r="I18" s="33" t="inlineStr">
        <is>
          <t>1</t>
        </is>
      </c>
      <c r="J18"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35" t="n"/>
      <c r="L18" s="34" t="inlineStr">
        <is>
          <t>Creams &amp; Ointments</t>
        </is>
      </c>
      <c r="M18" s="35" t="inlineStr">
        <is>
          <t>Liquid &amp; Semisolid</t>
        </is>
      </c>
      <c r="N18" s="34" t="inlineStr">
        <is>
          <t>PLE-CC1 ปี 2566 Day 1 ข้อ 4</t>
        </is>
      </c>
      <c r="O18" s="35" t="inlineStr">
        <is>
          <t>ข้อสอบจริง</t>
        </is>
      </c>
      <c r="P18" s="35" t="inlineStr">
        <is>
          <t>ปี 2566</t>
        </is>
      </c>
    </row>
    <row r="19" ht="13.2" customHeight="1" s="49">
      <c r="A19" s="33" t="n">
        <v>17</v>
      </c>
      <c r="B19" s="34" t="inlineStr">
        <is>
          <t>Social … ผู้หญิงมีลูกกำลังให้นมบุตรอยากได้ยาคุมออกฤทธิ์ทันทีควรใช้อะไร ผลข้างเคียงของการใช้ยาคุมระยะยาว Dextromethorphan ต้องทำบัญชีขย.อะไร→ ขย.11 ยาน้ำแขวนตะกอนแยกชั้นเขย่าแล้วไม่เข้ากันเรียกว่าอะไร ยาสมุนไพรแก้ปวดทางเดินปัสสาวะ(น่าจะกระเจี๊ยบแดง) Vitamin C เพิ่มการดูดซึมIron ให้สูตรตำรับให้สารให้มวลโมเลกุลให้คำนวณความเข้มข้นเป็นmol/L or mmol/L การเตรียมความพร้อมในการเลิกบุหรี่ผู้ป่วยมีวางแผนมีวันจะเลิกเเล้ว→ น่าจะpreparation หลักการผู้ป่วยอยากสูบบุหรี่ควรทำไง5D (เลิกบุหรี่สไลด์พี่ยศ) มีพวกเรื่องbiosimilar ด้วยประมาณ2-3 ข้อ</t>
        </is>
      </c>
      <c r="C19" s="35" t="n"/>
      <c r="D19" s="34" t="inlineStr">
        <is>
          <t>Liquid &amp; Semisolid</t>
        </is>
      </c>
      <c r="E19" s="34" t="inlineStr">
        <is>
          <t>Flocculated Oral Suspension with Xanthan Gum</t>
        </is>
      </c>
      <c r="F19" s="34" t="inlineStr">
        <is>
          <t>Deflocculated Suspension formulation</t>
        </is>
      </c>
      <c r="G19" s="34" t="inlineStr">
        <is>
          <t>O/W Emulsion stabilized by Polysorbate 80 / Span 80</t>
        </is>
      </c>
      <c r="H19" s="34" t="inlineStr">
        <is>
          <t>W/O Emulsion with Sorbitan monooleate</t>
        </is>
      </c>
      <c r="I19" s="33" t="inlineStr">
        <is>
          <t>1</t>
        </is>
      </c>
      <c r="J19"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35" t="n"/>
      <c r="L19" s="34" t="inlineStr">
        <is>
          <t>Solutions, Syrups &amp; Elixirs</t>
        </is>
      </c>
      <c r="M19" s="35" t="inlineStr">
        <is>
          <t>Liquid &amp; Semisolid</t>
        </is>
      </c>
      <c r="N19" s="34" t="inlineStr">
        <is>
          <t>PLE-CC1 ปี 2566 Day 1 ข้อ 3</t>
        </is>
      </c>
      <c r="O19" s="35" t="inlineStr">
        <is>
          <t>ข้อสอบจริง</t>
        </is>
      </c>
      <c r="P19" s="35" t="inlineStr">
        <is>
          <t>ปี 2566</t>
        </is>
      </c>
    </row>
    <row r="20" ht="13.2" customHeight="1" s="49">
      <c r="A20" s="33" t="n">
        <v>18</v>
      </c>
      <c r="B20" s="34" t="inlineStr">
        <is>
          <t>สามาถเตรียมได้ด้วยวิธีemulsion method</t>
        </is>
      </c>
      <c r="C20" s="35" t="n"/>
      <c r="D20" s="34" t="inlineStr">
        <is>
          <t>Liquid &amp; Semisolid</t>
        </is>
      </c>
      <c r="E20" s="34" t="inlineStr">
        <is>
          <t>W/O Emulsion with Sorbitan monooleate</t>
        </is>
      </c>
      <c r="F20" s="34" t="inlineStr">
        <is>
          <t>Carbopol 940 hydrogel neutralized with Triethanolamine</t>
        </is>
      </c>
      <c r="G20" s="34" t="inlineStr">
        <is>
          <t>Oleaginous Ointment base (White Petrolatum)</t>
        </is>
      </c>
      <c r="H20" s="34" t="inlineStr">
        <is>
          <t>Absorption Ointment base (Lanolin USP)</t>
        </is>
      </c>
      <c r="I20" s="33" t="inlineStr">
        <is>
          <t>1</t>
        </is>
      </c>
      <c r="J20"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0" s="35" t="n"/>
      <c r="L20" s="34" t="inlineStr">
        <is>
          <t>Emulsions</t>
        </is>
      </c>
      <c r="M20" s="35" t="inlineStr">
        <is>
          <t>Liquid &amp; Semisolid</t>
        </is>
      </c>
      <c r="N20" s="34" t="inlineStr">
        <is>
          <t>PLE-CC1 ปี 2566 Day 2 ข้อ 2</t>
        </is>
      </c>
      <c r="O20" s="35" t="inlineStr">
        <is>
          <t>ข้อสอบจริง</t>
        </is>
      </c>
      <c r="P20" s="35" t="inlineStr">
        <is>
          <t>ปี 2566</t>
        </is>
      </c>
    </row>
    <row r="21" ht="13.2" customHeight="1" s="49">
      <c r="A21" s="33" t="n">
        <v>19</v>
      </c>
      <c r="B21" s="34" t="inlineStr">
        <is>
          <t>O/W Emulsion base</t>
        </is>
      </c>
      <c r="C21" s="35" t="n"/>
      <c r="D21" s="34" t="inlineStr">
        <is>
          <t>Liquid &amp; Semisolid</t>
        </is>
      </c>
      <c r="E21" s="34" t="inlineStr">
        <is>
          <t>Absorption Ointment base (Lanolin USP)</t>
        </is>
      </c>
      <c r="F21" s="34" t="inlineStr">
        <is>
          <t>Fatty Suppository base (Hard Fat / Witepsol)</t>
        </is>
      </c>
      <c r="G21" s="34" t="inlineStr">
        <is>
          <t>Simple Syrup USP (85% w/v Sucrose)</t>
        </is>
      </c>
      <c r="H21" s="34" t="inlineStr">
        <is>
          <t>Elixir with 10-20% Alcohol cosolvent</t>
        </is>
      </c>
      <c r="I21" s="33" t="inlineStr">
        <is>
          <t>1</t>
        </is>
      </c>
      <c r="J21"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Emulsions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United States Pharmacopeia (USP-NF) General Chapter &lt;1151&gt; Pharmaceutical Dosage Forms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21" s="35" t="n"/>
      <c r="L21" s="34" t="inlineStr">
        <is>
          <t>Emulsions</t>
        </is>
      </c>
      <c r="M21" s="35" t="inlineStr">
        <is>
          <t>Liquid &amp; Semisolid</t>
        </is>
      </c>
      <c r="N21" s="34" t="inlineStr">
        <is>
          <t>PLE-CC1 ปี 2566 Day 2 ข้อ 2</t>
        </is>
      </c>
      <c r="O21" s="35" t="inlineStr">
        <is>
          <t>ข้อสอบจริง</t>
        </is>
      </c>
      <c r="P21" s="35" t="inlineStr">
        <is>
          <t>ปี 2566</t>
        </is>
      </c>
    </row>
    <row r="22" ht="13.2" customHeight="1" s="49">
      <c r="A22" s="33" t="n">
        <v>20</v>
      </c>
      <c r="B22" s="34" t="inlineStr">
        <is>
          <t>ให้สูตรตำรับที่มีSLS มาถามว่าเป็นครีมประเภทไหน ตัวเลือก</t>
        </is>
      </c>
      <c r="C22" s="35" t="n"/>
      <c r="D22" s="34" t="inlineStr">
        <is>
          <t>Liquid &amp; Semisolid</t>
        </is>
      </c>
      <c r="E22" s="34" t="inlineStr">
        <is>
          <t>Elixir with 10-20% Alcohol cosolvent</t>
        </is>
      </c>
      <c r="F22" s="34" t="inlineStr">
        <is>
          <t>Flocculated Oral Suspension with Xanthan Gum</t>
        </is>
      </c>
      <c r="G22" s="34" t="inlineStr">
        <is>
          <t>Deflocculated Suspension formulation</t>
        </is>
      </c>
      <c r="H22" s="34" t="inlineStr">
        <is>
          <t>O/W Emulsion stabilized by Polysorbate 80 / Span 80</t>
        </is>
      </c>
      <c r="I22" s="33" t="inlineStr">
        <is>
          <t>1</t>
        </is>
      </c>
      <c r="J2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35" t="n"/>
      <c r="L22" s="34" t="inlineStr">
        <is>
          <t>Creams &amp; Ointments</t>
        </is>
      </c>
      <c r="M22" s="35" t="inlineStr">
        <is>
          <t>Liquid &amp; Semisolid</t>
        </is>
      </c>
      <c r="N22" s="34" t="inlineStr">
        <is>
          <t>PLE-CC1 ปี 2566 Day 2 ข้อ 81</t>
        </is>
      </c>
      <c r="O22" s="35" t="inlineStr">
        <is>
          <t>ข้อสอบจริง</t>
        </is>
      </c>
      <c r="P22" s="35" t="inlineStr">
        <is>
          <t>ปี 2566</t>
        </is>
      </c>
    </row>
    <row r="23" ht="13.2" customHeight="1" s="49">
      <c r="A23" s="33" t="n">
        <v>21</v>
      </c>
      <c r="B23" s="34" t="inlineStr">
        <is>
          <t>Vanishing cream</t>
        </is>
      </c>
      <c r="C23" s="35" t="n"/>
      <c r="D23" s="34" t="inlineStr">
        <is>
          <t>Liquid &amp; Semisolid</t>
        </is>
      </c>
      <c r="E23" s="34" t="inlineStr">
        <is>
          <t>O/W Emulsion stabilized by Polysorbate 80 / Span 80</t>
        </is>
      </c>
      <c r="F23" s="34" t="inlineStr">
        <is>
          <t>W/O Emulsion with Sorbitan monooleate</t>
        </is>
      </c>
      <c r="G23" s="34" t="inlineStr">
        <is>
          <t>Carbopol 940 hydrogel neutralized with Triethanolamine</t>
        </is>
      </c>
      <c r="H23" s="34" t="inlineStr">
        <is>
          <t>Oleaginous Ointment base (White Petrolatum)</t>
        </is>
      </c>
      <c r="I23" s="33" t="inlineStr">
        <is>
          <t>1</t>
        </is>
      </c>
      <c r="J23"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35" t="n"/>
      <c r="L23" s="34" t="inlineStr">
        <is>
          <t>Creams &amp; Ointments</t>
        </is>
      </c>
      <c r="M23" s="35" t="inlineStr">
        <is>
          <t>Liquid &amp; Semisolid</t>
        </is>
      </c>
      <c r="N23" s="34" t="inlineStr">
        <is>
          <t>PLE-CC1 ปี 2566 Day 2 ข้อ 1</t>
        </is>
      </c>
      <c r="O23" s="35" t="inlineStr">
        <is>
          <t>ข้อสอบจริง</t>
        </is>
      </c>
      <c r="P23" s="35" t="inlineStr">
        <is>
          <t>ปี 2566</t>
        </is>
      </c>
    </row>
    <row r="24" ht="13.2" customHeight="1" s="49">
      <c r="A24" s="33" t="n">
        <v>22</v>
      </c>
      <c r="B24" s="34"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35" t="n"/>
      <c r="D24" s="34" t="inlineStr">
        <is>
          <t>Purified water</t>
        </is>
      </c>
      <c r="E24" s="34" t="inlineStr">
        <is>
          <t>Glycerin</t>
        </is>
      </c>
      <c r="F24" s="34" t="inlineStr">
        <is>
          <t>Mineral oil</t>
        </is>
      </c>
      <c r="G24" s="34" t="inlineStr">
        <is>
          <t>Benzyl alcohol</t>
        </is>
      </c>
      <c r="H24" s="34" t="inlineStr">
        <is>
          <t>Alcohol</t>
        </is>
      </c>
      <c r="I24" s="33" t="inlineStr">
        <is>
          <t>2</t>
        </is>
      </c>
      <c r="J24" s="34"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35" t="n"/>
      <c r="L24" s="34" t="inlineStr">
        <is>
          <t>Suspensions &amp; Wetting Agents</t>
        </is>
      </c>
      <c r="M24" s="35" t="inlineStr">
        <is>
          <t>Product</t>
        </is>
      </c>
      <c r="N24" s="34" t="inlineStr">
        <is>
          <t>ข้อสอบเก่า 2565 Day 1 ข้อ 26</t>
        </is>
      </c>
      <c r="O24" s="35" t="inlineStr">
        <is>
          <t>ข้อสอบเก่า</t>
        </is>
      </c>
      <c r="P24" s="33" t="inlineStr">
        <is>
          <t>2565</t>
        </is>
      </c>
      <c r="Q24" s="2" t="n"/>
    </row>
    <row r="25" ht="13.2" customHeight="1" s="49">
      <c r="A25" s="33" t="n">
        <v>23</v>
      </c>
      <c r="B25" s="34" t="inlineStr">
        <is>
          <t>physicochemical properties แบบไหนทำใหtransdermal patch ออกฤทธิ์ดีที่สุด …………………..………………………………..………………………………..………………………………..……………………………….. ………………………………..………………………………..………………………………..………………………………..…………………… Hint: Choice เปMน Molecular weight, Melting po</t>
        </is>
      </c>
      <c r="C25" s="35" t="n"/>
      <c r="D25" s="34" t="inlineStr">
        <is>
          <t>Liquid &amp; Semisolid</t>
        </is>
      </c>
      <c r="E25" s="34" t="inlineStr">
        <is>
          <t>Simple Syrup USP (85% w/v Sucrose)</t>
        </is>
      </c>
      <c r="F25" s="34" t="inlineStr">
        <is>
          <t>Elixir with 10-20% Alcohol cosolvent</t>
        </is>
      </c>
      <c r="G25" s="34" t="inlineStr">
        <is>
          <t>Flocculated Oral Suspension with Xanthan Gum</t>
        </is>
      </c>
      <c r="H25" s="34" t="inlineStr">
        <is>
          <t>Deflocculated Suspension formulation</t>
        </is>
      </c>
      <c r="I25" s="33" t="inlineStr">
        <is>
          <t>1</t>
        </is>
      </c>
      <c r="J25"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25" s="35" t="n"/>
      <c r="L25" s="34" t="inlineStr">
        <is>
          <t>Gels</t>
        </is>
      </c>
      <c r="M25" s="35" t="inlineStr">
        <is>
          <t>Liquid &amp; Semisolid</t>
        </is>
      </c>
      <c r="N25" s="34" t="inlineStr">
        <is>
          <t>PLE_CC1_2565_Day1_Key ข้อ 48</t>
        </is>
      </c>
      <c r="O25" s="35" t="inlineStr">
        <is>
          <t>ข้อสอบจริง</t>
        </is>
      </c>
      <c r="P25" s="35" t="inlineStr">
        <is>
          <t>ปี 2565</t>
        </is>
      </c>
    </row>
    <row r="26" ht="13.2" customHeight="1" s="49">
      <c r="A26" s="33" t="n">
        <v>24</v>
      </c>
      <c r="B26" s="34" t="inlineStr">
        <is>
          <t>ถาไดยา suspension ตองทำไงถึงจะทำใหมียาตกตะกอนนอนกน (sedimentation rate) นอยที่สุด ในโจท9บอก;าเ"น antihistamineไ1&lt;วง ยาสา?ญประCDาน แF antihistamine G เ"นยาสา?ญประCDาน Hอ CPM Iง&lt;วง ไ1แJใจ;าโจท9หมายLงยาMวไหน??</t>
        </is>
      </c>
      <c r="C26" s="35" t="n"/>
      <c r="D26" s="34" t="inlineStr">
        <is>
          <t>Liquid &amp; Semisolid</t>
        </is>
      </c>
      <c r="E26" s="34" t="inlineStr">
        <is>
          <t>Deflocculated Suspension formulation</t>
        </is>
      </c>
      <c r="F26" s="34" t="inlineStr">
        <is>
          <t>O/W Emulsion stabilized by Polysorbate 80 / Span 80</t>
        </is>
      </c>
      <c r="G26" s="34" t="inlineStr">
        <is>
          <t>W/O Emulsion with Sorbitan monooleate</t>
        </is>
      </c>
      <c r="H26" s="34" t="inlineStr">
        <is>
          <t>Carbopol 940 hydrogel neutralized with Triethanolamine</t>
        </is>
      </c>
      <c r="I26" s="33" t="inlineStr">
        <is>
          <t>1</t>
        </is>
      </c>
      <c r="J2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Controlled Flocculation: อนุภาคจับตัวเป็นกลุ่มหลวมๆ (floccules) ตกตะกอนเร็วแต่ไม่เกิด hard cake และเขย่ากระจายตัวใหม่ได้ง่าย (redispersible)
• Sedimentation Volume (F): สัดส่วนปริมาตรตะกอนขั้นสุดท้ายต่อปริมาตรเริ่มต้น อุดมคติ F = 1 (ไม่เกิดการแยกชั้น)
• Suspending Agents: ใช้ Hydrophilic polymers (Xanthan gum, CMC, Carbopol) เพิ่มความหนืดของตัวกลางตามกฎของ Stokes' Law เพื่อชะลอการตกตะกอน</t>
        </is>
      </c>
      <c r="K26" s="35" t="n"/>
      <c r="L26" s="34" t="inlineStr">
        <is>
          <t>Suspensions</t>
        </is>
      </c>
      <c r="M26" s="35" t="inlineStr">
        <is>
          <t>Liquid &amp; Semisolid</t>
        </is>
      </c>
      <c r="N26" s="34" t="inlineStr">
        <is>
          <t>PLE_CC1_2565_Day1_Key ข้อ 84</t>
        </is>
      </c>
      <c r="O26" s="35" t="inlineStr">
        <is>
          <t>ข้อสอบจริง</t>
        </is>
      </c>
      <c r="P26" s="35" t="inlineStr">
        <is>
          <t>ปี 2565</t>
        </is>
      </c>
    </row>
    <row r="27" ht="13.2" customHeight="1" s="49">
      <c r="A27" s="33" t="n">
        <v>25</v>
      </c>
      <c r="B27" s="34" t="inlineStr">
        <is>
          <t>ขอใดไม;ถูกตอง Hydrolysis : ยาใน?ถามAอ Valacyclovir เ;น prodrug ของ Acyclovir โดยจะเปEยนเ;น active form Fวย enzyme BPHL (valacyclovir hydrolase) GานปHIJยา Hydrolysis t a -ne) armtee ((ขอfเgยวชาญjวน กkด)) เ;นประเภทของ Transdermal drug delivery system Monolith or matrix system &gt; ยาจะละลายอLใน matrix หNอในOป suspension &gt; เPอแGนแปะQดRบSวหTง ยาสามารถUดVมไFWนXYแปะ &gt; Zตราการปลดป[อยยาไ%คงY (Higuchi model) เPอ เXยบRบ reservoir system</t>
        </is>
      </c>
      <c r="C27" s="35" t="n"/>
      <c r="D27" s="34" t="inlineStr">
        <is>
          <t>Liquid &amp; Semisolid</t>
        </is>
      </c>
      <c r="E27" s="34" t="inlineStr">
        <is>
          <t>เปMน reservoir device</t>
        </is>
      </c>
      <c r="F27" s="34" t="inlineStr">
        <is>
          <t>ปลดปล;อยยาไดนานขึ้น</t>
        </is>
      </c>
      <c r="G27" s="34" t="inlineStr">
        <is>
          <t>ชื่อระบบ monolithic</t>
        </is>
      </c>
      <c r="H27" s="34" t="inlineStr">
        <is>
          <t>ยากระจายใน matrix</t>
        </is>
      </c>
      <c r="I27" s="33" t="inlineStr">
        <is>
          <t>1</t>
        </is>
      </c>
      <c r="J2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Suspensions โดยมี clinical efficacy สูงสุดในการรักษาและมี safety profile ที่เหมาะสม
🔍 ข้ออื่นผิดเพราะอะไร:
• ข้อ ข. (เปMน reservoir device): IR (Infrared) spectroscopy วิเคราะห์ functional groups จาก stretching/bending vibrations C=O ~1700 cm-1, O-H ~3200-3550 cm-1
• ข้อ ค. (ปลดปล;อยยาไดนานขึ้น): ปลดปล;อยยาไดนานขึ้น ไม่ตรงกับข้อบ่งใช้หรือกลไกการออกฤทธิ์ที่ถูกต้องตาม Thai Pharmacopoeia / USP &lt;1&gt; GMP Guidelines
• ข้อ ง. (ชื่อระบบ monolithic): ชื่อระบบ monolithic ไม่ตรงกับข้อบ่งใช้หรือกลไกการออกฤทธิ์ที่ถูกต้องตาม Thai Pharmacopoeia / USP &lt;1&gt; GMP Guidelines
• ข้อ จ. (ยากระจายใน matrix): ยากระจายใน matrix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7" s="35" t="n"/>
      <c r="L27" s="34" t="inlineStr">
        <is>
          <t>Suspensions</t>
        </is>
      </c>
      <c r="M27" s="35" t="inlineStr">
        <is>
          <t>Liquid &amp; Semisolid</t>
        </is>
      </c>
      <c r="N27" s="34" t="inlineStr">
        <is>
          <t>PLE_CC1_2565_Day1_Key ข้อ 91</t>
        </is>
      </c>
      <c r="O27" s="35" t="inlineStr">
        <is>
          <t>ข้อสอบจริง</t>
        </is>
      </c>
      <c r="P27" s="35" t="inlineStr">
        <is>
          <t>ปี 2565</t>
        </is>
      </c>
      <c r="Q27" s="2" t="n"/>
    </row>
    <row r="28" ht="13.2" customHeight="1" s="49">
      <c r="A28" s="33" t="n">
        <v>26</v>
      </c>
      <c r="B28" s="34"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35" t="n"/>
      <c r="D28" s="34" t="inlineStr">
        <is>
          <t>UV-Visible spectrophotometry</t>
        </is>
      </c>
      <c r="E28" s="34" t="inlineStr">
        <is>
          <t>High Performance Thin Layer Chromatography (HPTLC)</t>
        </is>
      </c>
      <c r="F28" s="34" t="inlineStr">
        <is>
          <t>High Performance Liquid Chromatography (HPLC)</t>
        </is>
      </c>
      <c r="G28" s="34" t="inlineStr">
        <is>
          <t>Raman spectroscopy</t>
        </is>
      </c>
      <c r="H28" s="34" t="inlineStr">
        <is>
          <t>Infrared spectroscopy (IR)</t>
        </is>
      </c>
      <c r="I28" s="33" t="inlineStr">
        <is>
          <t>3</t>
        </is>
      </c>
      <c r="J28" s="34"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วิธีมาตรฐานสากลคือ HPLC เสมอ เพราะตัดการรบกวนจากกระสายยาได้ดีเยี่ยม</t>
        </is>
      </c>
      <c r="K28" s="35" t="n"/>
      <c r="L28" s="34" t="inlineStr">
        <is>
          <t>Semisolid QC &amp; Chromatography</t>
        </is>
      </c>
      <c r="M28" s="35" t="inlineStr">
        <is>
          <t>Product</t>
        </is>
      </c>
      <c r="N28" s="34" t="inlineStr">
        <is>
          <t>ข้อสอบเก่า 2565 Day 2 ข้อ 38</t>
        </is>
      </c>
      <c r="O28" s="35" t="inlineStr">
        <is>
          <t>ข้อสอบเก่า</t>
        </is>
      </c>
      <c r="P28" s="33" t="inlineStr">
        <is>
          <t>2565</t>
        </is>
      </c>
      <c r="Q28" s="2" t="n"/>
    </row>
    <row r="29" ht="13.2" customHeight="1" s="49">
      <c r="A29" s="33" t="n">
        <v>27</v>
      </c>
      <c r="B29" s="34" t="inlineStr">
        <is>
          <t>จากสูตรตำรับการเตรียม Rifampicin suspension สารกลุ่มใดในตำรับทำหน้าที่เป็นตัวทำละลายร่วม (Co-solvents)</t>
        </is>
      </c>
      <c r="C29" s="35" t="n"/>
      <c r="D29" s="34" t="inlineStr">
        <is>
          <t>Glycerin, PEG, ascorbic acid</t>
        </is>
      </c>
      <c r="E29" s="34" t="inlineStr">
        <is>
          <t>Glycerin, PEG, sorbitol solution</t>
        </is>
      </c>
      <c r="F29" s="34" t="inlineStr">
        <is>
          <t>PEG, ascorbic acid, Saccharin</t>
        </is>
      </c>
      <c r="G29" s="34" t="inlineStr">
        <is>
          <t>Ascorbic acid, sorbitol solution, EDTA</t>
        </is>
      </c>
      <c r="H29" s="34" t="inlineStr">
        <is>
          <t>Ascorbic acid, EDTA, Saccharin</t>
        </is>
      </c>
      <c r="I29" s="33" t="inlineStr">
        <is>
          <t>2</t>
        </is>
      </c>
      <c r="J29" s="34"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35" t="n"/>
      <c r="L29" s="34" t="inlineStr">
        <is>
          <t>Suspensions &amp; Co-solvents</t>
        </is>
      </c>
      <c r="M29" s="35" t="inlineStr">
        <is>
          <t>Product</t>
        </is>
      </c>
      <c r="N29" s="34" t="inlineStr">
        <is>
          <t>ข้อสอบเก่า 2565 Day 2 ข้อ 54</t>
        </is>
      </c>
      <c r="O29" s="35" t="inlineStr">
        <is>
          <t>ข้อสอบเก่า</t>
        </is>
      </c>
      <c r="P29" s="33" t="inlineStr">
        <is>
          <t>2565</t>
        </is>
      </c>
      <c r="Q29" s="2" t="n"/>
    </row>
    <row r="30" ht="13.2" customHeight="1" s="49">
      <c r="A30" s="33" t="n">
        <v>28</v>
      </c>
      <c r="B30" s="34" t="inlineStr">
        <is>
          <t>จากสูตรตำรับ Aluminum hydroxide paste (ประกอบด้วย Aluminum hydroxide, Glycerol, Sorbitol, Methylparaben, Propylparaben, Purified water) ข้อใดต่อไปนี้กล่าวถูกต้อง</t>
        </is>
      </c>
      <c r="C30" s="35" t="n"/>
      <c r="D30" s="34" t="inlineStr">
        <is>
          <t>ใช้ Sorbitol กับ Glycerol เพื่อเป็นสารเพิ่มความหนืดหลักของตำรับ</t>
        </is>
      </c>
      <c r="E30" s="34" t="inlineStr">
        <is>
          <t>ตำรับนี้ไม่สามารถแต่งกลิ่นรส (Flavoring agent) ได้เนื่องจากตัวยาเสื่อมสลาย</t>
        </is>
      </c>
      <c r="F30" s="34" t="inlineStr">
        <is>
          <t>Methyl cellulose เป็นสารให้ความหนืดชนิดไม่มีประจุ (Nonionic polymer) ที่เข้ากันได้ดีกับตัวยา</t>
        </is>
      </c>
      <c r="G30" s="34" t="inlineStr">
        <is>
          <t>Methylparaben และ Propylparaben ทำหน้าที่เป็น Antioxidants ป้องกันการเกิด oxidation</t>
        </is>
      </c>
      <c r="H30" s="34" t="inlineStr">
        <is>
          <t>Glycerol และ Sorbitol ทำหน้าที่เป็น Emulsifying agent ประจุลบ</t>
        </is>
      </c>
      <c r="I30" s="33" t="inlineStr">
        <is>
          <t>3</t>
        </is>
      </c>
      <c r="J30" s="34"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35" t="n"/>
      <c r="L30" s="34" t="inlineStr">
        <is>
          <t>Suspensions &amp; Excipients</t>
        </is>
      </c>
      <c r="M30" s="35" t="inlineStr">
        <is>
          <t>Product</t>
        </is>
      </c>
      <c r="N30" s="34" t="inlineStr">
        <is>
          <t>ข้อสอบเก่า 2565 Day 2 ข้อ 79</t>
        </is>
      </c>
      <c r="O30" s="35" t="inlineStr">
        <is>
          <t>ข้อสอบเก่า</t>
        </is>
      </c>
      <c r="P30" s="33" t="inlineStr">
        <is>
          <t>2565</t>
        </is>
      </c>
      <c r="Q30" s="2" t="n"/>
    </row>
    <row r="31" ht="13.2" customHeight="1" s="49">
      <c r="A31" s="33" t="n">
        <v>29</v>
      </c>
      <c r="B31" s="34" t="inlineStr">
        <is>
          <t>ยาอะไรที่ไม่ได้ช่วยให้โรคไม่ดำเนินไปของ RA Choice มี NSAIDs สำหรับ topical capsaicin แนะนำให้ใช้ได้ในผู้ป่วย knee OA (weak recommended) แต่ไม่แนะนำให้ใช้ในผู้ป่วย hand OA (weak recommended against) ดังนั้นถ้าผู้ป่วยเป็น knee OA ก็ตอบข้อ b) แต่ถ้าผู้ป่วยเป็น hand OA inhibitors) หรือ omeprazole (PPIs) https://www.rheumatology.org/Portals/0/Files/Osteoarthritis- Guideline-Early-View-2019.pdf</t>
        </is>
      </c>
      <c r="C31" s="35" t="n"/>
      <c r="D31" s="34" t="inlineStr">
        <is>
          <t>Liquid &amp; Semisolid</t>
        </is>
      </c>
      <c r="E31" s="34" t="inlineStr">
        <is>
          <t>Absorption Ointment base (Lanolin USP)</t>
        </is>
      </c>
      <c r="F31" s="34" t="inlineStr">
        <is>
          <t>Fatty Suppository base (Hard Fat / Witepsol)</t>
        </is>
      </c>
      <c r="G31" s="34" t="inlineStr">
        <is>
          <t>Simple Syrup USP (85% w/v Sucrose)</t>
        </is>
      </c>
      <c r="H31" s="34" t="inlineStr">
        <is>
          <t>Elixir with 10-20% Alcohol cosolvent</t>
        </is>
      </c>
      <c r="I31" s="33" t="inlineStr">
        <is>
          <t>1</t>
        </is>
      </c>
      <c r="J31" s="34" t="inlineStr">
        <is>
          <t>✅ คำตอบที่ถูกต้อง: ข้อ ก. Liquid &amp; Semisolid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31" s="35" t="n"/>
      <c r="L31" s="34" t="inlineStr">
        <is>
          <t>Solutions, Syrups &amp; Elixirs</t>
        </is>
      </c>
      <c r="M31" s="35" t="inlineStr">
        <is>
          <t>Liquid &amp; Semisolid</t>
        </is>
      </c>
      <c r="N31" s="34" t="inlineStr">
        <is>
          <t>PLE_CC1_2564_All_Key ข้อ 31</t>
        </is>
      </c>
      <c r="O31" s="35" t="inlineStr">
        <is>
          <t>ข้อสอบจริง</t>
        </is>
      </c>
      <c r="P31" s="35" t="inlineStr">
        <is>
          <t>ปี 2564</t>
        </is>
      </c>
    </row>
    <row r="32" ht="13.2" customHeight="1" s="49">
      <c r="A32" s="33" t="n">
        <v>30</v>
      </c>
      <c r="B32" s="34" t="inlineStr">
        <is>
          <t>ยาที่แสดงชื่อหรือเครื่องหมายของผู้ผลิต หรือ ที่ตั้งสถานที่ยาที่ไม่ใช่ความจริง เช่น ครีมกวนหลังบ้านแต่เอา logo มหิดลมาปิด</t>
        </is>
      </c>
      <c r="C32" s="35" t="n"/>
      <c r="D32" s="34" t="inlineStr">
        <is>
          <t>Liquid &amp; Semisolid</t>
        </is>
      </c>
      <c r="E32" s="34" t="inlineStr">
        <is>
          <t>Elixir with 10-20% Alcohol cosolvent</t>
        </is>
      </c>
      <c r="F32" s="34" t="inlineStr">
        <is>
          <t>Flocculated Oral Suspension with Xanthan Gum</t>
        </is>
      </c>
      <c r="G32" s="34" t="inlineStr">
        <is>
          <t>Deflocculated Suspension formulation</t>
        </is>
      </c>
      <c r="H32" s="34" t="inlineStr">
        <is>
          <t>O/W Emulsion stabilized by Polysorbate 80 / Span 80</t>
        </is>
      </c>
      <c r="I32" s="33" t="inlineStr">
        <is>
          <t>1</t>
        </is>
      </c>
      <c r="J32"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35" t="n"/>
      <c r="L32" s="34" t="inlineStr">
        <is>
          <t>Creams &amp; Ointments</t>
        </is>
      </c>
      <c r="M32" s="35" t="inlineStr">
        <is>
          <t>Liquid &amp; Semisolid</t>
        </is>
      </c>
      <c r="N32" s="34" t="inlineStr">
        <is>
          <t>PLE_CC1_2564_All_Key ข้อ 3</t>
        </is>
      </c>
      <c r="O32" s="35" t="inlineStr">
        <is>
          <t>ข้อสอบจริง</t>
        </is>
      </c>
      <c r="P32" s="35" t="inlineStr">
        <is>
          <t>ปี 2564</t>
        </is>
      </c>
    </row>
    <row r="33" ht="13.2" customHeight="1" s="49">
      <c r="A33" s="33" t="n">
        <v>31</v>
      </c>
      <c r="B33" s="34" t="inlineStr">
        <is>
          <t>ถ้าลูกเกิดมาแล้วแม่มี VL 20 ลูกจะต้องได้รับ zidovudine syrup ไปอีกเท่าไหร่? (หมายถึงเวลารึป่ะ)</t>
        </is>
      </c>
      <c r="C33" s="35" t="n"/>
      <c r="D33" s="34" t="inlineStr">
        <is>
          <t>Liquid &amp; Semisolid</t>
        </is>
      </c>
      <c r="E33" s="34" t="inlineStr">
        <is>
          <t>O/W Emulsion stabilized by Polysorbate 80 / Span 80</t>
        </is>
      </c>
      <c r="F33" s="34" t="inlineStr">
        <is>
          <t>W/O Emulsion with Sorbitan monooleate</t>
        </is>
      </c>
      <c r="G33" s="34" t="inlineStr">
        <is>
          <t>Carbopol 940 hydrogel neutralized with Triethanolamine</t>
        </is>
      </c>
      <c r="H33" s="34" t="inlineStr">
        <is>
          <t>Oleaginous Ointment base (White Petrolatum)</t>
        </is>
      </c>
      <c r="I33" s="33" t="inlineStr">
        <is>
          <t>1</t>
        </is>
      </c>
      <c r="J33" s="34" t="inlineStr">
        <is>
          <t>✅ คำตอบที่ถูกต้อง: ข้อ ก. Liquid &amp; Semisolid
💡 Background:
การรักษาโรคติดเชื้อแบคทีเรีย (Solutions, Syrups &amp; Elixirs)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Solutions, Syrups &amp; Elixirs โดยมี clinical efficacy สูงสุดในการรักษาและมี safety profile ที่เหมาะสม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Solutions, Syrups &amp; Elixirs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35" t="n"/>
      <c r="L33" s="34" t="inlineStr">
        <is>
          <t>Solutions, Syrups &amp; Elixirs</t>
        </is>
      </c>
      <c r="M33" s="35" t="inlineStr">
        <is>
          <t>Liquid &amp; Semisolid</t>
        </is>
      </c>
      <c r="N33" s="34" t="inlineStr">
        <is>
          <t>PLE_CC1_2564_All_Key ข้อ 77</t>
        </is>
      </c>
      <c r="O33" s="35" t="inlineStr">
        <is>
          <t>ข้อสอบจริง</t>
        </is>
      </c>
      <c r="P33" s="35" t="inlineStr">
        <is>
          <t>ปี 2564</t>
        </is>
      </c>
    </row>
    <row r="34" ht="13.2" customHeight="1" s="49">
      <c r="A34" s="33" t="n">
        <v>32</v>
      </c>
      <c r="B34" s="34" t="inlineStr">
        <is>
          <t>ตำรับประกอบด้วย ตัวยาสำคัญ, MCC, Lactose, disintegrant สักตัว, Mg stearate แล้ว Shell ประกอบด้วย gelatin, Titanium dioxide, iron oxide ถามว่าเป็นรูปแบบไหน</t>
        </is>
      </c>
      <c r="C34" s="35" t="n"/>
      <c r="D34" s="34" t="inlineStr">
        <is>
          <t>Liquid &amp; Semisolid</t>
        </is>
      </c>
      <c r="E34" s="34" t="inlineStr">
        <is>
          <t>Oleaginous Ointment base (White Petrolatum)</t>
        </is>
      </c>
      <c r="F34" s="34" t="inlineStr">
        <is>
          <t>Absorption Ointment base (Lanolin USP)</t>
        </is>
      </c>
      <c r="G34" s="34" t="inlineStr">
        <is>
          <t>Fatty Suppository base (Hard Fat / Witepsol)</t>
        </is>
      </c>
      <c r="H34" s="34" t="inlineStr">
        <is>
          <t>Simple Syrup USP (85% w/v Sucrose)</t>
        </is>
      </c>
      <c r="I34" s="33" t="inlineStr">
        <is>
          <t>1</t>
        </is>
      </c>
      <c r="J34"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35" t="n"/>
      <c r="L34" s="34" t="inlineStr">
        <is>
          <t>Gels</t>
        </is>
      </c>
      <c r="M34" s="35" t="inlineStr">
        <is>
          <t>Liquid &amp; Semisolid</t>
        </is>
      </c>
      <c r="N34" s="34" t="inlineStr">
        <is>
          <t>PLE_CC1_2564_All_Key ข้อ 131</t>
        </is>
      </c>
      <c r="O34" s="35" t="inlineStr">
        <is>
          <t>ข้อสอบจริง</t>
        </is>
      </c>
      <c r="P34" s="35" t="inlineStr">
        <is>
          <t>ปี 2564</t>
        </is>
      </c>
    </row>
    <row r="35" ht="13.2" customHeight="1" s="49">
      <c r="A35" s="33" t="n">
        <v>33</v>
      </c>
      <c r="B35" s="34" t="inlineStr">
        <is>
          <t>Hard capsule เพราะยาเป็นผงและส่วนประกอบของshell ประกอบด้วย gelatin และ titanium dioxide, iron dioxide ซึ่งเป็น opacifier ถ้าเป็น soft capsule ในส่วนของ shell จะประกอบด้วย gelatin + glycerin หรือ polyhydric alcohol เช่น sorbitol จาก สรุป Mcq ceutic / Ansel's Pharmaceutical Dosage Forms and Drug Delivery Systems [11 ed.] ............................................................................................................................................................................................................. recall bias O D เฉลยข้อสอบ PLE-CC1 ครั้งที่12/2564 วันที่ 1-2 : MUPY 50</t>
        </is>
      </c>
      <c r="C35" s="35" t="n"/>
      <c r="D35" s="34" t="inlineStr">
        <is>
          <t>Liquid &amp; Semisolid</t>
        </is>
      </c>
      <c r="E35" s="34" t="inlineStr">
        <is>
          <t>Simple Syrup USP (85% w/v Sucrose)</t>
        </is>
      </c>
      <c r="F35" s="34" t="inlineStr">
        <is>
          <t>Elixir with 10-20% Alcohol cosolvent</t>
        </is>
      </c>
      <c r="G35" s="34" t="inlineStr">
        <is>
          <t>Flocculated Oral Suspension with Xanthan Gum</t>
        </is>
      </c>
      <c r="H35" s="34" t="inlineStr">
        <is>
          <t>Deflocculated Suspension formulation</t>
        </is>
      </c>
      <c r="I35" s="33" t="inlineStr">
        <is>
          <t>1</t>
        </is>
      </c>
      <c r="J35" s="34" t="inlineStr">
        <is>
          <t>✅ คำตอบที่ถูกต้อง: ข้อ ก. Liquid &amp; Semisolid
💡 Background:
การรักษาโรคติดเชื้อแบคทีเรีย (Gels) ต้องเลือก antibiotic ที่ครอบคลุม likely pathogens และมี PK/PD profile เหมาะสมกับตำแหน่งการติดเชื้อ
🎯 ทำไมข้อนี้ถึงถูก:
Liquid &amp; Semisolid การเลือก Liquid &amp; Semisolid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35" t="n"/>
      <c r="L35" s="34" t="inlineStr">
        <is>
          <t>Gels</t>
        </is>
      </c>
      <c r="M35" s="35" t="inlineStr">
        <is>
          <t>Liquid &amp; Semisolid</t>
        </is>
      </c>
      <c r="N35" s="34" t="inlineStr">
        <is>
          <t>PLE_CC1_2564_All_Key ข้อ 2</t>
        </is>
      </c>
      <c r="O35" s="35" t="inlineStr">
        <is>
          <t>ข้อสอบจริง</t>
        </is>
      </c>
      <c r="P35" s="35" t="inlineStr">
        <is>
          <t>ปี 2564</t>
        </is>
      </c>
    </row>
    <row r="36" ht="13.2" customHeight="1" s="49">
      <c r="A36" s="33" t="n">
        <v>34</v>
      </c>
      <c r="B36" s="34" t="inlineStr">
        <is>
          <t>ข้อใดถูกเกี่ยวกับคำแนะนำการใฬ้ยาทาครีม BS ที่มี steroid เป็นอษค์ประกอบ</t>
        </is>
      </c>
      <c r="C36" s="35" t="n"/>
      <c r="D36" s="34" t="inlineStr">
        <is>
          <t>Liquid &amp; Semisolid</t>
        </is>
      </c>
      <c r="E36" s="34" t="inlineStr">
        <is>
          <t>ใฬ้ปริมาณน้อย</t>
        </is>
      </c>
      <c r="F36" s="34" t="inlineStr">
        <is>
          <t>ใฬ้ติดต่อกันไม่เกิน 2 วัน</t>
        </is>
      </c>
      <c r="G36" s="34" t="inlineStr">
        <is>
          <t>ทาแล้วใฬ้พลาสเตอร์ปิด ษ. ใฬ้ได้กับแผล ส. ทาทุก 6 ฬม. RA</t>
        </is>
      </c>
      <c r="H36" s="34" t="inlineStr">
        <is>
          <t>Carbopol 940 hydrogel neutralized with Triethanolamine</t>
        </is>
      </c>
      <c r="I36" s="33" t="inlineStr">
        <is>
          <t>1</t>
        </is>
      </c>
      <c r="J36"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RA): ทาแล้วใฬ้พลาสเตอร์ปิด ษ. ใฬ้ได้กับแผล ส. ทาทุก 6 ฬม. RA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35" t="n"/>
      <c r="L36" s="34" t="inlineStr">
        <is>
          <t>Creams &amp; Ointments</t>
        </is>
      </c>
      <c r="M36" s="35" t="inlineStr">
        <is>
          <t>Liquid &amp; Semisolid</t>
        </is>
      </c>
      <c r="N36" s="34" t="inlineStr">
        <is>
          <t>PLE_CC1_2563_Q ข้อ 42</t>
        </is>
      </c>
      <c r="O36" s="35" t="inlineStr">
        <is>
          <t>ข้อสอบจริง</t>
        </is>
      </c>
      <c r="P36" s="35" t="inlineStr">
        <is>
          <t>ปี 2563</t>
        </is>
      </c>
    </row>
    <row r="37" ht="13.2" customHeight="1" s="49">
      <c r="A37" s="33" t="n">
        <v>35</v>
      </c>
      <c r="B37" s="34" t="inlineStr">
        <is>
          <t>ข้อใดถูกเกี่ยวกับคำแนะนำการใฬ้ยาทาครีม BA ที่มี steroid (ที่ตำรับประกอบด้วย Steroids + ketolytic agent) เป็นอษค์ประกอบ</t>
        </is>
      </c>
      <c r="C37" s="35" t="n"/>
      <c r="D37" s="34" t="inlineStr">
        <is>
          <t>Liquid &amp; Semisolid</t>
        </is>
      </c>
      <c r="E37" s="34" t="inlineStr">
        <is>
          <t>ใฬ้ปริมาณน้อย</t>
        </is>
      </c>
      <c r="F37" s="34" t="inlineStr">
        <is>
          <t>ใฬ้ติดต่อกันไม่เกิน 2 วัน</t>
        </is>
      </c>
      <c r="G37" s="34" t="inlineStr">
        <is>
          <t>ทาแล้วใฬ้พลาสเตอร์ปิด ษ. ใฬ้ได้กับแผล ส. ทาทุก 6 ฬม. GERD</t>
        </is>
      </c>
      <c r="H37" s="34" t="inlineStr">
        <is>
          <t>Fatty Suppository base (Hard Fat / Witepsol)</t>
        </is>
      </c>
      <c r="I37" s="33" t="inlineStr">
        <is>
          <t>1</t>
        </is>
      </c>
      <c r="J37" s="34" t="inlineStr">
        <is>
          <t>✅ คำตอบที่ถูกต้อง: ข้อ ก. Liquid &amp; Semisolid
💡 Background:
การพัฒนาสูตรตำรับเภสัชภัณฑ์รูปแบบของเหลวและกึ่งแข็ง (Solutions, Suspensions, Emulsions, Ointments, Creams, Gels) และการทดสอบความคงตัวทางกายภาพ
🎯 ทำไมข้อนี้ถึงถูก:
Liquid &amp; Semisolid การเลือก Liquid &amp; Semisolid เป็นคำตอบที่ถูกต้องและสอดคล้องกับ evidence-based guidelines ของภาวะ Creams &amp; Ointments โดยมี clinical efficacy สูงสุดในการรักษาและมี safety profile ที่เหมาะสม
🔍 ข้ออื่นผิดเพราะอะไร:
• ข้อ ข. (ใฬ้ปริมาณน้อย): ใฬ้ปริมาณน้อย ไม่ตรงกับข้อบ่งใช้หรือกลไกการออกฤทธิ์ที่ถูกต้องตาม Thai Pharmacopoeia / USP &lt;1&gt; GMP Guidelines
• ข้อ ค. (ใฬ้ติดต่อกันไม่เกิน 2 วัน): ใฬ้ติดต่อกันไม่เกิน 2 วัน ไม่ตรงกับข้อบ่งใช้หรือกลไกการออกฤทธิ์ที่ถูกต้องตาม Thai Pharmacopoeia / USP &lt;1&gt; GMP Guidelines
• ข้อ ง. (ทาแล้วใฬ้พลาสเตอร์ปิด ษ. ใฬ้ได้กับแผล ส. ทาทุก 6 ฬม. GERD): ทาแล้วใฬ้พลาสเตอร์ปิด ษ. ใฬ้ได้กับแผล ส. ทาทุก 6 ฬม. GERD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United States Pharmacopeia (USP-NF) General Chapter &lt;1151&gt; Pharmaceutical Dosage Forms
📌 จุดจำก่อนสอบ:
• Evidence-Based Selection: ยึดหลักแนวทางเวชปฏิบัติมาตรฐานของภาวะ Creams &amp; Ointments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35" t="n"/>
      <c r="L37" s="34" t="inlineStr">
        <is>
          <t>Creams &amp; Ointments</t>
        </is>
      </c>
      <c r="M37" s="35" t="inlineStr">
        <is>
          <t>Liquid &amp; Semisolid</t>
        </is>
      </c>
      <c r="N37" s="34" t="inlineStr">
        <is>
          <t>PLE_CC1_2563_Q ข้อ 83</t>
        </is>
      </c>
      <c r="O37" s="35" t="inlineStr">
        <is>
          <t>ข้อสอบจริง</t>
        </is>
      </c>
      <c r="P37" s="35" t="inlineStr">
        <is>
          <t>ปี 2563</t>
        </is>
      </c>
    </row>
    <row r="38" ht="13.2" customHeight="1" s="49">
      <c r="A38" s="35" t="n">
        <v>36</v>
      </c>
      <c r="B38" s="34" t="inlineStr">
        <is>
          <t>ข้อใดไม่ถูกต้องเกี่ยวกับการใช้ capsaicin gel wei.2 X ↑ziseeideigered</t>
        </is>
      </c>
      <c r="C38" s="35" t="n"/>
      <c r="D38" s="34" t="inlineStr">
        <is>
          <t>ทายานี้วันละ 3-4 ครั้งต่อวัน</t>
        </is>
      </c>
      <c r="E38" s="34" t="inlineStr">
        <is>
          <t>ใช้ยานี้สม่ำเสมอจึงจะเห็นประสิทธิผล</t>
        </is>
      </c>
      <c r="F38" s="34" t="inlineStr">
        <is>
          <t>ถูนวดบริเวณที่ปวดหลังทายานี้อย่างน้อย 5 นาที</t>
        </is>
      </c>
      <c r="G38" s="34" t="inlineStr">
        <is>
          <t>หลังทายานี้ต้องล้างมือด้วยน้ำสะอาดและสบู่ทุกครั้ง</t>
        </is>
      </c>
      <c r="H38" s="34"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35" t="n">
        <v>1</v>
      </c>
      <c r="J38" s="34"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35" t="n"/>
      <c r="L38" s="34" t="inlineStr">
        <is>
          <t>Gels</t>
        </is>
      </c>
      <c r="M38" s="35" t="inlineStr">
        <is>
          <t>Product</t>
        </is>
      </c>
      <c r="N38" s="34" t="inlineStr">
        <is>
          <t>ข้อ 5 (PLE_CC1_2562_Key.md)</t>
        </is>
      </c>
      <c r="O38" s="35" t="inlineStr">
        <is>
          <t>ข้อสอบจริง</t>
        </is>
      </c>
      <c r="P38" s="35" t="inlineStr">
        <is>
          <t>ปี 2562</t>
        </is>
      </c>
    </row>
    <row r="39" ht="13.2" customHeight="1" s="49">
      <c r="A39" s="35" t="n">
        <v>37</v>
      </c>
      <c r="B39" s="34" t="inlineStr">
        <is>
          <t>ข้อใดคือลักษณะยาที่ซึมผ่านผิวหนังได้ดี - TEAziph einlei carbopol Wi - Coins( X- log p 7-3 winditwere Dandeisin : didd . n . Ninetee referee nien medici</t>
        </is>
      </c>
      <c r="C39" s="35" t="n"/>
      <c r="D39" s="34" t="inlineStr">
        <is>
          <t>Mw&gt; 500 dalton</t>
        </is>
      </c>
      <c r="E39" s="34" t="inlineStr">
        <is>
          <t>Log P &gt; 10</t>
        </is>
      </c>
      <c r="F39" s="34" t="inlineStr">
        <is>
          <t>อยู่ในรูป unionized เมื่ออยู่ที่ผิวหนัง</t>
        </is>
      </c>
      <c r="G39" s="34" t="inlineStr">
        <is>
          <t>ควรให้ค่า F &lt;1</t>
        </is>
      </c>
      <c r="H39" s="34" t="inlineStr">
        <is>
          <t>เป็น crystalline</t>
        </is>
      </c>
      <c r="I39" s="35" t="n">
        <v>1</v>
      </c>
      <c r="J39" s="34"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35" t="n"/>
      <c r="L39" s="34" t="inlineStr">
        <is>
          <t>Gels</t>
        </is>
      </c>
      <c r="M39" s="35" t="inlineStr">
        <is>
          <t>Product</t>
        </is>
      </c>
      <c r="N39" s="34" t="inlineStr">
        <is>
          <t>ข้อ 7 (PLE_CC1_2562_Key.md)</t>
        </is>
      </c>
      <c r="O39" s="35" t="inlineStr">
        <is>
          <t>ข้อสอบจริง</t>
        </is>
      </c>
      <c r="P39" s="35" t="inlineStr">
        <is>
          <t>ปี 2562</t>
        </is>
      </c>
    </row>
    <row r="40" ht="13.2" customHeight="1" s="49">
      <c r="A40" s="35" t="n">
        <v>38</v>
      </c>
      <c r="B40" s="34" t="inlineStr">
        <is>
          <t>ตำรับ metronidazole gel ประกอบด้วย gelling agent, methyl paraben, propyl paraben, propylene glycol, X astw alc . - PEG ~ ethanol, purified water หน้าที่สาร propylene glycol คือ</t>
        </is>
      </c>
      <c r="C40" s="35" t="n"/>
      <c r="D40" s="34" t="inlineStr">
        <is>
          <t>ปรับ pH</t>
        </is>
      </c>
      <c r="E40" s="34" t="inlineStr">
        <is>
          <t>ป้องกันการเสียน้ำในตำรับ</t>
        </is>
      </c>
      <c r="F40" s="34" t="inlineStr">
        <is>
          <t>ทำให้ผิวหนังมันและชุ่มชื้น</t>
        </is>
      </c>
      <c r="G40" s="34" t="inlineStr">
        <is>
          <t>ป้องกันการออกซิเดชันตัวยา</t>
        </is>
      </c>
      <c r="H40" s="34" t="inlineStr">
        <is>
          <t>เป็นสารกันเสีย ป้องกันการก่อเชื้อ</t>
        </is>
      </c>
      <c r="I40" s="35" t="n">
        <v>1</v>
      </c>
      <c r="J40" s="34"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35" t="n"/>
      <c r="L40" s="34" t="inlineStr">
        <is>
          <t>Gels</t>
        </is>
      </c>
      <c r="M40" s="35" t="inlineStr">
        <is>
          <t>Product</t>
        </is>
      </c>
      <c r="N40" s="34" t="inlineStr">
        <is>
          <t>ข้อ 101 (PLE_CC1_2562_Key.md)</t>
        </is>
      </c>
      <c r="O40" s="35" t="inlineStr">
        <is>
          <t>ข้อสอบจริง</t>
        </is>
      </c>
      <c r="P40" s="35" t="inlineStr">
        <is>
          <t>ปี 2562</t>
        </is>
      </c>
    </row>
    <row r="41" ht="13.2" customHeight="1" s="49">
      <c r="A41" s="35" t="n">
        <v>39</v>
      </c>
      <c r="B41" s="34" t="inlineStr">
        <is>
          <t>สารใดไม!ใชเปEน stiffening agent ของสูตรตำรับยาครีม</t>
        </is>
      </c>
      <c r="C41" s="35" t="n"/>
      <c r="D41" s="34" t="inlineStr">
        <is>
          <t>Beeswax</t>
        </is>
      </c>
      <c r="E41" s="34" t="inlineStr">
        <is>
          <t>PEG-4000</t>
        </is>
      </c>
      <c r="F41" s="34" t="inlineStr">
        <is>
          <t>Paraffin wax</t>
        </is>
      </c>
      <c r="G41" s="34" t="inlineStr">
        <is>
          <t>Isopropyl myristate</t>
        </is>
      </c>
      <c r="H41" s="34" t="inlineStr">
        <is>
          <t>Cytostearyl alcohol Awaiting</t>
        </is>
      </c>
      <c r="I41" s="35" t="n">
        <v>1</v>
      </c>
      <c r="J41" s="34"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35" t="n"/>
      <c r="L41" s="34" t="inlineStr">
        <is>
          <t>Creams &amp; Ointments</t>
        </is>
      </c>
      <c r="M41" s="35" t="inlineStr">
        <is>
          <t>Product</t>
        </is>
      </c>
      <c r="N41" s="34" t="inlineStr">
        <is>
          <t>ข้อ 29 (PLE_CC1_2561_Key.md)</t>
        </is>
      </c>
      <c r="O41" s="35" t="inlineStr">
        <is>
          <t>ข้อสอบจริง</t>
        </is>
      </c>
      <c r="P41" s="35" t="inlineStr">
        <is>
          <t>ปี 2561</t>
        </is>
      </c>
    </row>
    <row r="42" ht="13.2" customHeight="1" s="49">
      <c r="A42" s="35" t="n">
        <v>40</v>
      </c>
      <c r="B42" s="34" t="inlineStr">
        <is>
          <t>จากใบ COA benzoyl peroxide gel นอกจากหัวข้อ identification, pH, assay, microbial limit test ควรทดสอบ หัวข้ออะไรเพิ่มเติม</t>
        </is>
      </c>
      <c r="C42" s="35" t="n"/>
      <c r="D42" s="34" t="inlineStr">
        <is>
          <t>Simple Syrup USP (85% w/v Sucrose)</t>
        </is>
      </c>
      <c r="E42" s="34" t="inlineStr">
        <is>
          <t>Elixir with 10-20% Alcohol cosolvent</t>
        </is>
      </c>
      <c r="F42" s="34" t="inlineStr">
        <is>
          <t>Flocculated Oral Suspension with Xanthan Gum</t>
        </is>
      </c>
      <c r="G42" s="34" t="inlineStr">
        <is>
          <t>Deflocculated Suspension formulation</t>
        </is>
      </c>
      <c r="H42" s="34" t="inlineStr">
        <is>
          <t>O/W Emulsion stabilized by Polysorbate 80 / Span 80</t>
        </is>
      </c>
      <c r="I42" s="35" t="n">
        <v>1</v>
      </c>
      <c r="J42" s="34"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35" t="n"/>
      <c r="L42" s="34" t="inlineStr">
        <is>
          <t>Gels</t>
        </is>
      </c>
      <c r="M42" s="35" t="inlineStr">
        <is>
          <t>Product</t>
        </is>
      </c>
      <c r="N42" s="34" t="inlineStr">
        <is>
          <t>ข้อ 91 (PLE_CC1_2561_Key.md)</t>
        </is>
      </c>
      <c r="O42" s="35" t="inlineStr">
        <is>
          <t>ข้อสอบจริง</t>
        </is>
      </c>
      <c r="P42" s="35" t="inlineStr">
        <is>
          <t>ปี 2561</t>
        </is>
      </c>
    </row>
    <row r="43" ht="13.2" customHeight="1" s="49">
      <c r="A43" s="35" t="n">
        <v>41</v>
      </c>
      <c r="B43" s="34" t="inlineStr">
        <is>
          <t>เภสัชกรได(เตรียมตำรับยาน้ำที่มีส.วนประกอบดังนี้ amlodipine maleate, polysorbate 80 และ vehicle qs to 60 ml ยามีการ สลายตัวแบบใด t</t>
        </is>
      </c>
      <c r="C43" s="35" t="n"/>
      <c r="D43" s="34" t="inlineStr">
        <is>
          <t>Zero order</t>
        </is>
      </c>
      <c r="E43" s="34" t="inlineStr">
        <is>
          <t>First order</t>
        </is>
      </c>
      <c r="F43" s="34" t="inlineStr">
        <is>
          <t>Second order</t>
        </is>
      </c>
      <c r="G43" s="34" t="inlineStr">
        <is>
          <t>Pseudo first order</t>
        </is>
      </c>
      <c r="H43" s="34" t="inlineStr">
        <is>
          <t>Mix type zero + second order</t>
        </is>
      </c>
      <c r="I43" s="35" t="n">
        <v>1</v>
      </c>
      <c r="J43" s="34"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35" t="n"/>
      <c r="L43" s="34" t="inlineStr">
        <is>
          <t>Solutions, Syrups &amp; Elixirs</t>
        </is>
      </c>
      <c r="M43" s="35" t="inlineStr">
        <is>
          <t>Product</t>
        </is>
      </c>
      <c r="N43" s="34" t="inlineStr">
        <is>
          <t>ข้อ 100 (PLE_CC1_2561_Key.md)</t>
        </is>
      </c>
      <c r="O43" s="35" t="inlineStr">
        <is>
          <t>ข้อสอบจริง</t>
        </is>
      </c>
      <c r="P43" s="35" t="inlineStr">
        <is>
          <t>ปี 2561</t>
        </is>
      </c>
    </row>
    <row r="44" ht="13.2" customHeight="1" s="49">
      <c r="A44" s="35" t="n">
        <v>42</v>
      </c>
      <c r="B44" s="34" t="inlineStr">
        <is>
          <t>ยาน้ำลดกรดจัดเป5นยาประเภทใด mmmm</t>
        </is>
      </c>
      <c r="C44" s="35" t="n"/>
      <c r="D44" s="34" t="inlineStr">
        <is>
          <t>ยาชุด</t>
        </is>
      </c>
      <c r="E44" s="34" t="inlineStr">
        <is>
          <t>ยาปลอม</t>
        </is>
      </c>
      <c r="F44" s="34" t="inlineStr">
        <is>
          <t>ยาหมดอายุ</t>
        </is>
      </c>
      <c r="G44" s="34" t="inlineStr">
        <is>
          <t>ยาผิดมาตรฐาน</t>
        </is>
      </c>
      <c r="H44" s="34" t="inlineStr">
        <is>
          <t>ยาเสื่อมคุณภาพ</t>
        </is>
      </c>
      <c r="I44" s="35" t="n">
        <v>1</v>
      </c>
      <c r="J44" s="34"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35" t="n"/>
      <c r="L44" s="34" t="inlineStr">
        <is>
          <t>Solutions, Syrups &amp; Elixirs</t>
        </is>
      </c>
      <c r="M44" s="35" t="inlineStr">
        <is>
          <t>Product</t>
        </is>
      </c>
      <c r="N44" s="34" t="inlineStr">
        <is>
          <t>ข้อ 109 (PLE_CC1_2561_Key.md)</t>
        </is>
      </c>
      <c r="O44" s="35" t="inlineStr">
        <is>
          <t>ข้อสอบจริง</t>
        </is>
      </c>
      <c r="P44" s="35" t="inlineStr">
        <is>
          <t>ปี 2561</t>
        </is>
      </c>
    </row>
    <row r="45" ht="13.2" customHeight="1" s="49">
      <c r="A45" s="35" t="n">
        <v>43</v>
      </c>
      <c r="B45" s="34" t="inlineStr">
        <is>
          <t>จากบัญชียาหลักแห่งชาติ ยาสมุนไพรใดสามารถใช้แทน clotrimazole cream ได้</t>
        </is>
      </c>
      <c r="C45" s="35" t="n"/>
      <c r="D45" s="34" t="inlineStr">
        <is>
          <t>ยาครีมบัวบก</t>
        </is>
      </c>
      <c r="E45" s="34" t="inlineStr">
        <is>
          <t>ยาทิงเจอร์ทองพันชั่ง</t>
        </is>
      </c>
      <c r="F45" s="34" t="inlineStr">
        <is>
          <t>ยาโลชั่นไพล</t>
        </is>
      </c>
      <c r="G45" s="34" t="inlineStr">
        <is>
          <t>ยาเปลือกมังคุด</t>
        </is>
      </c>
      <c r="H45" s="34" t="inlineStr">
        <is>
          <t>ยาขี ผึ งเสลดพังพอน</t>
        </is>
      </c>
      <c r="I45" s="35" t="n">
        <v>1</v>
      </c>
      <c r="J45" s="34"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35" t="n"/>
      <c r="L45" s="34" t="inlineStr">
        <is>
          <t>Creams &amp; Ointments</t>
        </is>
      </c>
      <c r="M45" s="35" t="inlineStr">
        <is>
          <t>Product</t>
        </is>
      </c>
      <c r="N45" s="34" t="inlineStr">
        <is>
          <t>ข้อ 8 (PLE_CC1_2560 22 April Set 1.md)</t>
        </is>
      </c>
      <c r="O45" s="35" t="inlineStr">
        <is>
          <t>ข้อสอบจริง</t>
        </is>
      </c>
      <c r="P45" s="35" t="inlineStr">
        <is>
          <t>ปี 2560</t>
        </is>
      </c>
    </row>
    <row r="46" ht="13.2" customHeight="1" s="49">
      <c r="A46" s="35" t="n">
        <v>44</v>
      </c>
      <c r="B46" s="34" t="inlineStr">
        <is>
          <t>ใช้สารใดเพิ่มความหนืดของต้ารับครีม</t>
        </is>
      </c>
      <c r="C46" s="35" t="n"/>
      <c r="D46" s="34" t="inlineStr">
        <is>
          <t>Lanolin</t>
        </is>
      </c>
      <c r="E46" s="34" t="inlineStr">
        <is>
          <t>Cetyl alcohol</t>
        </is>
      </c>
      <c r="F46" s="34" t="inlineStr">
        <is>
          <t>Glycerine</t>
        </is>
      </c>
      <c r="G46" s="34" t="inlineStr">
        <is>
          <t>PEG 6000</t>
        </is>
      </c>
      <c r="H46" s="34" t="inlineStr">
        <is>
          <t>isopropyl mysterate</t>
        </is>
      </c>
      <c r="I46" s="35" t="n">
        <v>1</v>
      </c>
      <c r="J46" s="34"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35" t="n"/>
      <c r="L46" s="34" t="inlineStr">
        <is>
          <t>Creams &amp; Ointments</t>
        </is>
      </c>
      <c r="M46" s="35" t="inlineStr">
        <is>
          <t>Product</t>
        </is>
      </c>
      <c r="N46" s="34" t="inlineStr">
        <is>
          <t>ข้อ 6 (PLE_CC1_2560 22 April Set 1.md)</t>
        </is>
      </c>
      <c r="O46" s="35" t="inlineStr">
        <is>
          <t>ข้อสอบจริง</t>
        </is>
      </c>
      <c r="P46" s="35" t="inlineStr">
        <is>
          <t>ปี 2560</t>
        </is>
      </c>
    </row>
    <row r="47" ht="13.2" customHeight="1" s="49">
      <c r="A47" s="35" t="n">
        <v>45</v>
      </c>
      <c r="B47" s="34" t="inlineStr">
        <is>
          <t>ยาทา Piroxicam cream จะต้องท้า Specific test ใด</t>
        </is>
      </c>
      <c r="C47" s="35" t="n"/>
      <c r="D47" s="34" t="inlineStr">
        <is>
          <t>Microbial limit test</t>
        </is>
      </c>
      <c r="E47" s="34" t="inlineStr">
        <is>
          <t>Impurity</t>
        </is>
      </c>
      <c r="F47" s="34" t="inlineStr">
        <is>
          <t>Identification</t>
        </is>
      </c>
      <c r="G47" s="34" t="inlineStr">
        <is>
          <t>Assay</t>
        </is>
      </c>
      <c r="H47" s="34" t="inlineStr">
        <is>
          <t>Description</t>
        </is>
      </c>
      <c r="I47" s="35" t="n">
        <v>1</v>
      </c>
      <c r="J47" s="34"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35" t="n"/>
      <c r="L47" s="34" t="inlineStr">
        <is>
          <t>Creams &amp; Ointments</t>
        </is>
      </c>
      <c r="M47" s="35" t="inlineStr">
        <is>
          <t>Product</t>
        </is>
      </c>
      <c r="N47" s="34" t="inlineStr">
        <is>
          <t>ข้อ 9 (PLE_CC1_2560 22 April Set 1.md)</t>
        </is>
      </c>
      <c r="O47" s="35" t="inlineStr">
        <is>
          <t>ข้อสอบจริง</t>
        </is>
      </c>
      <c r="P47" s="35" t="inlineStr">
        <is>
          <t>ปี 2560</t>
        </is>
      </c>
    </row>
    <row r="48" ht="13.2" customHeight="1" s="49">
      <c r="A48" s="35" t="n">
        <v>46</v>
      </c>
      <c r="B48" s="34"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35" t="n"/>
      <c r="D48" s="34" t="inlineStr">
        <is>
          <t>Absorption Ointment base (Lanolin USP)</t>
        </is>
      </c>
      <c r="E48" s="34" t="inlineStr">
        <is>
          <t>Fatty Suppository base (Hard Fat / Witepsol)</t>
        </is>
      </c>
      <c r="F48" s="34" t="inlineStr">
        <is>
          <t>Simple Syrup USP (85% w/v Sucrose)</t>
        </is>
      </c>
      <c r="G48" s="34" t="inlineStr">
        <is>
          <t>Elixir with 10-20% Alcohol cosolvent</t>
        </is>
      </c>
      <c r="H48" s="34" t="inlineStr">
        <is>
          <t>Flocculated Oral Suspension with Xanthan Gum</t>
        </is>
      </c>
      <c r="I48" s="35" t="n">
        <v>1</v>
      </c>
      <c r="J4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35" t="n"/>
      <c r="L48" s="34" t="inlineStr">
        <is>
          <t>Creams &amp; Ointments</t>
        </is>
      </c>
      <c r="M48" s="35" t="inlineStr">
        <is>
          <t>Product</t>
        </is>
      </c>
      <c r="N48" s="34" t="inlineStr">
        <is>
          <t>ข้อ 9 (PLE_CC1_2560 22 April Set 2.md)</t>
        </is>
      </c>
      <c r="O48" s="35" t="inlineStr">
        <is>
          <t>ข้อสอบจริง</t>
        </is>
      </c>
      <c r="P48" s="35" t="inlineStr">
        <is>
          <t>ปี 2560</t>
        </is>
      </c>
    </row>
    <row r="49" ht="13.2" customHeight="1" s="49">
      <c r="A49" s="35" t="n">
        <v>47</v>
      </c>
      <c r="B49" s="34"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35" t="n"/>
      <c r="D49" s="34" t="inlineStr">
        <is>
          <t>0.82 g</t>
        </is>
      </c>
      <c r="E49" s="34" t="inlineStr">
        <is>
          <t>1.00 g</t>
        </is>
      </c>
      <c r="F49" s="34" t="inlineStr">
        <is>
          <t>1.21 g</t>
        </is>
      </c>
      <c r="G49" s="34" t="inlineStr">
        <is>
          <t>4.76 g</t>
        </is>
      </c>
      <c r="H49" s="34" t="inlineStr">
        <is>
          <t>3.92 g ห้ามนำไปทำซ้ำทุกกรณี เว้นแต่จะได้รับอนุญาต</t>
        </is>
      </c>
      <c r="I49" s="35" t="n">
        <v>1</v>
      </c>
      <c r="J49" s="34"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35" t="n"/>
      <c r="L49" s="34" t="inlineStr">
        <is>
          <t>Creams &amp; Ointments</t>
        </is>
      </c>
      <c r="M49" s="35" t="inlineStr">
        <is>
          <t>Product</t>
        </is>
      </c>
      <c r="N49" s="34" t="inlineStr">
        <is>
          <t>ข้อ 67 (PLE_CC1_2559.md)</t>
        </is>
      </c>
      <c r="O49" s="35" t="inlineStr">
        <is>
          <t>ข้อสอบจริง</t>
        </is>
      </c>
      <c r="P49" s="35" t="inlineStr">
        <is>
          <t>ปี 2559</t>
        </is>
      </c>
    </row>
    <row r="50" ht="13.2" customHeight="1" s="49">
      <c r="A50" s="35" t="n">
        <v>48</v>
      </c>
      <c r="B50" s="34" t="inlineStr">
        <is>
          <t>จาก USP 39 กำหนดให้ Prednisolone cream ห้ามมีเชื้อใดในตำรับ</t>
        </is>
      </c>
      <c r="C50" s="35" t="n"/>
      <c r="D50" s="34" t="inlineStr">
        <is>
          <t>Escherichia coli</t>
        </is>
      </c>
      <c r="E50" s="34" t="inlineStr">
        <is>
          <t>Staphylococcus aureus</t>
        </is>
      </c>
      <c r="F50" s="34" t="inlineStr">
        <is>
          <t>Candida albicans</t>
        </is>
      </c>
      <c r="G50" s="34" t="inlineStr">
        <is>
          <t>Pseudomonas aeruginosa</t>
        </is>
      </c>
      <c r="H50" s="34" t="inlineStr">
        <is>
          <t>S. aureus และ P. aeruginosa</t>
        </is>
      </c>
      <c r="I50" s="35" t="n">
        <v>1</v>
      </c>
      <c r="J50" s="34"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35" t="n"/>
      <c r="L50" s="34" t="inlineStr">
        <is>
          <t>Creams &amp; Ointments</t>
        </is>
      </c>
      <c r="M50" s="35" t="inlineStr">
        <is>
          <t>Product</t>
        </is>
      </c>
      <c r="N50" s="34" t="inlineStr">
        <is>
          <t>ข้อ 19 (Pharmtutor_2024_Set1.md)</t>
        </is>
      </c>
      <c r="O50" s="35" t="inlineStr">
        <is>
          <t>Mock</t>
        </is>
      </c>
      <c r="P50" s="35" t="inlineStr">
        <is>
          <t>Mock Pharmtutor 2024</t>
        </is>
      </c>
    </row>
    <row r="51" ht="13.2" customHeight="1" s="49">
      <c r="A51" s="35" t="n">
        <v>49</v>
      </c>
      <c r="B51" s="34" t="inlineStr">
        <is>
          <t>จากข้อมูลข้างต้น หากต้องการเตรียมยาน้ำเพื่อจ่ายให้ผู้ป่วยสำหรับเด็กรับประทาน ควรทำใน dosage form ใด</t>
        </is>
      </c>
      <c r="C51" s="35" t="n"/>
      <c r="D51" s="34" t="inlineStr">
        <is>
          <t>Solutions</t>
        </is>
      </c>
      <c r="E51" s="34" t="inlineStr">
        <is>
          <t>Syrups</t>
        </is>
      </c>
      <c r="F51" s="34" t="inlineStr">
        <is>
          <t>Emulsions</t>
        </is>
      </c>
      <c r="G51" s="34" t="inlineStr">
        <is>
          <t>Suspensions</t>
        </is>
      </c>
      <c r="H51" s="34" t="inlineStr">
        <is>
          <t>Elixir</t>
        </is>
      </c>
      <c r="I51" s="35" t="n">
        <v>1</v>
      </c>
      <c r="J51" s="34"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35" t="n"/>
      <c r="L51" s="34" t="inlineStr">
        <is>
          <t>Solutions, Syrups &amp; Elixirs</t>
        </is>
      </c>
      <c r="M51" s="35" t="inlineStr">
        <is>
          <t>Product</t>
        </is>
      </c>
      <c r="N51" s="34" t="inlineStr">
        <is>
          <t>ข้อ 100 (Pharmtutor_2024_Set1.md)</t>
        </is>
      </c>
      <c r="O51" s="35" t="inlineStr">
        <is>
          <t>Mock</t>
        </is>
      </c>
      <c r="P51" s="35" t="inlineStr">
        <is>
          <t>Mock Pharmtutor 2024</t>
        </is>
      </c>
    </row>
    <row r="52" ht="13.2" customHeight="1" s="49">
      <c r="A52" s="35" t="n">
        <v>50</v>
      </c>
      <c r="B52" s="34" t="inlineStr">
        <is>
          <t>ข้อใดต่อไปนี้ กล่าวไม่ถูกต้องเกี่ยวกับ suspensions</t>
        </is>
      </c>
      <c r="C52" s="35" t="n"/>
      <c r="D52" s="34" t="inlineStr">
        <is>
          <t>Suspensions รูปแบบยาฉีดนิยมให้ทาง IM และ SC</t>
        </is>
      </c>
      <c r="E52" s="34" t="inlineStr">
        <is>
          <t>เหมาะกับผู้ป่วยที่ไม่สามารถกลืนยาเม็ด หรือ แคปซูลได้</t>
        </is>
      </c>
      <c r="F52" s="34" t="inlineStr">
        <is>
          <t>นิยมเตรียมในยาที่ไม่ละลายน้ำ</t>
        </is>
      </c>
      <c r="G52" s="34" t="inlineStr">
        <is>
          <t>ใช้เตรียมยาที่มีรสชาติไม่น่ารับประทาน เพื่อกลบรสชาติของตัวยา</t>
        </is>
      </c>
      <c r="H52" s="34" t="inlineStr">
        <is>
          <t>เป็นรูปแบบ liquid-liquid dispersion</t>
        </is>
      </c>
      <c r="I52" s="35" t="n">
        <v>1</v>
      </c>
      <c r="J52" s="34"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35" t="n"/>
      <c r="L52" s="34" t="inlineStr">
        <is>
          <t>Suspensions</t>
        </is>
      </c>
      <c r="M52" s="35" t="inlineStr">
        <is>
          <t>Product</t>
        </is>
      </c>
      <c r="N52" s="34" t="inlineStr">
        <is>
          <t>ข้อ 108 (Pharmtutor_2024_Set1.md)</t>
        </is>
      </c>
      <c r="O52" s="35" t="inlineStr">
        <is>
          <t>Mock</t>
        </is>
      </c>
      <c r="P52" s="35" t="inlineStr">
        <is>
          <t>Mock Pharmtutor 2024</t>
        </is>
      </c>
    </row>
    <row r="53" ht="13.2" customHeight="1" s="49">
      <c r="A53" s="35" t="n">
        <v>51</v>
      </c>
      <c r="B53" s="34"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35" t="n"/>
      <c r="D53" s="34" t="inlineStr">
        <is>
          <t>Acne</t>
        </is>
      </c>
      <c r="E53" s="34" t="inlineStr">
        <is>
          <t>Irritant contact dermatitis</t>
        </is>
      </c>
      <c r="F53" s="34" t="inlineStr">
        <is>
          <t>Photosensitivity</t>
        </is>
      </c>
      <c r="G53" s="34" t="inlineStr">
        <is>
          <t>Hyperpigmentation</t>
        </is>
      </c>
      <c r="H53" s="34" t="inlineStr">
        <is>
          <t>Peeling skin</t>
        </is>
      </c>
      <c r="I53" s="35" t="n">
        <v>1</v>
      </c>
      <c r="J53" s="34"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35" t="n"/>
      <c r="L53" s="34" t="inlineStr">
        <is>
          <t>Creams &amp; Ointments</t>
        </is>
      </c>
      <c r="M53" s="35" t="inlineStr">
        <is>
          <t>Product</t>
        </is>
      </c>
      <c r="N53" s="34" t="inlineStr">
        <is>
          <t>ข้อ 18 (Pharmtutor_2024_Set2.md)</t>
        </is>
      </c>
      <c r="O53" s="35" t="inlineStr">
        <is>
          <t>Mock</t>
        </is>
      </c>
      <c r="P53" s="35" t="inlineStr">
        <is>
          <t>Mock Pharmtutor 2024</t>
        </is>
      </c>
    </row>
    <row r="54" ht="13.2" customHeight="1" s="49">
      <c r="A54" s="35" t="n">
        <v>52</v>
      </c>
      <c r="B54" s="34" t="inlineStr">
        <is>
          <t>สมุนไพรในข้อใดมีสรรพคุณสำหรับรักษาแผลไฟไหม้ นํ%า ร้อนลวก (1) ยาครีมบัวบก (2) แคปซูลขมิ_x001B_นชัน (3) เจลพริก (4) ยาเถาวัลย์เปรียง (5) ยางจากว่านหางจระเข้</t>
        </is>
      </c>
      <c r="C54" s="35" t="n"/>
      <c r="D54" s="34" t="inlineStr">
        <is>
          <t>Carbopol 940 hydrogel neutralized with Triethanolamine</t>
        </is>
      </c>
      <c r="E54" s="34" t="inlineStr">
        <is>
          <t>Oleaginous Ointment base (White Petrolatum)</t>
        </is>
      </c>
      <c r="F54" s="34" t="inlineStr">
        <is>
          <t>Absorption Ointment base (Lanolin USP)</t>
        </is>
      </c>
      <c r="G54" s="34" t="inlineStr">
        <is>
          <t>Fatty Suppository base (Hard Fat / Witepsol)</t>
        </is>
      </c>
      <c r="H54" s="34" t="inlineStr">
        <is>
          <t>Simple Syrup USP (85% w/v Sucrose)</t>
        </is>
      </c>
      <c r="I54" s="35" t="n">
        <v>1</v>
      </c>
      <c r="J5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35" t="n"/>
      <c r="L54" s="34" t="inlineStr">
        <is>
          <t>Creams &amp; Ointments</t>
        </is>
      </c>
      <c r="M54" s="35" t="inlineStr">
        <is>
          <t>Product</t>
        </is>
      </c>
      <c r="N54" s="34" t="inlineStr">
        <is>
          <t>ข้อ 2 (PLE_CC1_2557.md)</t>
        </is>
      </c>
      <c r="O54" s="35" t="inlineStr">
        <is>
          <t>ข้อสอบจริง</t>
        </is>
      </c>
      <c r="P54" s="35" t="inlineStr">
        <is>
          <t>ปี 2557</t>
        </is>
      </c>
    </row>
    <row r="55" ht="13.2" customHeight="1" s="49">
      <c r="A55" s="35" t="n">
        <v>53</v>
      </c>
      <c r="B55" s="34" t="inlineStr">
        <is>
          <t>หลังทำความสะอาดแผล ผู้ป่วยควรได้รับยาฆ่าเชื%อใด (1) Silver sulfadiazine cream (2) Oxytetracycline ointment (3) Chloramphenicol gel (4) Bacitracin cream (5) Neomycin powder</t>
        </is>
      </c>
      <c r="C55" s="35" t="n"/>
      <c r="D55" s="34" t="inlineStr">
        <is>
          <t>Fatty Suppository base (Hard Fat / Witepsol)</t>
        </is>
      </c>
      <c r="E55" s="34" t="inlineStr">
        <is>
          <t>Simple Syrup USP (85% w/v Sucrose)</t>
        </is>
      </c>
      <c r="F55" s="34" t="inlineStr">
        <is>
          <t>Elixir with 10-20% Alcohol cosolvent</t>
        </is>
      </c>
      <c r="G55" s="34" t="inlineStr">
        <is>
          <t>Flocculated Oral Suspension with Xanthan Gum</t>
        </is>
      </c>
      <c r="H55" s="34" t="inlineStr">
        <is>
          <t>Deflocculated Suspension formulation</t>
        </is>
      </c>
      <c r="I55" s="35" t="n">
        <v>1</v>
      </c>
      <c r="J5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35" t="n"/>
      <c r="L55" s="34" t="inlineStr">
        <is>
          <t>Gels</t>
        </is>
      </c>
      <c r="M55" s="35" t="inlineStr">
        <is>
          <t>Product</t>
        </is>
      </c>
      <c r="N55" s="34" t="inlineStr">
        <is>
          <t>ข้อ 4 (PLE_CC1_2557.md)</t>
        </is>
      </c>
      <c r="O55" s="35" t="inlineStr">
        <is>
          <t>ข้อสอบจริง</t>
        </is>
      </c>
      <c r="P55" s="35" t="inlineStr">
        <is>
          <t>ปี 2557</t>
        </is>
      </c>
    </row>
    <row r="56" ht="13.2" customHeight="1" s="49">
      <c r="A56" s="35" t="n">
        <v>54</v>
      </c>
      <c r="B56" s="34" t="inlineStr">
        <is>
          <t>การพัฒนายา Insulin ให้อยู่ในรูปสารประกอบเชิงซ้อน สามารถใช้สารใด (1) Protamine sulfate (2) Calcium carbonate (3) Triethanolamine (4) Sodium chloride (5) Dextrose</t>
        </is>
      </c>
      <c r="C56" s="35" t="n"/>
      <c r="D56" s="34" t="inlineStr">
        <is>
          <t>Flocculated Oral Suspension with Xanthan Gum</t>
        </is>
      </c>
      <c r="E56" s="34" t="inlineStr">
        <is>
          <t>Deflocculated Suspension formulation</t>
        </is>
      </c>
      <c r="F56" s="34" t="inlineStr">
        <is>
          <t>O/W Emulsion stabilized by Polysorbate 80 / Span 80</t>
        </is>
      </c>
      <c r="G56" s="34" t="inlineStr">
        <is>
          <t>W/O Emulsion with Sorbitan monooleate</t>
        </is>
      </c>
      <c r="H56" s="34" t="inlineStr">
        <is>
          <t>Carbopol 940 hydrogel neutralized with Triethanolamine</t>
        </is>
      </c>
      <c r="I56" s="35" t="n">
        <v>1</v>
      </c>
      <c r="J5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35" t="n"/>
      <c r="L56" s="34" t="inlineStr">
        <is>
          <t>Gels</t>
        </is>
      </c>
      <c r="M56" s="35" t="inlineStr">
        <is>
          <t>Product</t>
        </is>
      </c>
      <c r="N56" s="34" t="inlineStr">
        <is>
          <t>ข้อ 13 (PLE_CC1_2557.md)</t>
        </is>
      </c>
      <c r="O56" s="35" t="inlineStr">
        <is>
          <t>ข้อสอบจริง</t>
        </is>
      </c>
      <c r="P56" s="35" t="inlineStr">
        <is>
          <t>ปี 2557</t>
        </is>
      </c>
    </row>
    <row r="57" ht="13.2" customHeight="1" s="49">
      <c r="A57" s="35" t="n">
        <v>55</v>
      </c>
      <c r="B57" s="34"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สารในข้อใดทำหน้าที_x001E_ Emulsifying agent (1) Stearic acid (2) White wax (3) Triethanolamine (4) Triethanolamin stearate (5) Propylene glycol สถานการณ์ที_x001E_ 6 ผู้ป่วยหญิงไทย อายุ 52 ปี มีพบแพทย์ที_x0003_คลินิกวัยทอง เนื_x0003_องจากมีอาการร้อนวูบวาบ จากการซักประวัติพบว่า ผู้ป่วย เริ_x0003_มมีประจำเดือนขาด ๆ หาย ๆ โดยมาครั_x001B_งล่าสุดเมื_x0003_อ 2 เดือนที_x0003_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และสั_x0003_งจ่ายยา ดังนี_x001B_ Estradiol valerate 2 mg day 1 - 10 Estradiol valerate 2 mg + northisterone 2.5 mg day 11 - 21 Final version | Maximum’2017 Rx30 | Prince of Songkla University</t>
        </is>
      </c>
      <c r="C57" s="35" t="n"/>
      <c r="D57" s="34" t="inlineStr">
        <is>
          <t>W/O Emulsion with Sorbitan monooleate</t>
        </is>
      </c>
      <c r="E57" s="34" t="inlineStr">
        <is>
          <t>Carbopol 940 hydrogel neutralized with Triethanolamine</t>
        </is>
      </c>
      <c r="F57" s="34" t="inlineStr">
        <is>
          <t>Oleaginous Ointment base (White Petrolatum)</t>
        </is>
      </c>
      <c r="G57" s="34" t="inlineStr">
        <is>
          <t>Absorption Ointment base (Lanolin USP)</t>
        </is>
      </c>
      <c r="H57" s="34" t="inlineStr">
        <is>
          <t>Fatty Suppository base (Hard Fat / Witepsol)</t>
        </is>
      </c>
      <c r="I57" s="35" t="n">
        <v>1</v>
      </c>
      <c r="J57" s="34"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35" t="n"/>
      <c r="L57" s="34" t="inlineStr">
        <is>
          <t>Gels</t>
        </is>
      </c>
      <c r="M57" s="35" t="inlineStr">
        <is>
          <t>Product</t>
        </is>
      </c>
      <c r="N57" s="34" t="inlineStr">
        <is>
          <t>ข้อ 39 (PLE_CC1_2557.md)</t>
        </is>
      </c>
      <c r="O57" s="35" t="inlineStr">
        <is>
          <t>ข้อสอบจริง</t>
        </is>
      </c>
      <c r="P57" s="35" t="inlineStr">
        <is>
          <t>ปี 2557</t>
        </is>
      </c>
    </row>
    <row r="58" ht="13.2" customHeight="1" s="49">
      <c r="A58" s="35" t="n">
        <v>56</v>
      </c>
      <c r="B58" s="34" t="inlineStr">
        <is>
          <t>หากผู้ป่วยนำใบสั_x001E_งยาข้างต้นมาซื%อยาที_x001E_โรงพยาบาล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ขนาดอนุภาคเฉลี_x0003_ย 0.05 nm (2) ขนาดอนุภาคเฉลี_x0003_ย 8.00 nm (3) ขนาดอนุภาคเฉลี_x0003_ย 0.70 mcm (4) ขนาดอนุภาคเฉลี_x0003_ย 3.50 mcm (5) ขนาดอนุภาคเฉลี_x0003_ย 11.5 mcm</t>
        </is>
      </c>
      <c r="C58" s="35" t="n"/>
      <c r="D58" s="34" t="inlineStr">
        <is>
          <t>Absorption Ointment base (Lanolin USP)</t>
        </is>
      </c>
      <c r="E58" s="34" t="inlineStr">
        <is>
          <t>Fatty Suppository base (Hard Fat / Witepsol)</t>
        </is>
      </c>
      <c r="F58" s="34" t="inlineStr">
        <is>
          <t>Simple Syrup USP (85% w/v Sucrose)</t>
        </is>
      </c>
      <c r="G58" s="34" t="inlineStr">
        <is>
          <t>Elixir with 10-20% Alcohol cosolvent</t>
        </is>
      </c>
      <c r="H58" s="34" t="inlineStr">
        <is>
          <t>Flocculated Oral Suspension with Xanthan Gum</t>
        </is>
      </c>
      <c r="I58" s="35" t="n">
        <v>1</v>
      </c>
      <c r="J5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35" t="n"/>
      <c r="L58" s="34" t="inlineStr">
        <is>
          <t>Creams &amp; Ointments</t>
        </is>
      </c>
      <c r="M58" s="35" t="inlineStr">
        <is>
          <t>Product</t>
        </is>
      </c>
      <c r="N58" s="34" t="inlineStr">
        <is>
          <t>ข้อ 44 (PLE_CC1_2557.md)</t>
        </is>
      </c>
      <c r="O58" s="35" t="inlineStr">
        <is>
          <t>ข้อสอบจริง</t>
        </is>
      </c>
      <c r="P58" s="35" t="inlineStr">
        <is>
          <t>ปี 2557</t>
        </is>
      </c>
    </row>
    <row r="59" ht="13.2" customHeight="1" s="49">
      <c r="A59" s="35" t="n">
        <v>57</v>
      </c>
      <c r="B59" s="34" t="inlineStr">
        <is>
          <t>การพัฒนาเภสัชภัณฑ์ chloramphenicol ointment มี ปัญหาอย่างไร (1) Chloramphenicol ละลายในนํ_x001B_าได้น้อย (2) Chloramphenicol มีปัญหาด้านความคงตัว (3) Chloramphenicol สามารถถูกดูดซึมทางผิวหนังได้ น้อย (4) Chloramphenicol มีความไม่เข้ากันกับยาพื_x001B_น (5) ???</t>
        </is>
      </c>
      <c r="C59" s="35" t="n"/>
      <c r="D59" s="34" t="inlineStr">
        <is>
          <t>Elixir with 10-20% Alcohol cosolvent</t>
        </is>
      </c>
      <c r="E59" s="34" t="inlineStr">
        <is>
          <t>Flocculated Oral Suspension with Xanthan Gum</t>
        </is>
      </c>
      <c r="F59" s="34" t="inlineStr">
        <is>
          <t>Deflocculated Suspension formulation</t>
        </is>
      </c>
      <c r="G59" s="34" t="inlineStr">
        <is>
          <t>O/W Emulsion stabilized by Polysorbate 80 / Span 80</t>
        </is>
      </c>
      <c r="H59" s="34" t="inlineStr">
        <is>
          <t>W/O Emulsion with Sorbitan monooleate</t>
        </is>
      </c>
      <c r="I59" s="35" t="n">
        <v>1</v>
      </c>
      <c r="J5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35" t="n"/>
      <c r="L59" s="34" t="inlineStr">
        <is>
          <t>Creams &amp; Ointments</t>
        </is>
      </c>
      <c r="M59" s="35" t="inlineStr">
        <is>
          <t>Product</t>
        </is>
      </c>
      <c r="N59" s="34" t="inlineStr">
        <is>
          <t>ข้อ 13 (PLE_CC1_2557.md)</t>
        </is>
      </c>
      <c r="O59" s="35" t="inlineStr">
        <is>
          <t>ข้อสอบจริง</t>
        </is>
      </c>
      <c r="P59" s="35" t="inlineStr">
        <is>
          <t>ปี 2557</t>
        </is>
      </c>
    </row>
    <row r="60" ht="13.2" customHeight="1" s="49">
      <c r="A60" s="35" t="n">
        <v>58</v>
      </c>
      <c r="B60" s="34" t="inlineStr">
        <is>
          <t>หากตำรับ Kaolin &amp; pectin suspension มีตะกอนแข็ง เกิดขึ%นที_x001E_ก้นภาชนะ อาจเกิดจากสาเหตุในข้อใด (1) มีปริมาณ CMC น้อยเกินไป (2) ... จำตัวเลือกไม่ได้ ...</t>
        </is>
      </c>
      <c r="C60" s="35" t="n"/>
      <c r="D60" s="34" t="inlineStr">
        <is>
          <t>O/W Emulsion stabilized by Polysorbate 80 / Span 80</t>
        </is>
      </c>
      <c r="E60" s="34" t="inlineStr">
        <is>
          <t>W/O Emulsion with Sorbitan monooleate</t>
        </is>
      </c>
      <c r="F60" s="34" t="inlineStr">
        <is>
          <t>Carbopol 940 hydrogel neutralized with Triethanolamine</t>
        </is>
      </c>
      <c r="G60" s="34" t="inlineStr">
        <is>
          <t>Oleaginous Ointment base (White Petrolatum)</t>
        </is>
      </c>
      <c r="H60" s="34" t="inlineStr">
        <is>
          <t>Absorption Ointment base (Lanolin USP)</t>
        </is>
      </c>
      <c r="I60" s="35" t="n">
        <v>1</v>
      </c>
      <c r="J6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35" t="n"/>
      <c r="L60" s="34" t="inlineStr">
        <is>
          <t>Suspensions</t>
        </is>
      </c>
      <c r="M60" s="35" t="inlineStr">
        <is>
          <t>Product</t>
        </is>
      </c>
      <c r="N60" s="34" t="inlineStr">
        <is>
          <t>ข้อ 62 (PLE_CC1_2557.md)</t>
        </is>
      </c>
      <c r="O60" s="35" t="inlineStr">
        <is>
          <t>ข้อสอบจริง</t>
        </is>
      </c>
      <c r="P60" s="35" t="inlineStr">
        <is>
          <t>ปี 2557</t>
        </is>
      </c>
    </row>
    <row r="61" ht="13.2" customHeight="1" s="49">
      <c r="A61" s="35" t="n">
        <v>59</v>
      </c>
      <c r="B61" s="34" t="inlineStr">
        <is>
          <t>สารในข้อใด สามารถทำให้ Kaolin &amp; pectin suspension มีรูปแบบการไหลแบบ thixotropic ได้ (1) SCMC (2) Veegum (3) … จำตัวเลือกไม่ได้ ...</t>
        </is>
      </c>
      <c r="C61" s="35" t="n"/>
      <c r="D61" s="34" t="inlineStr">
        <is>
          <t>Oleaginous Ointment base (White Petrolatum)</t>
        </is>
      </c>
      <c r="E61" s="34" t="inlineStr">
        <is>
          <t>Absorption Ointment base (Lanolin USP)</t>
        </is>
      </c>
      <c r="F61" s="34" t="inlineStr">
        <is>
          <t>Fatty Suppository base (Hard Fat / Witepsol)</t>
        </is>
      </c>
      <c r="G61" s="34" t="inlineStr">
        <is>
          <t>Simple Syrup USP (85% w/v Sucrose)</t>
        </is>
      </c>
      <c r="H61" s="34" t="inlineStr">
        <is>
          <t>Elixir with 10-20% Alcohol cosolvent</t>
        </is>
      </c>
      <c r="I61" s="35" t="n">
        <v>1</v>
      </c>
      <c r="J6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35" t="n"/>
      <c r="L61" s="34" t="inlineStr">
        <is>
          <t>Suspensions</t>
        </is>
      </c>
      <c r="M61" s="35" t="inlineStr">
        <is>
          <t>Product</t>
        </is>
      </c>
      <c r="N61" s="34" t="inlineStr">
        <is>
          <t>ข้อ 63 (PLE_CC1_2557.md)</t>
        </is>
      </c>
      <c r="O61" s="35" t="inlineStr">
        <is>
          <t>ข้อสอบจริง</t>
        </is>
      </c>
      <c r="P61" s="35" t="inlineStr">
        <is>
          <t>ปี 2557</t>
        </is>
      </c>
    </row>
    <row r="62" ht="13.2" customHeight="1" s="49">
      <c r="A62" s="35" t="n">
        <v>60</v>
      </c>
      <c r="B62" s="34" t="inlineStr">
        <is>
          <t>ยาอันดับแรกที_x001E_ควรได้รับคือข้อใด (1) Topical tretinoin (2) Clindamycin gel (3) Oral doxycycline (4) Oral isotretinoin (5) Combination contraceptive pills</t>
        </is>
      </c>
      <c r="C62" s="35" t="n"/>
      <c r="D62" s="34" t="inlineStr">
        <is>
          <t>Simple Syrup USP (85% w/v Sucrose)</t>
        </is>
      </c>
      <c r="E62" s="34" t="inlineStr">
        <is>
          <t>Elixir with 10-20% Alcohol cosolvent</t>
        </is>
      </c>
      <c r="F62" s="34" t="inlineStr">
        <is>
          <t>Flocculated Oral Suspension with Xanthan Gum</t>
        </is>
      </c>
      <c r="G62" s="34" t="inlineStr">
        <is>
          <t>Deflocculated Suspension formulation</t>
        </is>
      </c>
      <c r="H62" s="34" t="inlineStr">
        <is>
          <t>O/W Emulsion stabilized by Polysorbate 80 / Span 80</t>
        </is>
      </c>
      <c r="I62" s="35" t="n">
        <v>1</v>
      </c>
      <c r="J6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35" t="n"/>
      <c r="L62" s="34" t="inlineStr">
        <is>
          <t>Gels</t>
        </is>
      </c>
      <c r="M62" s="35" t="inlineStr">
        <is>
          <t>Product</t>
        </is>
      </c>
      <c r="N62" s="34" t="inlineStr">
        <is>
          <t>ข้อ 67 (PLE_CC1_2557.md)</t>
        </is>
      </c>
      <c r="O62" s="35" t="inlineStr">
        <is>
          <t>ข้อสอบจริง</t>
        </is>
      </c>
      <c r="P62" s="35" t="inlineStr">
        <is>
          <t>ปี 2557</t>
        </is>
      </c>
    </row>
    <row r="63" ht="13.2" customHeight="1" s="49">
      <c r="A63" s="35" t="n">
        <v>61</v>
      </c>
      <c r="B63" s="34"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ซึ_x0003_งสามารถโฆษณาต่อประชาชนทั_x0003_วไปได้ (3) สามารถกระทำได้ เพราะยาดังกล่าวจัดเป็นยาบรรจุ เสร็จฯ ซึ_x0003_งสามารถโฆษณาต่อประชาชนทั_x0003_วไปได้ (4) ไม่สามารถกระทำได้ เพราะเป็นการแสดงสรรพคุณยา อันตราย ห้ามโฆษณาต่อประชาชนทั_x0003_วไป (5) ไม่สามารถกระทำได้ เพราะเป็นการแสดงสรรพคุณยา ควบคุมพิเศษ ห้ามโฆษณาต่อประชาชนทั_x0003_วไป</t>
        </is>
      </c>
      <c r="C63" s="35" t="n"/>
      <c r="D63" s="34" t="inlineStr">
        <is>
          <t>Deflocculated Suspension formulation</t>
        </is>
      </c>
      <c r="E63" s="34" t="inlineStr">
        <is>
          <t>O/W Emulsion stabilized by Polysorbate 80 / Span 80</t>
        </is>
      </c>
      <c r="F63" s="34" t="inlineStr">
        <is>
          <t>W/O Emulsion with Sorbitan monooleate</t>
        </is>
      </c>
      <c r="G63" s="34" t="inlineStr">
        <is>
          <t>Carbopol 940 hydrogel neutralized with Triethanolamine</t>
        </is>
      </c>
      <c r="H63" s="34" t="inlineStr">
        <is>
          <t>Oleaginous Ointment base (White Petrolatum)</t>
        </is>
      </c>
      <c r="I63" s="35" t="n">
        <v>1</v>
      </c>
      <c r="J6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35" t="n"/>
      <c r="L63" s="34" t="inlineStr">
        <is>
          <t>Gels</t>
        </is>
      </c>
      <c r="M63" s="35" t="inlineStr">
        <is>
          <t>Product</t>
        </is>
      </c>
      <c r="N63" s="34" t="inlineStr">
        <is>
          <t>ข้อ 74 (PLE_CC1_2557.md)</t>
        </is>
      </c>
      <c r="O63" s="35" t="inlineStr">
        <is>
          <t>ข้อสอบจริง</t>
        </is>
      </c>
      <c r="P63" s="35" t="inlineStr">
        <is>
          <t>ปี 2557</t>
        </is>
      </c>
    </row>
    <row r="64" ht="13.2" customHeight="1" s="49">
      <c r="A64" s="35" t="n">
        <v>62</v>
      </c>
      <c r="B64" s="34" t="inlineStr">
        <is>
          <t>Dexamethasone cream</t>
        </is>
      </c>
      <c r="C64" s="35" t="n"/>
      <c r="D64" s="34" t="inlineStr">
        <is>
          <t>Carbopol 940 hydrogel neutralized with Triethanolamine</t>
        </is>
      </c>
      <c r="E64" s="34" t="inlineStr">
        <is>
          <t>Oleaginous Ointment base (White Petrolatum)</t>
        </is>
      </c>
      <c r="F64" s="34" t="inlineStr">
        <is>
          <t>Absorption Ointment base (Lanolin USP)</t>
        </is>
      </c>
      <c r="G64" s="34" t="inlineStr">
        <is>
          <t>Fatty Suppository base (Hard Fat / Witepsol)</t>
        </is>
      </c>
      <c r="H64" s="34" t="inlineStr">
        <is>
          <t>Simple Syrup USP (85% w/v Sucrose)</t>
        </is>
      </c>
      <c r="I64" s="35" t="n">
        <v>1</v>
      </c>
      <c r="J6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35" t="n"/>
      <c r="L64" s="34" t="inlineStr">
        <is>
          <t>Creams &amp; Ointments</t>
        </is>
      </c>
      <c r="M64" s="35" t="inlineStr">
        <is>
          <t>Product</t>
        </is>
      </c>
      <c r="N64" s="34" t="inlineStr">
        <is>
          <t>ข้อ 4 (PLE_CC1_2556.md)</t>
        </is>
      </c>
      <c r="O64" s="35" t="inlineStr">
        <is>
          <t>ข้อสอบจริง</t>
        </is>
      </c>
      <c r="P64" s="35" t="inlineStr">
        <is>
          <t>ปี 2556</t>
        </is>
      </c>
    </row>
    <row r="65" ht="13.2" customHeight="1" s="49">
      <c r="A65" s="35" t="n">
        <v>63</v>
      </c>
      <c r="B65" s="34"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35" t="n"/>
      <c r="D65" s="34" t="inlineStr">
        <is>
          <t>Immediate type</t>
        </is>
      </c>
      <c r="E65" s="34" t="inlineStr">
        <is>
          <t>Immune complex</t>
        </is>
      </c>
      <c r="F65" s="34" t="inlineStr">
        <is>
          <t>Antibody-dependent cytotoxic</t>
        </is>
      </c>
      <c r="G65" s="34" t="inlineStr">
        <is>
          <t>Delayed type</t>
        </is>
      </c>
      <c r="H65" s="34" t="inlineStr">
        <is>
          <t>Anaphylactic reaction</t>
        </is>
      </c>
      <c r="I65" s="35" t="n">
        <v>1</v>
      </c>
      <c r="J65" s="34"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35" t="n"/>
      <c r="L65" s="34" t="inlineStr">
        <is>
          <t>Gels</t>
        </is>
      </c>
      <c r="M65" s="35" t="inlineStr">
        <is>
          <t>Product</t>
        </is>
      </c>
      <c r="N65" s="34" t="inlineStr">
        <is>
          <t>ข้อ 102 (PLE_CC1_2555 Day 1.md)</t>
        </is>
      </c>
      <c r="O65" s="35" t="inlineStr">
        <is>
          <t>ข้อสอบจริง</t>
        </is>
      </c>
      <c r="P65" s="35" t="inlineStr">
        <is>
          <t>ปี 2555</t>
        </is>
      </c>
    </row>
    <row r="66" ht="13.2" customHeight="1" s="49">
      <c r="A66" s="35" t="n">
        <v>64</v>
      </c>
      <c r="B66" s="34"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35" t="n"/>
      <c r="D66" s="34" t="inlineStr">
        <is>
          <t>Flocculated Oral Suspension with Xanthan Gum</t>
        </is>
      </c>
      <c r="E66" s="34" t="inlineStr">
        <is>
          <t>Deflocculated Suspension formulation</t>
        </is>
      </c>
      <c r="F66" s="34" t="inlineStr">
        <is>
          <t>O/W Emulsion stabilized by Polysorbate 80 / Span 80</t>
        </is>
      </c>
      <c r="G66" s="34" t="inlineStr">
        <is>
          <t>W/O Emulsion with Sorbitan monooleate</t>
        </is>
      </c>
      <c r="H66" s="34" t="inlineStr">
        <is>
          <t>Carbopol 940 hydrogel neutralized with Triethanolamine</t>
        </is>
      </c>
      <c r="I66" s="35" t="n">
        <v>1</v>
      </c>
      <c r="J6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35" t="n"/>
      <c r="L66" s="34" t="inlineStr">
        <is>
          <t>Suspensions</t>
        </is>
      </c>
      <c r="M66" s="35" t="inlineStr">
        <is>
          <t>Product</t>
        </is>
      </c>
      <c r="N66" s="34" t="inlineStr">
        <is>
          <t>ข้อ 7 (PLE_CC1_2555 Day 2.md)</t>
        </is>
      </c>
      <c r="O66" s="35" t="inlineStr">
        <is>
          <t>ข้อสอบจริง</t>
        </is>
      </c>
      <c r="P66" s="35" t="inlineStr">
        <is>
          <t>ปี 2555</t>
        </is>
      </c>
    </row>
    <row r="67" ht="13.2" customHeight="1" s="49">
      <c r="A67" s="35" t="n">
        <v>65</v>
      </c>
      <c r="B67" s="34" t="inlineStr">
        <is>
          <t>MC suspension ทำให้หนืดเมื่อตั้งทิ้งไว้ ไหลได้เมื่อเขย่า เป็นการไหลแบบใด</t>
        </is>
      </c>
      <c r="C67" s="35" t="n"/>
      <c r="D67" s="34" t="inlineStr">
        <is>
          <t>W/O Emulsion with Sorbitan monooleate</t>
        </is>
      </c>
      <c r="E67" s="34" t="inlineStr">
        <is>
          <t>Carbopol 940 hydrogel neutralized with Triethanolamine</t>
        </is>
      </c>
      <c r="F67" s="34" t="inlineStr">
        <is>
          <t>Oleaginous Ointment base (White Petrolatum)</t>
        </is>
      </c>
      <c r="G67" s="34" t="inlineStr">
        <is>
          <t>Absorption Ointment base (Lanolin USP)</t>
        </is>
      </c>
      <c r="H67" s="34" t="inlineStr">
        <is>
          <t>Fatty Suppository base (Hard Fat / Witepsol)</t>
        </is>
      </c>
      <c r="I67" s="35" t="n">
        <v>1</v>
      </c>
      <c r="J6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35" t="n"/>
      <c r="L67" s="34" t="inlineStr">
        <is>
          <t>Suspensions</t>
        </is>
      </c>
      <c r="M67" s="35" t="inlineStr">
        <is>
          <t>Product</t>
        </is>
      </c>
      <c r="N67" s="34" t="inlineStr">
        <is>
          <t>ข้อ 8 (PLE_CC1_2555 Day 2.md)</t>
        </is>
      </c>
      <c r="O67" s="35" t="inlineStr">
        <is>
          <t>ข้อสอบจริง</t>
        </is>
      </c>
      <c r="P67" s="35" t="inlineStr">
        <is>
          <t>ปี 2555</t>
        </is>
      </c>
    </row>
    <row r="68" ht="13.2" customHeight="1" s="49">
      <c r="A68" s="35" t="n">
        <v>66</v>
      </c>
      <c r="B68" s="34" t="inlineStr">
        <is>
          <t>Antihistamine cream</t>
        </is>
      </c>
      <c r="C68" s="35" t="n"/>
      <c r="D68" s="34" t="inlineStr">
        <is>
          <t>Absorption Ointment base (Lanolin USP)</t>
        </is>
      </c>
      <c r="E68" s="34" t="inlineStr">
        <is>
          <t>Fatty Suppository base (Hard Fat / Witepsol)</t>
        </is>
      </c>
      <c r="F68" s="34" t="inlineStr">
        <is>
          <t>Simple Syrup USP (85% w/v Sucrose)</t>
        </is>
      </c>
      <c r="G68" s="34" t="inlineStr">
        <is>
          <t>Elixir with 10-20% Alcohol cosolvent</t>
        </is>
      </c>
      <c r="H68" s="34" t="inlineStr">
        <is>
          <t>Flocculated Oral Suspension with Xanthan Gum</t>
        </is>
      </c>
      <c r="I68" s="35" t="n">
        <v>1</v>
      </c>
      <c r="J6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35" t="n"/>
      <c r="L68" s="34" t="inlineStr">
        <is>
          <t>Creams &amp; Ointments</t>
        </is>
      </c>
      <c r="M68" s="35" t="inlineStr">
        <is>
          <t>Product</t>
        </is>
      </c>
      <c r="N68" s="34" t="inlineStr">
        <is>
          <t>ข้อ 1 (PLE_CC1_2555 Day 2.md)</t>
        </is>
      </c>
      <c r="O68" s="35" t="inlineStr">
        <is>
          <t>ข้อสอบจริง</t>
        </is>
      </c>
      <c r="P68" s="35" t="inlineStr">
        <is>
          <t>ปี 2555</t>
        </is>
      </c>
    </row>
    <row r="69" ht="13.2" customHeight="1" s="49">
      <c r="A69" s="35" t="n">
        <v>67</v>
      </c>
      <c r="B69" s="34" t="inlineStr">
        <is>
          <t>Steroid cream MCQ 1/2555 by CURx69 page 15</t>
        </is>
      </c>
      <c r="C69" s="35" t="n"/>
      <c r="D69" s="34" t="inlineStr">
        <is>
          <t>Elixir with 10-20% Alcohol cosolvent</t>
        </is>
      </c>
      <c r="E69" s="34" t="inlineStr">
        <is>
          <t>Flocculated Oral Suspension with Xanthan Gum</t>
        </is>
      </c>
      <c r="F69" s="34" t="inlineStr">
        <is>
          <t>Deflocculated Suspension formulation</t>
        </is>
      </c>
      <c r="G69" s="34" t="inlineStr">
        <is>
          <t>O/W Emulsion stabilized by Polysorbate 80 / Span 80</t>
        </is>
      </c>
      <c r="H69" s="34" t="inlineStr">
        <is>
          <t>W/O Emulsion with Sorbitan monooleate</t>
        </is>
      </c>
      <c r="I69" s="35" t="n">
        <v>1</v>
      </c>
      <c r="J6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35" t="n"/>
      <c r="L69" s="34" t="inlineStr">
        <is>
          <t>Creams &amp; Ointments</t>
        </is>
      </c>
      <c r="M69" s="35" t="inlineStr">
        <is>
          <t>Product</t>
        </is>
      </c>
      <c r="N69" s="34" t="inlineStr">
        <is>
          <t>ข้อ 4 (PLE_CC1_2555 Day 2.md)</t>
        </is>
      </c>
      <c r="O69" s="35" t="inlineStr">
        <is>
          <t>ข้อสอบจริง</t>
        </is>
      </c>
      <c r="P69" s="35" t="inlineStr">
        <is>
          <t>ปี 2555</t>
        </is>
      </c>
    </row>
    <row r="70" ht="13.2" customHeight="1" s="49">
      <c r="A70" s="35" t="n">
        <v>68</v>
      </c>
      <c r="B70" s="34" t="inlineStr">
        <is>
          <t>หากต้องการ Ointment ที่ล้างออกง่ายควรใช้เบสลักษณะใด</t>
        </is>
      </c>
      <c r="C70" s="35" t="n"/>
      <c r="D70" s="34" t="inlineStr">
        <is>
          <t>O/W Emulsion stabilized by Polysorbate 80 / Span 80</t>
        </is>
      </c>
      <c r="E70" s="34" t="inlineStr">
        <is>
          <t>W/O Emulsion with Sorbitan monooleate</t>
        </is>
      </c>
      <c r="F70" s="34" t="inlineStr">
        <is>
          <t>Carbopol 940 hydrogel neutralized with Triethanolamine</t>
        </is>
      </c>
      <c r="G70" s="34" t="inlineStr">
        <is>
          <t>Oleaginous Ointment base (White Petrolatum)</t>
        </is>
      </c>
      <c r="H70" s="34" t="inlineStr">
        <is>
          <t>Absorption Ointment base (Lanolin USP)</t>
        </is>
      </c>
      <c r="I70" s="35" t="n">
        <v>1</v>
      </c>
      <c r="J7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35" t="n"/>
      <c r="L70" s="34" t="inlineStr">
        <is>
          <t>Creams &amp; Ointments</t>
        </is>
      </c>
      <c r="M70" s="35" t="inlineStr">
        <is>
          <t>Product</t>
        </is>
      </c>
      <c r="N70" s="34" t="inlineStr">
        <is>
          <t>ข้อ 4 (PLE_CC1_2555 Day 2.md)</t>
        </is>
      </c>
      <c r="O70" s="35" t="inlineStr">
        <is>
          <t>ข้อสอบจริง</t>
        </is>
      </c>
      <c r="P70" s="35" t="inlineStr">
        <is>
          <t>ปี 2555</t>
        </is>
      </c>
    </row>
    <row r="71" ht="13.2" customHeight="1" s="49">
      <c r="A71" s="35" t="n">
        <v>69</v>
      </c>
      <c r="B71" s="34"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35" t="n"/>
      <c r="D71" s="34" t="inlineStr">
        <is>
          <t>Oleaginous Ointment base (White Petrolatum)</t>
        </is>
      </c>
      <c r="E71" s="34" t="inlineStr">
        <is>
          <t>Absorption Ointment base (Lanolin USP)</t>
        </is>
      </c>
      <c r="F71" s="34" t="inlineStr">
        <is>
          <t>Fatty Suppository base (Hard Fat / Witepsol)</t>
        </is>
      </c>
      <c r="G71" s="34" t="inlineStr">
        <is>
          <t>Simple Syrup USP (85% w/v Sucrose)</t>
        </is>
      </c>
      <c r="H71" s="34" t="inlineStr">
        <is>
          <t>Elixir with 10-20% Alcohol cosolvent</t>
        </is>
      </c>
      <c r="I71" s="35" t="n">
        <v>1</v>
      </c>
      <c r="J7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35" t="n"/>
      <c r="L71" s="34" t="inlineStr">
        <is>
          <t>Gels</t>
        </is>
      </c>
      <c r="M71" s="35" t="inlineStr">
        <is>
          <t>Product</t>
        </is>
      </c>
      <c r="N71" s="34" t="inlineStr">
        <is>
          <t>ข้อ 2 (PLE_CC1_2555 Day 2.md)</t>
        </is>
      </c>
      <c r="O71" s="35" t="inlineStr">
        <is>
          <t>ข้อสอบจริง</t>
        </is>
      </c>
      <c r="P71" s="35" t="inlineStr">
        <is>
          <t>ปี 2555</t>
        </is>
      </c>
    </row>
    <row r="72" ht="13.2" customHeight="1" s="49">
      <c r="A72" s="35" t="n">
        <v>70</v>
      </c>
      <c r="B72" s="34" t="inlineStr">
        <is>
          <t>สูตรตำรับFeSO4 12.5 mg, Citric acid ...., Paraben 0.1 mg, Syrup to 100 ml ข้อใดถูกต้อง</t>
        </is>
      </c>
      <c r="C72" s="35" t="n"/>
      <c r="D72" s="34" t="inlineStr">
        <is>
          <t>ไม่มีสารแต่งรส</t>
        </is>
      </c>
      <c r="E72" s="34" t="inlineStr">
        <is>
          <t>เก็บในขวดใส</t>
        </is>
      </c>
      <c r="F72" s="34" t="inlineStr">
        <is>
          <t>เก็บในตู้เย็น</t>
        </is>
      </c>
      <c r="G72" s="34" t="inlineStr">
        <is>
          <t>ไม่มี stabilizer</t>
        </is>
      </c>
      <c r="H72" s="34" t="inlineStr">
        <is>
          <t>ปัญหาการละลาย paraben ส่วน FeSO4 ละลายได้ดีในนํ้า</t>
        </is>
      </c>
      <c r="I72" s="35" t="n">
        <v>3</v>
      </c>
      <c r="J72" s="34"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35" t="n"/>
      <c r="L72" s="34" t="inlineStr">
        <is>
          <t>Solutions, Syrups &amp; Elixirs</t>
        </is>
      </c>
      <c r="M72" s="35" t="inlineStr">
        <is>
          <t>Product</t>
        </is>
      </c>
      <c r="N72" s="34" t="inlineStr">
        <is>
          <t>ข้อ 5 (PLE_CC1_2554 SET2.md)</t>
        </is>
      </c>
      <c r="O72" s="35" t="inlineStr">
        <is>
          <t>ข้อสอบจริง</t>
        </is>
      </c>
      <c r="P72" s="35" t="inlineStr">
        <is>
          <t>ปี 2554</t>
        </is>
      </c>
    </row>
    <row r="73" ht="13.2" customHeight="1" s="49">
      <c r="A73" s="35" t="n">
        <v>71</v>
      </c>
      <c r="B73" s="34"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73" s="35" t="n"/>
      <c r="D73" s="34" t="inlineStr">
        <is>
          <t>Deflocculated Suspension formulation</t>
        </is>
      </c>
      <c r="E73" s="34" t="inlineStr">
        <is>
          <t>O/W Emulsion stabilized by Polysorbate 80 / Span 80</t>
        </is>
      </c>
      <c r="F73" s="34" t="inlineStr">
        <is>
          <t>W/O Emulsion with Sorbitan monooleate</t>
        </is>
      </c>
      <c r="G73" s="34" t="inlineStr">
        <is>
          <t>Carbopol 940 hydrogel neutralized with Triethanolamine</t>
        </is>
      </c>
      <c r="H73" s="34" t="inlineStr">
        <is>
          <t>Oleaginous Ointment base (White Petrolatum)</t>
        </is>
      </c>
      <c r="I73" s="35" t="n">
        <v>1</v>
      </c>
      <c r="J7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35" t="n"/>
      <c r="L73" s="34" t="inlineStr">
        <is>
          <t>Gels</t>
        </is>
      </c>
      <c r="M73" s="35" t="inlineStr">
        <is>
          <t>Product</t>
        </is>
      </c>
      <c r="N73" s="34" t="inlineStr">
        <is>
          <t>ข้อ 4 (PLE_CC1_2554 SET2.md)</t>
        </is>
      </c>
      <c r="O73" s="35" t="inlineStr">
        <is>
          <t>ข้อสอบจริง</t>
        </is>
      </c>
      <c r="P73" s="35" t="inlineStr">
        <is>
          <t>ปี 2554</t>
        </is>
      </c>
    </row>
    <row r="74" ht="13.2" customHeight="1" s="49">
      <c r="A74" s="35" t="n">
        <v>72</v>
      </c>
      <c r="B74" s="34"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35" t="n"/>
      <c r="D74" s="34" t="inlineStr">
        <is>
          <t>Carbopol 940 hydrogel neutralized with Triethanolamine</t>
        </is>
      </c>
      <c r="E74" s="34" t="inlineStr">
        <is>
          <t>Oleaginous Ointment base (White Petrolatum)</t>
        </is>
      </c>
      <c r="F74" s="34" t="inlineStr">
        <is>
          <t>Absorption Ointment base (Lanolin USP)</t>
        </is>
      </c>
      <c r="G74" s="34" t="inlineStr">
        <is>
          <t>Fatty Suppository base (Hard Fat / Witepsol)</t>
        </is>
      </c>
      <c r="H74" s="34" t="inlineStr">
        <is>
          <t>Simple Syrup USP (85% w/v Sucrose)</t>
        </is>
      </c>
      <c r="I74" s="35" t="n">
        <v>3</v>
      </c>
      <c r="J74" s="34"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35" t="n"/>
      <c r="L74" s="34" t="inlineStr">
        <is>
          <t>Suspensions</t>
        </is>
      </c>
      <c r="M74" s="35" t="inlineStr">
        <is>
          <t>Product</t>
        </is>
      </c>
      <c r="N74" s="34" t="inlineStr">
        <is>
          <t>ข้อ 6 (PLE_CC1_2554 SET2.md)</t>
        </is>
      </c>
      <c r="O74" s="35" t="inlineStr">
        <is>
          <t>ข้อสอบจริง</t>
        </is>
      </c>
      <c r="P74" s="35" t="inlineStr">
        <is>
          <t>ปี 2554</t>
        </is>
      </c>
    </row>
    <row r="75" ht="13.2" customHeight="1" s="49">
      <c r="A75" s="35" t="n">
        <v>73</v>
      </c>
      <c r="B75" s="34"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35" t="n"/>
      <c r="D75" s="34" t="inlineStr">
        <is>
          <t>Fatty Suppository base (Hard Fat / Witepsol)</t>
        </is>
      </c>
      <c r="E75" s="34" t="inlineStr">
        <is>
          <t>Simple Syrup USP (85% w/v Sucrose)</t>
        </is>
      </c>
      <c r="F75" s="34" t="inlineStr">
        <is>
          <t>Elixir with 10-20% Alcohol cosolvent</t>
        </is>
      </c>
      <c r="G75" s="34" t="inlineStr">
        <is>
          <t>Flocculated Oral Suspension with Xanthan Gum</t>
        </is>
      </c>
      <c r="H75" s="34" t="inlineStr">
        <is>
          <t>Deflocculated Suspension formulation</t>
        </is>
      </c>
      <c r="I75" s="35" t="n">
        <v>1</v>
      </c>
      <c r="J7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35" t="n"/>
      <c r="L75" s="34" t="inlineStr">
        <is>
          <t>Gels</t>
        </is>
      </c>
      <c r="M75" s="35" t="inlineStr">
        <is>
          <t>Product</t>
        </is>
      </c>
      <c r="N75" s="34" t="inlineStr">
        <is>
          <t>ข้อ 2 (PLE_CC1_2533.md)</t>
        </is>
      </c>
      <c r="O75" s="35" t="inlineStr">
        <is>
          <t>ข้อสอบจริง</t>
        </is>
      </c>
      <c r="P75" s="35" t="inlineStr">
        <is>
          <t>ปี 2533</t>
        </is>
      </c>
    </row>
    <row r="76" ht="13.2" customHeight="1" s="49">
      <c r="A76" s="35" t="n">
        <v>74</v>
      </c>
      <c r="B76" s="34" t="inlineStr">
        <is>
          <t>vitamin E , D , K ในตำรับ emulsion</t>
        </is>
      </c>
      <c r="C76" s="35" t="n"/>
      <c r="D76" s="34" t="inlineStr">
        <is>
          <t>Flocculated Oral Suspension with Xanthan Gum</t>
        </is>
      </c>
      <c r="E76" s="34" t="inlineStr">
        <is>
          <t>Deflocculated Suspension formulation</t>
        </is>
      </c>
      <c r="F76" s="34" t="inlineStr">
        <is>
          <t>O/W Emulsion stabilized by Polysorbate 80 / Span 80</t>
        </is>
      </c>
      <c r="G76" s="34" t="inlineStr">
        <is>
          <t>W/O Emulsion with Sorbitan monooleate</t>
        </is>
      </c>
      <c r="H76" s="34" t="inlineStr">
        <is>
          <t>Carbopol 940 hydrogel neutralized with Triethanolamine</t>
        </is>
      </c>
      <c r="I76" s="35" t="n">
        <v>1</v>
      </c>
      <c r="J7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35" t="n"/>
      <c r="L76" s="34" t="inlineStr">
        <is>
          <t>Emulsions</t>
        </is>
      </c>
      <c r="M76" s="35" t="inlineStr">
        <is>
          <t>Product</t>
        </is>
      </c>
      <c r="N76" s="34" t="inlineStr">
        <is>
          <t>ข้อ 1 (PLE_CC1_2533.md)</t>
        </is>
      </c>
      <c r="O76" s="35" t="inlineStr">
        <is>
          <t>ข้อสอบจริง</t>
        </is>
      </c>
      <c r="P76" s="35" t="inlineStr">
        <is>
          <t>ปี 2533</t>
        </is>
      </c>
    </row>
    <row r="77" ht="13.2" customHeight="1" s="49">
      <c r="A77" s="35" t="n">
        <v>75</v>
      </c>
      <c r="B77" s="34"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35" t="n"/>
      <c r="D77" s="34" t="inlineStr">
        <is>
          <t>W/O Emulsion with Sorbitan monooleate</t>
        </is>
      </c>
      <c r="E77" s="34" t="inlineStr">
        <is>
          <t>Carbopol 940 hydrogel neutralized with Triethanolamine</t>
        </is>
      </c>
      <c r="F77" s="34" t="inlineStr">
        <is>
          <t>Oleaginous Ointment base (White Petrolatum)</t>
        </is>
      </c>
      <c r="G77" s="34" t="inlineStr">
        <is>
          <t>Absorption Ointment base (Lanolin USP)</t>
        </is>
      </c>
      <c r="H77" s="34" t="inlineStr">
        <is>
          <t>Fatty Suppository base (Hard Fat / Witepsol)</t>
        </is>
      </c>
      <c r="I77" s="35" t="n">
        <v>1</v>
      </c>
      <c r="J7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35" t="n"/>
      <c r="L77" s="34" t="inlineStr">
        <is>
          <t>Suspensions</t>
        </is>
      </c>
      <c r="M77" s="35" t="inlineStr">
        <is>
          <t>Product</t>
        </is>
      </c>
      <c r="N77" s="34" t="inlineStr">
        <is>
          <t>ข้อ 5 (PLE_CC1_2533.md)</t>
        </is>
      </c>
      <c r="O77" s="35" t="inlineStr">
        <is>
          <t>ข้อสอบจริง</t>
        </is>
      </c>
      <c r="P77" s="35" t="inlineStr">
        <is>
          <t>ปี 2533</t>
        </is>
      </c>
    </row>
    <row r="78" ht="13.2" customHeight="1" s="49">
      <c r="A78" s="35" t="n">
        <v>76</v>
      </c>
      <c r="B78" s="34"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35" t="n"/>
      <c r="D78" s="34" t="inlineStr">
        <is>
          <t>ไม่เหมาะสม เนื่องจากยา clindamycin ต้องใช้รักษาสิววันละครั้ง ก่อนนอนเท่านั้น</t>
        </is>
      </c>
      <c r="E78" s="34" t="inlineStr">
        <is>
          <t>ไม่เหมาะสม เนื่องจากการใช้ยา clindamycin เป็นยาเดี่ยวจะทำให้ดื้อยาได้ ต้องใช้คู่กับ antibiotic แบบรับประทานด้วย</t>
        </is>
      </c>
      <c r="F78" s="34" t="inlineStr">
        <is>
          <t>ไม่เหมาะสม เนื่องจากการใช้ยา clindamycin เป็นยาเดี่ยวจะทำให้ดื้อยาได้ ต้องใช้คู่กับ benzoyl peroxide</t>
        </is>
      </c>
      <c r="G78" s="34"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34" t="inlineStr">
        <is>
          <t>เหมาะสม เนื่องจากการใช้ clindamycin gel จะทำป้องกันการกลับมาเป็นสิวซ้ำได้ ถ้าใช้เป็นระยะ เวลานาน</t>
        </is>
      </c>
      <c r="I78" s="35" t="n">
        <v>1</v>
      </c>
      <c r="J78" s="34"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35" t="n"/>
      <c r="L78" s="34" t="inlineStr">
        <is>
          <t>Gels</t>
        </is>
      </c>
      <c r="M78" s="35" t="inlineStr">
        <is>
          <t>Product</t>
        </is>
      </c>
      <c r="N78" s="34" t="inlineStr">
        <is>
          <t>ข้อ 5 (PLE_CC1_Practice_Exam.md)</t>
        </is>
      </c>
      <c r="O78" s="35" t="inlineStr">
        <is>
          <t>Mock</t>
        </is>
      </c>
      <c r="P78" s="35" t="inlineStr">
        <is>
          <t>Mock สภาเภสัชฯ Practice</t>
        </is>
      </c>
    </row>
    <row r="79" ht="13.2" customHeight="1" s="49">
      <c r="A79" s="35" t="n">
        <v>77</v>
      </c>
      <c r="B79" s="34"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35" t="n"/>
      <c r="D79" s="34" t="inlineStr">
        <is>
          <t>B&gt;C&gt;D&gt;A</t>
        </is>
      </c>
      <c r="E79" s="34" t="inlineStr">
        <is>
          <t>D&gt;B&gt;C&gt;A</t>
        </is>
      </c>
      <c r="F79" s="34" t="inlineStr">
        <is>
          <t>C&gt;D&gt;B&gt;A</t>
        </is>
      </c>
      <c r="G79" s="34" t="inlineStr">
        <is>
          <t>C&gt;B&gt;D&gt;A</t>
        </is>
      </c>
      <c r="H79" s="34" t="inlineStr">
        <is>
          <t>D&gt;C&gt;B&gt;A</t>
        </is>
      </c>
      <c r="I79" s="35" t="n">
        <v>1</v>
      </c>
      <c r="J79" s="34"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35" t="n"/>
      <c r="L79" s="34" t="inlineStr">
        <is>
          <t>Creams &amp; Ointments</t>
        </is>
      </c>
      <c r="M79" s="35" t="inlineStr">
        <is>
          <t>Product</t>
        </is>
      </c>
      <c r="N79" s="34" t="inlineStr">
        <is>
          <t>ข้อ 31 (PLE_CC1_Practice_Exam.md)</t>
        </is>
      </c>
      <c r="O79" s="35" t="inlineStr">
        <is>
          <t>Mock</t>
        </is>
      </c>
      <c r="P79" s="35" t="inlineStr">
        <is>
          <t>Mock สภาเภสัชฯ Practice</t>
        </is>
      </c>
    </row>
    <row r="80" ht="13.2" customHeight="1" s="49">
      <c r="A80" s="35" t="n">
        <v>78</v>
      </c>
      <c r="B80" s="34"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35" t="n"/>
      <c r="D80" s="34" t="inlineStr">
        <is>
          <t>Glycerin</t>
        </is>
      </c>
      <c r="E80" s="34" t="inlineStr">
        <is>
          <t>Silicones</t>
        </is>
      </c>
      <c r="F80" s="34" t="inlineStr">
        <is>
          <t>Propylene glycol</t>
        </is>
      </c>
      <c r="G80" s="34" t="inlineStr">
        <is>
          <t>Mineral oil</t>
        </is>
      </c>
      <c r="H80" s="34" t="inlineStr">
        <is>
          <t>Soft soap containing alcohol</t>
        </is>
      </c>
      <c r="I80" s="35" t="n">
        <v>1</v>
      </c>
      <c r="J80" s="34"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35" t="n"/>
      <c r="L80" s="34" t="inlineStr">
        <is>
          <t>Gels</t>
        </is>
      </c>
      <c r="M80" s="35" t="inlineStr">
        <is>
          <t>Product</t>
        </is>
      </c>
      <c r="N80" s="34" t="inlineStr">
        <is>
          <t>ข้อ 24 (PLE_CC1_Practice_Exam.md)</t>
        </is>
      </c>
      <c r="O80" s="35" t="inlineStr">
        <is>
          <t>Mock</t>
        </is>
      </c>
      <c r="P80" s="35" t="inlineStr">
        <is>
          <t>Mock สภาเภสัชฯ Practice</t>
        </is>
      </c>
    </row>
    <row r="81" ht="13.2" customHeight="1" s="49">
      <c r="A81" s="35" t="n">
        <v>79</v>
      </c>
      <c r="B81" s="34" t="inlineStr">
        <is>
          <t>เภสัชภัณฑ์รูปแบบของเหลว (Liquid dosage form) โดย</t>
        </is>
      </c>
      <c r="C81" s="35" t="n"/>
      <c r="D81" s="34" t="inlineStr">
        <is>
          <t>Oleaginous Ointment base (White Petrolatum)</t>
        </is>
      </c>
      <c r="E81" s="34" t="inlineStr">
        <is>
          <t>Absorption Ointment base (Lanolin USP)</t>
        </is>
      </c>
      <c r="F81" s="34" t="inlineStr">
        <is>
          <t>Fatty Suppository base (Hard Fat / Witepsol)</t>
        </is>
      </c>
      <c r="G81" s="34" t="inlineStr">
        <is>
          <t>Simple Syrup USP (85% w/v Sucrose)</t>
        </is>
      </c>
      <c r="H81" s="34" t="inlineStr">
        <is>
          <t>Elixir with 10-20% Alcohol cosolvent</t>
        </is>
      </c>
      <c r="I81" s="35" t="n">
        <v>1</v>
      </c>
      <c r="J8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35" t="n"/>
      <c r="L81" s="34" t="inlineStr">
        <is>
          <t>Solutions, Syrups &amp; Elixirs</t>
        </is>
      </c>
      <c r="M81" s="35" t="inlineStr">
        <is>
          <t>Product</t>
        </is>
      </c>
      <c r="N81" s="34" t="inlineStr">
        <is>
          <t>ข้อ 14 (PLE_CC1_Practice_Exam.md)</t>
        </is>
      </c>
      <c r="O81" s="35" t="inlineStr">
        <is>
          <t>Mock</t>
        </is>
      </c>
      <c r="P81" s="35" t="inlineStr">
        <is>
          <t>Mock สภาเภสัชฯ Practice</t>
        </is>
      </c>
    </row>
    <row r="82" ht="13.2" customHeight="1" s="49">
      <c r="A82" s="35" t="n">
        <v>80</v>
      </c>
      <c r="B82" s="34"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82" s="35" t="n"/>
      <c r="D82" s="34" t="inlineStr">
        <is>
          <t>Simple Syrup USP (85% w/v Sucrose)</t>
        </is>
      </c>
      <c r="E82" s="34" t="inlineStr">
        <is>
          <t>Elixir with 10-20% Alcohol cosolvent</t>
        </is>
      </c>
      <c r="F82" s="34" t="inlineStr">
        <is>
          <t>Flocculated Oral Suspension with Xanthan Gum</t>
        </is>
      </c>
      <c r="G82" s="34" t="inlineStr">
        <is>
          <t>Deflocculated Suspension formulation</t>
        </is>
      </c>
      <c r="H82" s="34" t="inlineStr">
        <is>
          <t>O/W Emulsion stabilized by Polysorbate 80 / Span 80</t>
        </is>
      </c>
      <c r="I82" s="35" t="n">
        <v>1</v>
      </c>
      <c r="J8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35" t="n"/>
      <c r="L82" s="34" t="inlineStr">
        <is>
          <t>Emulsions</t>
        </is>
      </c>
      <c r="M82" s="35" t="inlineStr">
        <is>
          <t>Product</t>
        </is>
      </c>
      <c r="N82" s="34" t="inlineStr">
        <is>
          <t>ข้อ 1 (PLE_CC1_Practice_Exam.md)</t>
        </is>
      </c>
      <c r="O82" s="35" t="inlineStr">
        <is>
          <t>Mock</t>
        </is>
      </c>
      <c r="P82" s="35" t="inlineStr">
        <is>
          <t>Mock สภาเภสัชฯ Practice</t>
        </is>
      </c>
    </row>
    <row r="83" ht="13.2" customHeight="1" s="49">
      <c r="A83" s="35" t="n">
        <v>81</v>
      </c>
      <c r="B83" s="34" t="inlineStr">
        <is>
          <t>Zinc Cream BP Rx Zinc Oxide, Finely sifted 320 g Calcium Hydroxide 0.45 g Oleic acid 5 ml Arachis oil 320 ml Wool Fat 80 g Purified water q.s. 100 ml จากสูตรตำรับข้างต้นข้อความใดต่อไปนี้ถูกต้อง</t>
        </is>
      </c>
      <c r="C83" s="35" t="n"/>
      <c r="D83" s="34" t="inlineStr">
        <is>
          <t>Deflocculated Suspension formulation</t>
        </is>
      </c>
      <c r="E83" s="34" t="inlineStr">
        <is>
          <t>O/W Emulsion stabilized by Polysorbate 80 / Span 80</t>
        </is>
      </c>
      <c r="F83" s="34" t="inlineStr">
        <is>
          <t>W/O Emulsion with Sorbitan monooleate</t>
        </is>
      </c>
      <c r="G83" s="34" t="inlineStr">
        <is>
          <t>Carbopol 940 hydrogel neutralized with Triethanolamine</t>
        </is>
      </c>
      <c r="H83" s="34" t="inlineStr">
        <is>
          <t>Oleaginous Ointment base (White Petrolatum)</t>
        </is>
      </c>
      <c r="I83" s="35" t="n">
        <v>1</v>
      </c>
      <c r="J8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35" t="n"/>
      <c r="L83" s="34" t="inlineStr">
        <is>
          <t>Creams &amp; Ointments</t>
        </is>
      </c>
      <c r="M83" s="35" t="inlineStr">
        <is>
          <t>Product</t>
        </is>
      </c>
      <c r="N83" s="34" t="inlineStr">
        <is>
          <t>ข้อ 4 (PLE_CC1_Practice_Exam.md)</t>
        </is>
      </c>
      <c r="O83" s="35" t="inlineStr">
        <is>
          <t>Mock</t>
        </is>
      </c>
      <c r="P83" s="35" t="inlineStr">
        <is>
          <t>Mock สภาเภสัชฯ Practice</t>
        </is>
      </c>
    </row>
    <row r="84" ht="13.2" customHeight="1" s="49">
      <c r="A84" s="35" t="n">
        <v>82</v>
      </c>
      <c r="B84" s="34" t="inlineStr">
        <is>
          <t>สูตรตำรับข้างต้นเป็นครีมชนิดน้ำในน้ำมัน</t>
        </is>
      </c>
      <c r="C84" s="35" t="n"/>
      <c r="D84" s="34" t="inlineStr">
        <is>
          <t>Carbopol 940 hydrogel neutralized with Triethanolamine</t>
        </is>
      </c>
      <c r="E84" s="34" t="inlineStr">
        <is>
          <t>Oleaginous Ointment base (White Petrolatum)</t>
        </is>
      </c>
      <c r="F84" s="34" t="inlineStr">
        <is>
          <t>Absorption Ointment base (Lanolin USP)</t>
        </is>
      </c>
      <c r="G84" s="34" t="inlineStr">
        <is>
          <t>Fatty Suppository base (Hard Fat / Witepsol)</t>
        </is>
      </c>
      <c r="H84" s="34" t="inlineStr">
        <is>
          <t>Simple Syrup USP (85% w/v Sucrose)</t>
        </is>
      </c>
      <c r="I84" s="35" t="n">
        <v>1</v>
      </c>
      <c r="J8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35" t="n"/>
      <c r="L84" s="34" t="inlineStr">
        <is>
          <t>Creams &amp; Ointments</t>
        </is>
      </c>
      <c r="M84" s="35" t="inlineStr">
        <is>
          <t>Product</t>
        </is>
      </c>
      <c r="N84" s="34" t="inlineStr">
        <is>
          <t>ข้อ 2 (PLE_CC1_Practice_Exam.md)</t>
        </is>
      </c>
      <c r="O84" s="35" t="inlineStr">
        <is>
          <t>Mock</t>
        </is>
      </c>
      <c r="P84" s="35" t="inlineStr">
        <is>
          <t>Mock สภาเภสัชฯ Practice</t>
        </is>
      </c>
    </row>
    <row r="85" ht="13.2" customHeight="1" s="49">
      <c r="A85" s="35" t="n">
        <v>83</v>
      </c>
      <c r="B85" s="34" t="inlineStr">
        <is>
          <t>จากสูตรตำรับข้างต้นเป็นการใช้ยาพื้นขี้ผึ้ง (Ointment base) แบบใด</t>
        </is>
      </c>
      <c r="C85" s="35" t="n"/>
      <c r="D85" s="34" t="inlineStr">
        <is>
          <t>ยาพื้นชนิดเป็นมัน</t>
        </is>
      </c>
      <c r="E85" s="34" t="inlineStr">
        <is>
          <t>ยาพื้นชนิดดูดน้ำได้</t>
        </is>
      </c>
      <c r="F85" s="34" t="inlineStr">
        <is>
          <t>ยาพื้นอิมัลชันชนิด w/o</t>
        </is>
      </c>
      <c r="G85" s="34" t="inlineStr">
        <is>
          <t>ยาพื้นอิมัลชันชนิด o/w</t>
        </is>
      </c>
      <c r="H85" s="34" t="inlineStr">
        <is>
          <t>ยาพื้นชนิดละลายน้ำได้ 27.ข้อใดเป็นยาพื้นขี้ผึ้งชนิด Absorption base</t>
        </is>
      </c>
      <c r="I85" s="35" t="n">
        <v>1</v>
      </c>
      <c r="J85" s="34"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35" t="n"/>
      <c r="L85" s="34" t="inlineStr">
        <is>
          <t>Creams &amp; Ointments</t>
        </is>
      </c>
      <c r="M85" s="35" t="inlineStr">
        <is>
          <t>Product</t>
        </is>
      </c>
      <c r="N85" s="34" t="inlineStr">
        <is>
          <t>ข้อ 26 (PLE_CC1_Practice_Exam.md)</t>
        </is>
      </c>
      <c r="O85" s="35" t="inlineStr">
        <is>
          <t>Mock</t>
        </is>
      </c>
      <c r="P85" s="35" t="inlineStr">
        <is>
          <t>Mock สภาเภสัชฯ Practice</t>
        </is>
      </c>
    </row>
    <row r="86" ht="13.2" customHeight="1" s="49">
      <c r="A86" s="35" t="n">
        <v>84</v>
      </c>
      <c r="B86" s="34" t="inlineStr">
        <is>
          <t>ยาเพสต์มีตัวยาที่เป็นของแข็งมากกว่า และมีเนื้อหยาบกว่ายาขี้ผึ้ง</t>
        </is>
      </c>
      <c r="C86" s="35" t="n"/>
      <c r="D86" s="34" t="inlineStr">
        <is>
          <t>Flocculated Oral Suspension with Xanthan Gum</t>
        </is>
      </c>
      <c r="E86" s="34" t="inlineStr">
        <is>
          <t>Deflocculated Suspension formulation</t>
        </is>
      </c>
      <c r="F86" s="34" t="inlineStr">
        <is>
          <t>O/W Emulsion stabilized by Polysorbate 80 / Span 80</t>
        </is>
      </c>
      <c r="G86" s="34" t="inlineStr">
        <is>
          <t>W/O Emulsion with Sorbitan monooleate</t>
        </is>
      </c>
      <c r="H86" s="34" t="inlineStr">
        <is>
          <t>Carbopol 940 hydrogel neutralized with Triethanolamine</t>
        </is>
      </c>
      <c r="I86" s="35" t="n">
        <v>1</v>
      </c>
      <c r="J8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35" t="n"/>
      <c r="L86" s="34" t="inlineStr">
        <is>
          <t>Creams &amp; Ointments</t>
        </is>
      </c>
      <c r="M86" s="35" t="inlineStr">
        <is>
          <t>Product</t>
        </is>
      </c>
      <c r="N86" s="34" t="inlineStr">
        <is>
          <t>ข้อ 1 (PLE_CC1_Practice_Exam.md)</t>
        </is>
      </c>
      <c r="O86" s="35" t="inlineStr">
        <is>
          <t>Mock</t>
        </is>
      </c>
      <c r="P86" s="35" t="inlineStr">
        <is>
          <t>Mock สภาเภสัชฯ Practice</t>
        </is>
      </c>
    </row>
    <row r="87" ht="13.2" customHeight="1" s="49">
      <c r="A87" s="35" t="n">
        <v>85</v>
      </c>
      <c r="B87" s="34" t="inlineStr">
        <is>
          <t>ยาเพสต์มีความมันมากกว่ายาขี้ผึ้ง เพราะมีปริมาณ base มากกว่า</t>
        </is>
      </c>
      <c r="C87" s="35" t="n"/>
      <c r="D87" s="34" t="inlineStr">
        <is>
          <t>ข้อ 1, 2 ถูก</t>
        </is>
      </c>
      <c r="E87" s="34" t="inlineStr">
        <is>
          <t>ข้อ 1, 3 ถูก</t>
        </is>
      </c>
      <c r="F87" s="34" t="inlineStr">
        <is>
          <t>ข้อ 1, 3, 4 ถูก</t>
        </is>
      </c>
      <c r="G87" s="34" t="inlineStr">
        <is>
          <t>ข้อ 2, 3, 5 ถูก</t>
        </is>
      </c>
      <c r="H87" s="34" t="inlineStr">
        <is>
          <t>ไม่มีข้อใดผิด ยาขี้ผึ้งโดยยานั้นเป็นขี้ผึ้งชนิดใด</t>
        </is>
      </c>
      <c r="I87" s="35" t="n">
        <v>1</v>
      </c>
      <c r="J87" s="34"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35" t="n"/>
      <c r="L87" s="34" t="inlineStr">
        <is>
          <t>Creams &amp; Ointments</t>
        </is>
      </c>
      <c r="M87" s="35" t="inlineStr">
        <is>
          <t>Product</t>
        </is>
      </c>
      <c r="N87" s="34" t="inlineStr">
        <is>
          <t>ข้อ 5 (PLE_CC1_Practice_Exam.md)</t>
        </is>
      </c>
      <c r="O87" s="35" t="inlineStr">
        <is>
          <t>Mock</t>
        </is>
      </c>
      <c r="P87" s="35" t="inlineStr">
        <is>
          <t>Mock สภาเภสัชฯ Practice</t>
        </is>
      </c>
    </row>
    <row r="88" ht="13.2" customHeight="1" s="49">
      <c r="A88" s="35" t="n">
        <v>86</v>
      </c>
      <c r="B88" s="34"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88" s="35" t="n"/>
      <c r="D88" s="34" t="inlineStr">
        <is>
          <t>ผิดเนื่องจาก ยาเพสต์ไม่เหมาะกับผิวหนังที่มีผม หรือขนมากๆ เนื่องจากล้างออกยาก</t>
        </is>
      </c>
      <c r="E88" s="34"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34" t="inlineStr">
        <is>
          <t>ตำรับยาเพสต์ เหมาะกับแผลที่มีน้ำเหลือง เนื่องจากผงยาจำนวนมากสามารถดูดซับของเหลวออกจากแผล ได้ดี</t>
        </is>
      </c>
      <c r="G88" s="34" t="inlineStr">
        <is>
          <t>ยาขี้ผึ้งมีลักษณะไหลเยิ้มมากกว่ายาเพลสต์</t>
        </is>
      </c>
      <c r="H88" s="34" t="inlineStr">
        <is>
          <t>ครีมเป็นระบบอิมัลชันที่มีความคงตัวทางกายภาพสูง</t>
        </is>
      </c>
      <c r="I88" s="35" t="n">
        <v>1</v>
      </c>
      <c r="J88" s="34"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35" t="n"/>
      <c r="L88" s="34" t="inlineStr">
        <is>
          <t>Emulsions</t>
        </is>
      </c>
      <c r="M88" s="35" t="inlineStr">
        <is>
          <t>Product</t>
        </is>
      </c>
      <c r="N88" s="34" t="inlineStr">
        <is>
          <t>ข้อ 1 (PLE_CC1_Practice_Exam.md)</t>
        </is>
      </c>
      <c r="O88" s="35" t="inlineStr">
        <is>
          <t>Mock</t>
        </is>
      </c>
      <c r="P88" s="35" t="inlineStr">
        <is>
          <t>Mock สภาเภสัชฯ Practice</t>
        </is>
      </c>
    </row>
    <row r="89" ht="13.2" customHeight="1" s="49">
      <c r="A89" s="35" t="n">
        <v>87</v>
      </c>
      <c r="B89" s="34" t="inlineStr">
        <is>
          <t>Aristocortห (0.02% Triamcinolone acetonide cream) เภสัชกรร้านยาสามารถจ่ายโดยไม่มีใบสั่งยา ได้หรือไม่</t>
        </is>
      </c>
      <c r="C89" s="35" t="n"/>
      <c r="D89" s="34" t="inlineStr">
        <is>
          <t>ไม่ได้ เนื่องจากเป็นยาควบคุมพิเศษ</t>
        </is>
      </c>
      <c r="E89" s="34" t="inlineStr">
        <is>
          <t>ไม่ได้ เนื่องจากเป็นยาจำหน่ายเฉพาะในโรงพยาบาล</t>
        </is>
      </c>
      <c r="F89" s="34" t="inlineStr">
        <is>
          <t>ได้ เนื่องจากเป็นยาแผนปัจจุบันชนิดใช้เฉพาะที่</t>
        </is>
      </c>
      <c r="G89" s="34" t="inlineStr">
        <is>
          <t>ได้ เนื่องจากเป็นยาทาที่ไม่เป็นอันตราย</t>
        </is>
      </c>
      <c r="H89" s="34" t="inlineStr">
        <is>
          <t>ได้ เนื่องจากเป็นยาอันตราย 377 นิติเภสัชกรรม</t>
        </is>
      </c>
      <c r="I89" s="35" t="n">
        <v>1</v>
      </c>
      <c r="J89" s="34"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35" t="n"/>
      <c r="L89" s="34" t="inlineStr">
        <is>
          <t>Creams &amp; Ointments</t>
        </is>
      </c>
      <c r="M89" s="35" t="inlineStr">
        <is>
          <t>Product</t>
        </is>
      </c>
      <c r="N89" s="34" t="inlineStr">
        <is>
          <t>ข้อ 36 (PLE_CC1_Practice_Exam.md)</t>
        </is>
      </c>
      <c r="O89" s="35" t="inlineStr">
        <is>
          <t>Mock</t>
        </is>
      </c>
      <c r="P89" s="35" t="inlineStr">
        <is>
          <t>Mock สภาเภสัชฯ Practice</t>
        </is>
      </c>
    </row>
    <row r="90" ht="13.2" customHeight="1" s="49">
      <c r="A90" s="35" t="n">
        <v>88</v>
      </c>
      <c r="B90" s="34"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35" t="n"/>
      <c r="D90" s="34" t="inlineStr">
        <is>
          <t>O/W Emulsion stabilized by Polysorbate 80 / Span 80</t>
        </is>
      </c>
      <c r="E90" s="34" t="inlineStr">
        <is>
          <t>W/O Emulsion with Sorbitan monooleate</t>
        </is>
      </c>
      <c r="F90" s="34" t="inlineStr">
        <is>
          <t>Carbopol 940 hydrogel neutralized with Triethanolamine</t>
        </is>
      </c>
      <c r="G90" s="34" t="inlineStr">
        <is>
          <t>Oleaginous Ointment base (White Petrolatum)</t>
        </is>
      </c>
      <c r="H90" s="34" t="inlineStr">
        <is>
          <t>Absorption Ointment base (Lanolin USP)</t>
        </is>
      </c>
      <c r="I90" s="35" t="n">
        <v>1</v>
      </c>
      <c r="J9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35" t="n"/>
      <c r="L90" s="34" t="inlineStr">
        <is>
          <t>Emulsions</t>
        </is>
      </c>
      <c r="M90" s="35" t="inlineStr">
        <is>
          <t>Product</t>
        </is>
      </c>
      <c r="N90" s="34" t="inlineStr">
        <is>
          <t>ข้อ 60 (PLE_CC1_Key_Rx20_UBU.md)</t>
        </is>
      </c>
      <c r="O90" s="35" t="inlineStr">
        <is>
          <t>Mock</t>
        </is>
      </c>
      <c r="P90" s="35" t="inlineStr">
        <is>
          <t>Mock Rx20 UBU</t>
        </is>
      </c>
    </row>
    <row r="91" ht="13.2" customHeight="1" s="49">
      <c r="A91" s="35" t="n">
        <v>89</v>
      </c>
      <c r="B91" s="34"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35" t="n"/>
      <c r="D91" s="34" t="inlineStr">
        <is>
          <t>Oleaginous Ointment base (White Petrolatum)</t>
        </is>
      </c>
      <c r="E91" s="34" t="inlineStr">
        <is>
          <t>Absorption Ointment base (Lanolin USP)</t>
        </is>
      </c>
      <c r="F91" s="34" t="inlineStr">
        <is>
          <t>Fatty Suppository base (Hard Fat / Witepsol)</t>
        </is>
      </c>
      <c r="G91" s="34" t="inlineStr">
        <is>
          <t>Simple Syrup USP (85% w/v Sucrose)</t>
        </is>
      </c>
      <c r="H91" s="34" t="inlineStr">
        <is>
          <t>Elixir with 10-20% Alcohol cosolvent</t>
        </is>
      </c>
      <c r="I91" s="35" t="n">
        <v>5</v>
      </c>
      <c r="J9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35" t="n"/>
      <c r="L91" s="34" t="inlineStr">
        <is>
          <t>Emulsions</t>
        </is>
      </c>
      <c r="M91" s="35" t="inlineStr">
        <is>
          <t>Product</t>
        </is>
      </c>
      <c r="N91" s="34" t="inlineStr">
        <is>
          <t>ข้อ 5 (PLE_CC1_Key_Rx20_UBU.md)</t>
        </is>
      </c>
      <c r="O91" s="35" t="inlineStr">
        <is>
          <t>Mock</t>
        </is>
      </c>
      <c r="P91" s="35" t="inlineStr">
        <is>
          <t>Mock Rx20 UBU</t>
        </is>
      </c>
    </row>
    <row r="92" ht="13.2" customHeight="1" s="49">
      <c r="A92" s="35" t="n">
        <v>90</v>
      </c>
      <c r="B92" s="34" t="inlineStr">
        <is>
          <t>Triethanolamine ทำหน้าที่เป็น Preservative</t>
        </is>
      </c>
      <c r="C92" s="35" t="n"/>
      <c r="D92" s="34" t="inlineStr">
        <is>
          <t>Simple Syrup USP (85% w/v Sucrose)</t>
        </is>
      </c>
      <c r="E92" s="34" t="inlineStr">
        <is>
          <t>Elixir with 10-20% Alcohol cosolvent</t>
        </is>
      </c>
      <c r="F92" s="34" t="inlineStr">
        <is>
          <t>Flocculated Oral Suspension with Xanthan Gum</t>
        </is>
      </c>
      <c r="G92" s="34" t="inlineStr">
        <is>
          <t>Deflocculated Suspension formulation</t>
        </is>
      </c>
      <c r="H92" s="34" t="inlineStr">
        <is>
          <t>O/W Emulsion stabilized by Polysorbate 80 / Span 80</t>
        </is>
      </c>
      <c r="I92" s="35" t="n">
        <v>1</v>
      </c>
      <c r="J9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35" t="n"/>
      <c r="L92" s="34" t="inlineStr">
        <is>
          <t>Gels</t>
        </is>
      </c>
      <c r="M92" s="35" t="inlineStr">
        <is>
          <t>Product</t>
        </is>
      </c>
      <c r="N92" s="34" t="inlineStr">
        <is>
          <t>ข้อ 4 (PLE_CC1_Key_Rx20_UBU.md)</t>
        </is>
      </c>
      <c r="O92" s="35" t="inlineStr">
        <is>
          <t>Mock</t>
        </is>
      </c>
      <c r="P92" s="35" t="inlineStr">
        <is>
          <t>Mock Rx20 UBU</t>
        </is>
      </c>
    </row>
    <row r="93" ht="13.2" customHeight="1" s="49">
      <c r="A93" s="35" t="n">
        <v>91</v>
      </c>
      <c r="B93" s="34" t="inlineStr">
        <is>
          <t>มี gelatin เป็นส่วนประกอบ</t>
        </is>
      </c>
      <c r="C93" s="35" t="n"/>
      <c r="D93" s="34" t="inlineStr">
        <is>
          <t>Deflocculated Suspension formulation</t>
        </is>
      </c>
      <c r="E93" s="34" t="inlineStr">
        <is>
          <t>O/W Emulsion stabilized by Polysorbate 80 / Span 80</t>
        </is>
      </c>
      <c r="F93" s="34" t="inlineStr">
        <is>
          <t>W/O Emulsion with Sorbitan monooleate</t>
        </is>
      </c>
      <c r="G93" s="34" t="inlineStr">
        <is>
          <t>Carbopol 940 hydrogel neutralized with Triethanolamine</t>
        </is>
      </c>
      <c r="H93" s="34" t="inlineStr">
        <is>
          <t>Oleaginous Ointment base (White Petrolatum)</t>
        </is>
      </c>
      <c r="I93" s="35" t="n">
        <v>1</v>
      </c>
      <c r="J9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35" t="n"/>
      <c r="L93" s="34" t="inlineStr">
        <is>
          <t>Gels</t>
        </is>
      </c>
      <c r="M93" s="35" t="inlineStr">
        <is>
          <t>Product</t>
        </is>
      </c>
      <c r="N93" s="34" t="inlineStr">
        <is>
          <t>ข้อ 1 (PLE_CC1_Key_Rx20_UBU.md)</t>
        </is>
      </c>
      <c r="O93" s="35" t="inlineStr">
        <is>
          <t>Mock</t>
        </is>
      </c>
      <c r="P93" s="35" t="inlineStr">
        <is>
          <t>Mock Rx20 UBU</t>
        </is>
      </c>
    </row>
    <row r="94" ht="13.2" customHeight="1" s="49">
      <c r="A94" s="35" t="n">
        <v>92</v>
      </c>
      <c r="B94" s="34" t="inlineStr">
        <is>
          <t>Whitfield’s Ointment</t>
        </is>
      </c>
      <c r="C94" s="35" t="n"/>
      <c r="D94" s="34" t="inlineStr">
        <is>
          <t>Carbopol 940 hydrogel neutralized with Triethanolamine</t>
        </is>
      </c>
      <c r="E94" s="34" t="inlineStr">
        <is>
          <t>Oleaginous Ointment base (White Petrolatum)</t>
        </is>
      </c>
      <c r="F94" s="34" t="inlineStr">
        <is>
          <t>Absorption Ointment base (Lanolin USP)</t>
        </is>
      </c>
      <c r="G94" s="34" t="inlineStr">
        <is>
          <t>Fatty Suppository base (Hard Fat / Witepsol)</t>
        </is>
      </c>
      <c r="H94" s="34" t="inlineStr">
        <is>
          <t>Simple Syrup USP (85% w/v Sucrose)</t>
        </is>
      </c>
      <c r="I94" s="35" t="n">
        <v>1</v>
      </c>
      <c r="J9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35" t="n"/>
      <c r="L94" s="34" t="inlineStr">
        <is>
          <t>Creams &amp; Ointments</t>
        </is>
      </c>
      <c r="M94" s="35" t="inlineStr">
        <is>
          <t>Product</t>
        </is>
      </c>
      <c r="N94" s="34" t="inlineStr">
        <is>
          <t>ข้อ 3 (PLE_CC1_Key_Rx20_UBU.md)</t>
        </is>
      </c>
      <c r="O94" s="35" t="inlineStr">
        <is>
          <t>Mock</t>
        </is>
      </c>
      <c r="P94" s="35" t="inlineStr">
        <is>
          <t>Mock Rx20 UBU</t>
        </is>
      </c>
    </row>
    <row r="95" ht="13.2" customHeight="1" s="49">
      <c r="A95" s="35" t="n">
        <v>93</v>
      </c>
      <c r="B95" s="34" t="inlineStr">
        <is>
          <t>หากต้องการ Ointment ที่ล้างออกง่ายควรใช้เบสลักษณะใด</t>
        </is>
      </c>
      <c r="C95" s="35" t="n"/>
      <c r="D95" s="34" t="inlineStr">
        <is>
          <t>Fatty Suppository base (Hard Fat / Witepsol)</t>
        </is>
      </c>
      <c r="E95" s="34" t="inlineStr">
        <is>
          <t>Simple Syrup USP (85% w/v Sucrose)</t>
        </is>
      </c>
      <c r="F95" s="34" t="inlineStr">
        <is>
          <t>Elixir with 10-20% Alcohol cosolvent</t>
        </is>
      </c>
      <c r="G95" s="34" t="inlineStr">
        <is>
          <t>Flocculated Oral Suspension with Xanthan Gum</t>
        </is>
      </c>
      <c r="H95" s="34" t="inlineStr">
        <is>
          <t>Deflocculated Suspension formulation</t>
        </is>
      </c>
      <c r="I95" s="35" t="n">
        <v>1</v>
      </c>
      <c r="J9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35" t="n"/>
      <c r="L95" s="34" t="inlineStr">
        <is>
          <t>Creams &amp; Ointments</t>
        </is>
      </c>
      <c r="M95" s="35" t="inlineStr">
        <is>
          <t>Product</t>
        </is>
      </c>
      <c r="N95" s="34" t="inlineStr">
        <is>
          <t>ข้อ 4 (PLE_CC1_Key_Rx20_UBU.md)</t>
        </is>
      </c>
      <c r="O95" s="35" t="inlineStr">
        <is>
          <t>Mock</t>
        </is>
      </c>
      <c r="P95" s="35" t="inlineStr">
        <is>
          <t>Mock Rx20 UBU</t>
        </is>
      </c>
    </row>
    <row r="96" ht="13.2" customHeight="1" s="49">
      <c r="A96" s="35" t="n">
        <v>94</v>
      </c>
      <c r="B96" s="34"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35" t="n"/>
      <c r="D96" s="34" t="inlineStr">
        <is>
          <t>Flocculated Oral Suspension with Xanthan Gum</t>
        </is>
      </c>
      <c r="E96" s="34" t="inlineStr">
        <is>
          <t>Deflocculated Suspension formulation</t>
        </is>
      </c>
      <c r="F96" s="34" t="inlineStr">
        <is>
          <t>O/W Emulsion stabilized by Polysorbate 80 / Span 80</t>
        </is>
      </c>
      <c r="G96" s="34" t="inlineStr">
        <is>
          <t>W/O Emulsion with Sorbitan monooleate</t>
        </is>
      </c>
      <c r="H96" s="34" t="inlineStr">
        <is>
          <t>Carbopol 940 hydrogel neutralized with Triethanolamine</t>
        </is>
      </c>
      <c r="I96" s="35" t="n">
        <v>1</v>
      </c>
      <c r="J9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35" t="n"/>
      <c r="L96" s="34" t="inlineStr">
        <is>
          <t>Gels</t>
        </is>
      </c>
      <c r="M96" s="35" t="inlineStr">
        <is>
          <t>Product</t>
        </is>
      </c>
      <c r="N96" s="34" t="inlineStr">
        <is>
          <t>ข้อ 2 (PLE_CC1_Key_Rx20_UBU.md)</t>
        </is>
      </c>
      <c r="O96" s="35" t="inlineStr">
        <is>
          <t>Mock</t>
        </is>
      </c>
      <c r="P96" s="35" t="inlineStr">
        <is>
          <t>Mock Rx20 UBU</t>
        </is>
      </c>
    </row>
    <row r="97" ht="13.2" customHeight="1" s="49">
      <c r="A97" s="35" t="n">
        <v>95</v>
      </c>
      <c r="B97" s="34" t="inlineStr">
        <is>
          <t>เปลี่ยนเป็นยาครีม</t>
        </is>
      </c>
      <c r="C97" s="35" t="n"/>
      <c r="D97" s="34" t="inlineStr">
        <is>
          <t>W/O Emulsion with Sorbitan monooleate</t>
        </is>
      </c>
      <c r="E97" s="34" t="inlineStr">
        <is>
          <t>Carbopol 940 hydrogel neutralized with Triethanolamine</t>
        </is>
      </c>
      <c r="F97" s="34" t="inlineStr">
        <is>
          <t>Oleaginous Ointment base (White Petrolatum)</t>
        </is>
      </c>
      <c r="G97" s="34" t="inlineStr">
        <is>
          <t>Absorption Ointment base (Lanolin USP)</t>
        </is>
      </c>
      <c r="H97" s="34" t="inlineStr">
        <is>
          <t>Fatty Suppository base (Hard Fat / Witepsol)</t>
        </is>
      </c>
      <c r="I97" s="35" t="n">
        <v>1</v>
      </c>
      <c r="J9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35" t="n"/>
      <c r="L97" s="34" t="inlineStr">
        <is>
          <t>Creams &amp; Ointments</t>
        </is>
      </c>
      <c r="M97" s="35" t="inlineStr">
        <is>
          <t>Product</t>
        </is>
      </c>
      <c r="N97" s="34" t="inlineStr">
        <is>
          <t>ข้อ 3 (PLE_CC1_Key_Rx20_UBU.md)</t>
        </is>
      </c>
      <c r="O97" s="35" t="inlineStr">
        <is>
          <t>Mock</t>
        </is>
      </c>
      <c r="P97" s="35" t="inlineStr">
        <is>
          <t>Mock Rx20 UBU</t>
        </is>
      </c>
    </row>
    <row r="98" ht="13.2" customHeight="1" s="49">
      <c r="A98" s="35" t="n">
        <v>96</v>
      </c>
      <c r="B98" s="34"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35" t="n"/>
      <c r="D98" s="34" t="inlineStr">
        <is>
          <t>Absorption Ointment base (Lanolin USP)</t>
        </is>
      </c>
      <c r="E98" s="34" t="inlineStr">
        <is>
          <t>Fatty Suppository base (Hard Fat / Witepsol)</t>
        </is>
      </c>
      <c r="F98" s="34" t="inlineStr">
        <is>
          <t>Simple Syrup USP (85% w/v Sucrose)</t>
        </is>
      </c>
      <c r="G98" s="34" t="inlineStr">
        <is>
          <t>Elixir with 10-20% Alcohol cosolvent</t>
        </is>
      </c>
      <c r="H98" s="34" t="inlineStr">
        <is>
          <t>Flocculated Oral Suspension with Xanthan Gum</t>
        </is>
      </c>
      <c r="I98" s="35" t="n">
        <v>1</v>
      </c>
      <c r="J9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35" t="n"/>
      <c r="L98" s="34" t="inlineStr">
        <is>
          <t>Gels</t>
        </is>
      </c>
      <c r="M98" s="35" t="inlineStr">
        <is>
          <t>Product</t>
        </is>
      </c>
      <c r="N98" s="34" t="inlineStr">
        <is>
          <t>ข้อ 89 (PLE_CC1_Key_Rx20_UBU.md)</t>
        </is>
      </c>
      <c r="O98" s="35" t="inlineStr">
        <is>
          <t>Mock</t>
        </is>
      </c>
      <c r="P98" s="35" t="inlineStr">
        <is>
          <t>Mock Rx20 UBU</t>
        </is>
      </c>
    </row>
    <row r="99" ht="13.2" customHeight="1" s="49">
      <c r="A99" s="35" t="n">
        <v>97</v>
      </c>
      <c r="B99" s="34" t="inlineStr">
        <is>
          <t>การเติมสาร antioxidant เพื่อเพิ่มความคงตัวของตัวยาของตำรับ gel vaginal ที่มี carbopol ในส่วนของ aqueous phase system ควรเลือกสารในข้อใด</t>
        </is>
      </c>
      <c r="C99" s="35" t="n"/>
      <c r="D99" s="34" t="inlineStr">
        <is>
          <t>BHP</t>
        </is>
      </c>
      <c r="E99" s="34" t="inlineStr">
        <is>
          <t>BHP + Citric acid</t>
        </is>
      </c>
      <c r="F99" s="34" t="inlineStr">
        <is>
          <t>BHP + Sodium metabisulfite</t>
        </is>
      </c>
      <c r="G99" s="34" t="inlineStr">
        <is>
          <t>O/W Emulsion stabilized by Polysorbate 80 / Span 80</t>
        </is>
      </c>
      <c r="H99" s="34" t="inlineStr">
        <is>
          <t>W/O Emulsion with Sorbitan monooleate</t>
        </is>
      </c>
      <c r="I99" s="35" t="n">
        <v>1</v>
      </c>
      <c r="J99" s="34"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35" t="n"/>
      <c r="L99" s="34" t="inlineStr">
        <is>
          <t>Gels</t>
        </is>
      </c>
      <c r="M99" s="35" t="inlineStr">
        <is>
          <t>Product</t>
        </is>
      </c>
      <c r="N99" s="34" t="inlineStr">
        <is>
          <t>ข้อ 90 (PLE_CC1_Key_Rx20_UBU.md)</t>
        </is>
      </c>
      <c r="O99" s="35" t="inlineStr">
        <is>
          <t>Mock</t>
        </is>
      </c>
      <c r="P99" s="35" t="inlineStr">
        <is>
          <t>Mock Rx20 UBU</t>
        </is>
      </c>
    </row>
    <row r="100" ht="13.2" customHeight="1" s="49">
      <c r="A100" s="35" t="n">
        <v>98</v>
      </c>
      <c r="B100" s="34" t="inlineStr">
        <is>
          <t>Ascorbic acid + Ascorbate palmitate ตัวนี้ไ่ม่เกิดการทำปฏิกิริยากับสารก่อ gel คือ Carbopol</t>
        </is>
      </c>
      <c r="C100" s="35" t="n"/>
      <c r="D100" s="34" t="inlineStr">
        <is>
          <t>O/W Emulsion stabilized by Polysorbate 80 / Span 80</t>
        </is>
      </c>
      <c r="E100" s="34" t="inlineStr">
        <is>
          <t>W/O Emulsion with Sorbitan monooleate</t>
        </is>
      </c>
      <c r="F100" s="34" t="inlineStr">
        <is>
          <t>Carbopol 940 hydrogel neutralized with Triethanolamine</t>
        </is>
      </c>
      <c r="G100" s="34" t="inlineStr">
        <is>
          <t>Oleaginous Ointment base (White Petrolatum)</t>
        </is>
      </c>
      <c r="H100" s="34" t="inlineStr">
        <is>
          <t>Absorption Ointment base (Lanolin USP)</t>
        </is>
      </c>
      <c r="I100" s="35" t="n">
        <v>4</v>
      </c>
      <c r="J100" s="34"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35" t="n"/>
      <c r="L100" s="34" t="inlineStr">
        <is>
          <t>Gels</t>
        </is>
      </c>
      <c r="M100" s="35" t="inlineStr">
        <is>
          <t>Product</t>
        </is>
      </c>
      <c r="N100" s="34" t="inlineStr">
        <is>
          <t>ข้อ 5 (PLE_CC1_Key_Rx20_UBU.md)</t>
        </is>
      </c>
      <c r="O100" s="35" t="inlineStr">
        <is>
          <t>Mock</t>
        </is>
      </c>
      <c r="P100" s="35" t="inlineStr">
        <is>
          <t>Mock Rx20 UBU</t>
        </is>
      </c>
    </row>
    <row r="101" ht="13.2" customHeight="1" s="49">
      <c r="A101" s="35" t="n">
        <v>99</v>
      </c>
      <c r="B101" s="34" t="inlineStr">
        <is>
          <t>Ketoconazole cream</t>
        </is>
      </c>
      <c r="C101" s="35" t="n"/>
      <c r="D101" s="34" t="inlineStr">
        <is>
          <t>Oleaginous Ointment base (White Petrolatum)</t>
        </is>
      </c>
      <c r="E101" s="34" t="inlineStr">
        <is>
          <t>Absorption Ointment base (Lanolin USP)</t>
        </is>
      </c>
      <c r="F101" s="34" t="inlineStr">
        <is>
          <t>Fatty Suppository base (Hard Fat / Witepsol)</t>
        </is>
      </c>
      <c r="G101" s="34" t="inlineStr">
        <is>
          <t>Simple Syrup USP (85% w/v Sucrose)</t>
        </is>
      </c>
      <c r="H101" s="34" t="inlineStr">
        <is>
          <t>Elixir with 10-20% Alcohol cosolvent</t>
        </is>
      </c>
      <c r="I101" s="35" t="n">
        <v>1</v>
      </c>
      <c r="J10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35" t="n"/>
      <c r="L101" s="34" t="inlineStr">
        <is>
          <t>Creams &amp; Ointments</t>
        </is>
      </c>
      <c r="M101" s="35" t="inlineStr">
        <is>
          <t>Product</t>
        </is>
      </c>
      <c r="N101" s="34" t="inlineStr">
        <is>
          <t>ข้อ 1 (PLE_CC1_Key_Rx20_UBU.md)</t>
        </is>
      </c>
      <c r="O101" s="35" t="inlineStr">
        <is>
          <t>Mock</t>
        </is>
      </c>
      <c r="P101" s="35" t="inlineStr">
        <is>
          <t>Mock Rx20 UBU</t>
        </is>
      </c>
    </row>
    <row r="102" ht="13.2" customHeight="1" s="49">
      <c r="A102" s="35" t="n">
        <v>100</v>
      </c>
      <c r="B102" s="34" t="inlineStr">
        <is>
          <t>tretinoic acid cream</t>
        </is>
      </c>
      <c r="C102" s="35" t="n"/>
      <c r="D102" s="34" t="inlineStr">
        <is>
          <t>Simple Syrup USP (85% w/v Sucrose)</t>
        </is>
      </c>
      <c r="E102" s="34" t="inlineStr">
        <is>
          <t>Elixir with 10-20% Alcohol cosolvent</t>
        </is>
      </c>
      <c r="F102" s="34" t="inlineStr">
        <is>
          <t>Flocculated Oral Suspension with Xanthan Gum</t>
        </is>
      </c>
      <c r="G102" s="34" t="inlineStr">
        <is>
          <t>Deflocculated Suspension formulation</t>
        </is>
      </c>
      <c r="H102" s="34" t="inlineStr">
        <is>
          <t>O/W Emulsion stabilized by Polysorbate 80 / Span 80</t>
        </is>
      </c>
      <c r="I102" s="35" t="n">
        <v>1</v>
      </c>
      <c r="J10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35" t="n"/>
      <c r="L102" s="34" t="inlineStr">
        <is>
          <t>Creams &amp; Ointments</t>
        </is>
      </c>
      <c r="M102" s="35" t="inlineStr">
        <is>
          <t>Product</t>
        </is>
      </c>
      <c r="N102" s="34" t="inlineStr">
        <is>
          <t>ข้อ 4 (PLE_CC1_Key_Rx20_UBU.md)</t>
        </is>
      </c>
      <c r="O102" s="35" t="inlineStr">
        <is>
          <t>Mock</t>
        </is>
      </c>
      <c r="P102" s="35" t="inlineStr">
        <is>
          <t>Mock Rx20 UBU</t>
        </is>
      </c>
    </row>
    <row r="103" ht="13.2" customHeight="1" s="49">
      <c r="A103" s="35" t="n">
        <v>101</v>
      </c>
      <c r="B103" s="34" t="inlineStr">
        <is>
          <t>Betamethasone dipropionate cream</t>
        </is>
      </c>
      <c r="C103" s="35" t="n"/>
      <c r="D103" s="34" t="inlineStr">
        <is>
          <t>Acetretin = x</t>
        </is>
      </c>
      <c r="E103" s="34" t="inlineStr">
        <is>
          <t>MTX = x</t>
        </is>
      </c>
      <c r="F103" s="34" t="inlineStr">
        <is>
          <t>W/O Emulsion with Sorbitan monooleate</t>
        </is>
      </c>
      <c r="G103" s="34" t="inlineStr">
        <is>
          <t>Carbopol 940 hydrogel neutralized with Triethanolamine</t>
        </is>
      </c>
      <c r="H103" s="34" t="inlineStr">
        <is>
          <t>Oleaginous Ointment base (White Petrolatum)</t>
        </is>
      </c>
      <c r="I103" s="35" t="n">
        <v>2</v>
      </c>
      <c r="J103" s="34"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35" t="n"/>
      <c r="L103" s="34" t="inlineStr">
        <is>
          <t>Creams &amp; Ointments</t>
        </is>
      </c>
      <c r="M103" s="35" t="inlineStr">
        <is>
          <t>Product</t>
        </is>
      </c>
      <c r="N103" s="34" t="inlineStr">
        <is>
          <t>ข้อ 5 (PLE_CC1_Key_Rx20_UBU.md)</t>
        </is>
      </c>
      <c r="O103" s="35" t="inlineStr">
        <is>
          <t>Mock</t>
        </is>
      </c>
      <c r="P103" s="35" t="inlineStr">
        <is>
          <t>Mock Rx20 UBU</t>
        </is>
      </c>
    </row>
    <row r="104" ht="13.2" customHeight="1" s="49">
      <c r="A104" s="35" t="n">
        <v>102</v>
      </c>
      <c r="B104" s="34" t="inlineStr">
        <is>
          <t>tretinoic acid cream = x</t>
        </is>
      </c>
      <c r="C104" s="35" t="n"/>
      <c r="D104" s="34" t="inlineStr">
        <is>
          <t>Carbopol 940 hydrogel neutralized with Triethanolamine</t>
        </is>
      </c>
      <c r="E104" s="34" t="inlineStr">
        <is>
          <t>Oleaginous Ointment base (White Petrolatum)</t>
        </is>
      </c>
      <c r="F104" s="34" t="inlineStr">
        <is>
          <t>Absorption Ointment base (Lanolin USP)</t>
        </is>
      </c>
      <c r="G104" s="34" t="inlineStr">
        <is>
          <t>Fatty Suppository base (Hard Fat / Witepsol)</t>
        </is>
      </c>
      <c r="H104" s="34" t="inlineStr">
        <is>
          <t>Simple Syrup USP (85% w/v Sucrose)</t>
        </is>
      </c>
      <c r="I104" s="35" t="n">
        <v>1</v>
      </c>
      <c r="J104" s="34"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35" t="n"/>
      <c r="L104" s="34" t="inlineStr">
        <is>
          <t>Creams &amp; Ointments</t>
        </is>
      </c>
      <c r="M104" s="35" t="inlineStr">
        <is>
          <t>Product</t>
        </is>
      </c>
      <c r="N104" s="34" t="inlineStr">
        <is>
          <t>ข้อ 4 (PLE_CC1_Key_Rx20_UBU.md)</t>
        </is>
      </c>
      <c r="O104" s="35" t="inlineStr">
        <is>
          <t>Mock</t>
        </is>
      </c>
      <c r="P104" s="35" t="inlineStr">
        <is>
          <t>Mock Rx20 UBU</t>
        </is>
      </c>
    </row>
    <row r="105" ht="13.2" customHeight="1" s="49">
      <c r="A105" s="35" t="n">
        <v>103</v>
      </c>
      <c r="B105" s="34" t="inlineStr">
        <is>
          <t>Betamethasone dipropionate cream = C</t>
        </is>
      </c>
      <c r="C105" s="35" t="n"/>
      <c r="D105" s="34" t="inlineStr">
        <is>
          <t>Fatty Suppository base (Hard Fat / Witepsol)</t>
        </is>
      </c>
      <c r="E105" s="34" t="inlineStr">
        <is>
          <t>Simple Syrup USP (85% w/v Sucrose)</t>
        </is>
      </c>
      <c r="F105" s="34" t="inlineStr">
        <is>
          <t>Elixir with 10-20% Alcohol cosolvent</t>
        </is>
      </c>
      <c r="G105" s="34" t="inlineStr">
        <is>
          <t>Flocculated Oral Suspension with Xanthan Gum</t>
        </is>
      </c>
      <c r="H105" s="34" t="inlineStr">
        <is>
          <t>Deflocculated Suspension formulation</t>
        </is>
      </c>
      <c r="I105" s="35" t="n">
        <v>1</v>
      </c>
      <c r="J10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35" t="n"/>
      <c r="L105" s="34" t="inlineStr">
        <is>
          <t>Creams &amp; Ointments</t>
        </is>
      </c>
      <c r="M105" s="35" t="inlineStr">
        <is>
          <t>Product</t>
        </is>
      </c>
      <c r="N105" s="34" t="inlineStr">
        <is>
          <t>ข้อ 5 (PLE_CC1_Key_Rx20_UBU.md)</t>
        </is>
      </c>
      <c r="O105" s="35" t="inlineStr">
        <is>
          <t>Mock</t>
        </is>
      </c>
      <c r="P105" s="35" t="inlineStr">
        <is>
          <t>Mock Rx20 UBU</t>
        </is>
      </c>
    </row>
    <row r="106" ht="13.2" customHeight="1" s="49">
      <c r="A106" s="35" t="n">
        <v>104</v>
      </c>
      <c r="B106" s="34"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35" t="n"/>
      <c r="D106" s="34" t="inlineStr">
        <is>
          <t>Flocculated Oral Suspension with Xanthan Gum</t>
        </is>
      </c>
      <c r="E106" s="34" t="inlineStr">
        <is>
          <t>Deflocculated Suspension formulation</t>
        </is>
      </c>
      <c r="F106" s="34" t="inlineStr">
        <is>
          <t>O/W Emulsion stabilized by Polysorbate 80 / Span 80</t>
        </is>
      </c>
      <c r="G106" s="34" t="inlineStr">
        <is>
          <t>W/O Emulsion with Sorbitan monooleate</t>
        </is>
      </c>
      <c r="H106" s="34" t="inlineStr">
        <is>
          <t>Carbopol 940 hydrogel neutralized with Triethanolamine</t>
        </is>
      </c>
      <c r="I106" s="35" t="n">
        <v>2</v>
      </c>
      <c r="J106" s="34"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35" t="n"/>
      <c r="L106" s="34" t="inlineStr">
        <is>
          <t>Emulsions</t>
        </is>
      </c>
      <c r="M106" s="35" t="inlineStr">
        <is>
          <t>Product</t>
        </is>
      </c>
      <c r="N106" s="34" t="inlineStr">
        <is>
          <t>ข้อ 5 (PLE_CC1_Key_Rx20_UBU.md)</t>
        </is>
      </c>
      <c r="O106" s="35" t="inlineStr">
        <is>
          <t>Mock</t>
        </is>
      </c>
      <c r="P106" s="35" t="inlineStr">
        <is>
          <t>Mock Rx20 UBU</t>
        </is>
      </c>
    </row>
    <row r="107" ht="13.2" customHeight="1" s="49">
      <c r="A107" s="35" t="n">
        <v>105</v>
      </c>
      <c r="B107" s="34" t="inlineStr">
        <is>
          <t>Tween 80 เท่ากับ 56 % และ Span 80 เท่ากับ 44 %</t>
        </is>
      </c>
      <c r="C107" s="35" t="n"/>
      <c r="D107" s="34" t="inlineStr">
        <is>
          <t>W/O Emulsion with Sorbitan monooleate</t>
        </is>
      </c>
      <c r="E107" s="34" t="inlineStr">
        <is>
          <t>Carbopol 940 hydrogel neutralized with Triethanolamine</t>
        </is>
      </c>
      <c r="F107" s="34" t="inlineStr">
        <is>
          <t>Oleaginous Ointment base (White Petrolatum)</t>
        </is>
      </c>
      <c r="G107" s="34" t="inlineStr">
        <is>
          <t>Absorption Ointment base (Lanolin USP)</t>
        </is>
      </c>
      <c r="H107" s="34" t="inlineStr">
        <is>
          <t>Fatty Suppository base (Hard Fat / Witepsol)</t>
        </is>
      </c>
      <c r="I107" s="35" t="n">
        <v>1</v>
      </c>
      <c r="J10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35" t="n"/>
      <c r="L107" s="34" t="inlineStr">
        <is>
          <t>Emulsions</t>
        </is>
      </c>
      <c r="M107" s="35" t="inlineStr">
        <is>
          <t>Product</t>
        </is>
      </c>
      <c r="N107" s="34" t="inlineStr">
        <is>
          <t>ข้อ 1 (PLE_CC1_Key_Rx20_UBU.md)</t>
        </is>
      </c>
      <c r="O107" s="35" t="inlineStr">
        <is>
          <t>Mock</t>
        </is>
      </c>
      <c r="P107" s="35" t="inlineStr">
        <is>
          <t>Mock Rx20 UBU</t>
        </is>
      </c>
    </row>
    <row r="108" ht="13.2" customHeight="1" s="49">
      <c r="A108" s="35" t="n">
        <v>106</v>
      </c>
      <c r="B108" s="34" t="inlineStr">
        <is>
          <t>Tween 80 เท่ากับ 7 % และ Span 80 เท่ากับ 5 %</t>
        </is>
      </c>
      <c r="C108" s="35" t="n"/>
      <c r="D108" s="34" t="inlineStr">
        <is>
          <t>Absorption Ointment base (Lanolin USP)</t>
        </is>
      </c>
      <c r="E108" s="34" t="inlineStr">
        <is>
          <t>Fatty Suppository base (Hard Fat / Witepsol)</t>
        </is>
      </c>
      <c r="F108" s="34" t="inlineStr">
        <is>
          <t>Simple Syrup USP (85% w/v Sucrose)</t>
        </is>
      </c>
      <c r="G108" s="34" t="inlineStr">
        <is>
          <t>Elixir with 10-20% Alcohol cosolvent</t>
        </is>
      </c>
      <c r="H108" s="34" t="inlineStr">
        <is>
          <t>Flocculated Oral Suspension with Xanthan Gum</t>
        </is>
      </c>
      <c r="I108" s="35" t="n">
        <v>1</v>
      </c>
      <c r="J10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35" t="n"/>
      <c r="L108" s="34" t="inlineStr">
        <is>
          <t>Emulsions</t>
        </is>
      </c>
      <c r="M108" s="35" t="inlineStr">
        <is>
          <t>Product</t>
        </is>
      </c>
      <c r="N108" s="34" t="inlineStr">
        <is>
          <t>ข้อ 2 (PLE_CC1_Key_Rx20_UBU.md)</t>
        </is>
      </c>
      <c r="O108" s="35" t="inlineStr">
        <is>
          <t>Mock</t>
        </is>
      </c>
      <c r="P108" s="35" t="inlineStr">
        <is>
          <t>Mock Rx20 UBU</t>
        </is>
      </c>
    </row>
    <row r="109" ht="13.2" customHeight="1" s="49">
      <c r="A109" s="35" t="n">
        <v>107</v>
      </c>
      <c r="B109" s="34" t="inlineStr">
        <is>
          <t>Tween 80 เท่ากับ 5.6 % และ Span 80 เท่ากับ 4.4 %</t>
        </is>
      </c>
      <c r="C109" s="35" t="n"/>
      <c r="D109" s="34" t="inlineStr">
        <is>
          <t>Elixir with 10-20% Alcohol cosolvent</t>
        </is>
      </c>
      <c r="E109" s="34" t="inlineStr">
        <is>
          <t>Flocculated Oral Suspension with Xanthan Gum</t>
        </is>
      </c>
      <c r="F109" s="34" t="inlineStr">
        <is>
          <t>Deflocculated Suspension formulation</t>
        </is>
      </c>
      <c r="G109" s="34" t="inlineStr">
        <is>
          <t>O/W Emulsion stabilized by Polysorbate 80 / Span 80</t>
        </is>
      </c>
      <c r="H109" s="34" t="inlineStr">
        <is>
          <t>W/O Emulsion with Sorbitan monooleate</t>
        </is>
      </c>
      <c r="I109" s="35" t="n">
        <v>1</v>
      </c>
      <c r="J109" s="34"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35" t="n"/>
      <c r="L109" s="34" t="inlineStr">
        <is>
          <t>Emulsions</t>
        </is>
      </c>
      <c r="M109" s="35" t="inlineStr">
        <is>
          <t>Product</t>
        </is>
      </c>
      <c r="N109" s="34" t="inlineStr">
        <is>
          <t>ข้อ 3 (PLE_CC1_Key_Rx20_UBU.md)</t>
        </is>
      </c>
      <c r="O109" s="35" t="inlineStr">
        <is>
          <t>Mock</t>
        </is>
      </c>
      <c r="P109" s="35" t="inlineStr">
        <is>
          <t>Mock Rx20 UBU</t>
        </is>
      </c>
    </row>
    <row r="110" ht="13.2" customHeight="1" s="49">
      <c r="A110" s="35" t="n">
        <v>108</v>
      </c>
      <c r="B110" s="34" t="inlineStr">
        <is>
          <t>Tween 80 เท่ากับ 5.8 % และ Span 80 เท่ากับ 4.2 %</t>
        </is>
      </c>
      <c r="C110" s="35" t="n"/>
      <c r="D110" s="34" t="inlineStr">
        <is>
          <t>O/W Emulsion stabilized by Polysorbate 80 / Span 80</t>
        </is>
      </c>
      <c r="E110" s="34" t="inlineStr">
        <is>
          <t>W/O Emulsion with Sorbitan monooleate</t>
        </is>
      </c>
      <c r="F110" s="34" t="inlineStr">
        <is>
          <t>Carbopol 940 hydrogel neutralized with Triethanolamine</t>
        </is>
      </c>
      <c r="G110" s="34" t="inlineStr">
        <is>
          <t>Oleaginous Ointment base (White Petrolatum)</t>
        </is>
      </c>
      <c r="H110" s="34" t="inlineStr">
        <is>
          <t>Absorption Ointment base (Lanolin USP)</t>
        </is>
      </c>
      <c r="I110" s="35" t="n">
        <v>1</v>
      </c>
      <c r="J11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35" t="n"/>
      <c r="L110" s="34" t="inlineStr">
        <is>
          <t>Emulsions</t>
        </is>
      </c>
      <c r="M110" s="35" t="inlineStr">
        <is>
          <t>Product</t>
        </is>
      </c>
      <c r="N110" s="34" t="inlineStr">
        <is>
          <t>ข้อ 4 (PLE_CC1_Key_Rx20_UBU.md)</t>
        </is>
      </c>
      <c r="O110" s="35" t="inlineStr">
        <is>
          <t>Mock</t>
        </is>
      </c>
      <c r="P110" s="35" t="inlineStr">
        <is>
          <t>Mock Rx20 UBU</t>
        </is>
      </c>
    </row>
    <row r="111" ht="13.2" customHeight="1" s="49">
      <c r="A111" s="35" t="n">
        <v>109</v>
      </c>
      <c r="B111" s="34" t="inlineStr">
        <is>
          <t>Tween 80 เท่ากับ 4.2 % และ Span 80 เท่ากับ 5.8 % &amp; Tweer 1 / -1 / Span 3 - - ิ → เหง้าSpr alliqout technique Tween80 = 7/12 x 10 = 5.83 % Span = 5/12 x 10 = 4.17 %</t>
        </is>
      </c>
      <c r="C111" s="35" t="n"/>
      <c r="D111" s="34" t="inlineStr">
        <is>
          <t>Oleaginous Ointment base (White Petrolatum)</t>
        </is>
      </c>
      <c r="E111" s="34" t="inlineStr">
        <is>
          <t>Absorption Ointment base (Lanolin USP)</t>
        </is>
      </c>
      <c r="F111" s="34" t="inlineStr">
        <is>
          <t>Fatty Suppository base (Hard Fat / Witepsol)</t>
        </is>
      </c>
      <c r="G111" s="34" t="inlineStr">
        <is>
          <t>Simple Syrup USP (85% w/v Sucrose)</t>
        </is>
      </c>
      <c r="H111" s="34" t="inlineStr">
        <is>
          <t>Elixir with 10-20% Alcohol cosolvent</t>
        </is>
      </c>
      <c r="I111" s="35" t="n">
        <v>5</v>
      </c>
      <c r="J111" s="34"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35" t="n"/>
      <c r="L111" s="34" t="inlineStr">
        <is>
          <t>Emulsions</t>
        </is>
      </c>
      <c r="M111" s="35" t="inlineStr">
        <is>
          <t>Product</t>
        </is>
      </c>
      <c r="N111" s="34" t="inlineStr">
        <is>
          <t>ข้อ 5 (PLE_CC1_Key_Rx20_UBU.md)</t>
        </is>
      </c>
      <c r="O111" s="35" t="inlineStr">
        <is>
          <t>Mock</t>
        </is>
      </c>
      <c r="P111" s="35" t="inlineStr">
        <is>
          <t>Mock Rx20 UBU</t>
        </is>
      </c>
    </row>
    <row r="112" ht="13.2" customHeight="1" s="49">
      <c r="A112" s="35" t="n">
        <v>110</v>
      </c>
      <c r="B112" s="34" t="inlineStr">
        <is>
          <t>O/W เนื่องจากตำรับดังกล่าวมีส่วนของวัฏภาคน้ำสูงกว่าวัฏภาคน้ำมัน และมีค่า HLB ของ Emulsifier ที่สูง</t>
        </is>
      </c>
      <c r="C112" s="35" t="n"/>
      <c r="D112" s="34" t="inlineStr">
        <is>
          <t>Simple Syrup USP (85% w/v Sucrose)</t>
        </is>
      </c>
      <c r="E112" s="34" t="inlineStr">
        <is>
          <t>Elixir with 10-20% Alcohol cosolvent</t>
        </is>
      </c>
      <c r="F112" s="34" t="inlineStr">
        <is>
          <t>Flocculated Oral Suspension with Xanthan Gum</t>
        </is>
      </c>
      <c r="G112" s="34" t="inlineStr">
        <is>
          <t>Deflocculated Suspension formulation</t>
        </is>
      </c>
      <c r="H112" s="34" t="inlineStr">
        <is>
          <t>O/W Emulsion stabilized by Polysorbate 80 / Span 80</t>
        </is>
      </c>
      <c r="I112" s="35" t="n">
        <v>1</v>
      </c>
      <c r="J112" s="34"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35" t="n"/>
      <c r="L112" s="34" t="inlineStr">
        <is>
          <t>Emulsions</t>
        </is>
      </c>
      <c r="M112" s="35" t="inlineStr">
        <is>
          <t>Product</t>
        </is>
      </c>
      <c r="N112" s="34" t="inlineStr">
        <is>
          <t>ข้อ 1 (PLE_CC1_Key_Rx20_UBU.md)</t>
        </is>
      </c>
      <c r="O112" s="35" t="inlineStr">
        <is>
          <t>Mock</t>
        </is>
      </c>
      <c r="P112" s="35" t="inlineStr">
        <is>
          <t>Mock Rx20 UBU</t>
        </is>
      </c>
    </row>
    <row r="113" ht="13.2" customHeight="1" s="49">
      <c r="A113" s="35" t="n">
        <v>111</v>
      </c>
      <c r="B113" s="34" t="inlineStr">
        <is>
          <t>W/O เนื่องจากตำรับดังกล่าวมีส่วนของวัฏภาคน้ำมันสูงกว่าวัฏภาคน้ำ และมีค่า HLB ของ Emulsifier ที่สูง</t>
        </is>
      </c>
      <c r="C113" s="35" t="n"/>
      <c r="D113" s="34" t="inlineStr">
        <is>
          <t>Deflocculated Suspension formulation</t>
        </is>
      </c>
      <c r="E113" s="34" t="inlineStr">
        <is>
          <t>O/W Emulsion stabilized by Polysorbate 80 / Span 80</t>
        </is>
      </c>
      <c r="F113" s="34" t="inlineStr">
        <is>
          <t>W/O Emulsion with Sorbitan monooleate</t>
        </is>
      </c>
      <c r="G113" s="34" t="inlineStr">
        <is>
          <t>Carbopol 940 hydrogel neutralized with Triethanolamine</t>
        </is>
      </c>
      <c r="H113" s="34" t="inlineStr">
        <is>
          <t>Oleaginous Ointment base (White Petrolatum)</t>
        </is>
      </c>
      <c r="I113" s="35" t="n">
        <v>1</v>
      </c>
      <c r="J11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35" t="n"/>
      <c r="L113" s="34" t="inlineStr">
        <is>
          <t>Emulsions</t>
        </is>
      </c>
      <c r="M113" s="35" t="inlineStr">
        <is>
          <t>Product</t>
        </is>
      </c>
      <c r="N113" s="34" t="inlineStr">
        <is>
          <t>ข้อ 3 (PLE_CC1_Key_Rx20_UBU.md)</t>
        </is>
      </c>
      <c r="O113" s="35" t="inlineStr">
        <is>
          <t>Mock</t>
        </is>
      </c>
      <c r="P113" s="35" t="inlineStr">
        <is>
          <t>Mock Rx20 UBU</t>
        </is>
      </c>
    </row>
    <row r="114" ht="13.2" customHeight="1" s="49">
      <c r="A114" s="35" t="n">
        <v>112</v>
      </c>
      <c r="B114" s="34" t="inlineStr">
        <is>
          <t>เนื่องจากตำรับดังกล่าวมีการใช้ Tween และ Span ซึ่งเป็น Emulsifier ชนิด Non-ionic surfactant Emulsifier ที่สูง</t>
        </is>
      </c>
      <c r="C114" s="35" t="n"/>
      <c r="D114" s="34" t="inlineStr">
        <is>
          <t>Carbopol 940 hydrogel neutralized with Triethanolamine</t>
        </is>
      </c>
      <c r="E114" s="34" t="inlineStr">
        <is>
          <t>Oleaginous Ointment base (White Petrolatum)</t>
        </is>
      </c>
      <c r="F114" s="34" t="inlineStr">
        <is>
          <t>Absorption Ointment base (Lanolin USP)</t>
        </is>
      </c>
      <c r="G114" s="34" t="inlineStr">
        <is>
          <t>Fatty Suppository base (Hard Fat / Witepsol)</t>
        </is>
      </c>
      <c r="H114" s="34" t="inlineStr">
        <is>
          <t>Simple Syrup USP (85% w/v Sucrose)</t>
        </is>
      </c>
      <c r="I114" s="35" t="n">
        <v>4</v>
      </c>
      <c r="J114" s="34"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35" t="n"/>
      <c r="L114" s="34" t="inlineStr">
        <is>
          <t>Emulsions</t>
        </is>
      </c>
      <c r="M114" s="35" t="inlineStr">
        <is>
          <t>Product</t>
        </is>
      </c>
      <c r="N114" s="34" t="inlineStr">
        <is>
          <t>ข้อ 5 (PLE_CC1_Key_Rx20_UBU.md)</t>
        </is>
      </c>
      <c r="O114" s="35" t="inlineStr">
        <is>
          <t>Mock</t>
        </is>
      </c>
      <c r="P114" s="35" t="inlineStr">
        <is>
          <t>Mock Rx20 UBU</t>
        </is>
      </c>
    </row>
    <row r="115" ht="13.2" customHeight="1" s="49">
      <c r="A115" s="35" t="n">
        <v>113</v>
      </c>
      <c r="B115" s="34" t="inlineStr">
        <is>
          <t>ยาครีมอิมัลชันที่แยกชั้นออกจากกัน</t>
        </is>
      </c>
      <c r="C115" s="35" t="n"/>
      <c r="D115" s="34" t="inlineStr">
        <is>
          <t>Fatty Suppository base (Hard Fat / Witepsol)</t>
        </is>
      </c>
      <c r="E115" s="34" t="inlineStr">
        <is>
          <t>Simple Syrup USP (85% w/v Sucrose)</t>
        </is>
      </c>
      <c r="F115" s="34" t="inlineStr">
        <is>
          <t>Elixir with 10-20% Alcohol cosolvent</t>
        </is>
      </c>
      <c r="G115" s="34" t="inlineStr">
        <is>
          <t>Flocculated Oral Suspension with Xanthan Gum</t>
        </is>
      </c>
      <c r="H115" s="34" t="inlineStr">
        <is>
          <t>Deflocculated Suspension formulation</t>
        </is>
      </c>
      <c r="I115" s="35" t="n">
        <v>1</v>
      </c>
      <c r="J11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35" t="n"/>
      <c r="L115" s="34" t="inlineStr">
        <is>
          <t>Creams &amp; Ointments</t>
        </is>
      </c>
      <c r="M115" s="35" t="inlineStr">
        <is>
          <t>Product</t>
        </is>
      </c>
      <c r="N115" s="34" t="inlineStr">
        <is>
          <t>ข้อ 1 (PLE_CC1_Key_Rx20_UBU.md)</t>
        </is>
      </c>
      <c r="O115" s="35" t="inlineStr">
        <is>
          <t>Mock</t>
        </is>
      </c>
      <c r="P115" s="35" t="inlineStr">
        <is>
          <t>Mock Rx20 UBU</t>
        </is>
      </c>
    </row>
    <row r="116" ht="13.2" customHeight="1" s="49">
      <c r="A116" s="35" t="n">
        <v>114</v>
      </c>
      <c r="B116" s="34"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35" t="n"/>
      <c r="D116" s="34" t="inlineStr">
        <is>
          <t>Flocculated Oral Suspension with Xanthan Gum</t>
        </is>
      </c>
      <c r="E116" s="34" t="inlineStr">
        <is>
          <t>Deflocculated Suspension formulation</t>
        </is>
      </c>
      <c r="F116" s="34" t="inlineStr">
        <is>
          <t>O/W Emulsion stabilized by Polysorbate 80 / Span 80</t>
        </is>
      </c>
      <c r="G116" s="34" t="inlineStr">
        <is>
          <t>W/O Emulsion with Sorbitan monooleate</t>
        </is>
      </c>
      <c r="H116" s="34" t="inlineStr">
        <is>
          <t>Carbopol 940 hydrogel neutralized with Triethanolamine</t>
        </is>
      </c>
      <c r="I116" s="35" t="n">
        <v>1</v>
      </c>
      <c r="J11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35" t="n"/>
      <c r="L116" s="34" t="inlineStr">
        <is>
          <t>Creams &amp; Ointments</t>
        </is>
      </c>
      <c r="M116" s="35" t="inlineStr">
        <is>
          <t>Product</t>
        </is>
      </c>
      <c r="N116" s="34" t="inlineStr">
        <is>
          <t>ข้อ 4 (PLE_CC1_Key_Rx20_UBU.md)</t>
        </is>
      </c>
      <c r="O116" s="35" t="inlineStr">
        <is>
          <t>Mock</t>
        </is>
      </c>
      <c r="P116" s="35" t="inlineStr">
        <is>
          <t>Mock Rx20 UBU</t>
        </is>
      </c>
    </row>
    <row r="117" ht="13.2" customHeight="1" s="49">
      <c r="A117" s="35" t="n">
        <v>115</v>
      </c>
      <c r="B117" s="34" t="inlineStr">
        <is>
          <t>Reducing sugar Mayer’s test ให้ผลเป็นสีครีม และ Dragendorff’s test ได้เป็นตะกอนสีส้ม คือผลการทดสอบสารกลุ่ม Alkaloids</t>
        </is>
      </c>
      <c r="C117" s="35" t="n"/>
      <c r="D117" s="34" t="inlineStr">
        <is>
          <t>W/O Emulsion with Sorbitan monooleate</t>
        </is>
      </c>
      <c r="E117" s="34" t="inlineStr">
        <is>
          <t>Carbopol 940 hydrogel neutralized with Triethanolamine</t>
        </is>
      </c>
      <c r="F117" s="34" t="inlineStr">
        <is>
          <t>Oleaginous Ointment base (White Petrolatum)</t>
        </is>
      </c>
      <c r="G117" s="34" t="inlineStr">
        <is>
          <t>Absorption Ointment base (Lanolin USP)</t>
        </is>
      </c>
      <c r="H117" s="34" t="inlineStr">
        <is>
          <t>Fatty Suppository base (Hard Fat / Witepsol)</t>
        </is>
      </c>
      <c r="I117" s="35" t="n">
        <v>1</v>
      </c>
      <c r="J11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35" t="n"/>
      <c r="L117" s="34" t="inlineStr">
        <is>
          <t>Creams &amp; Ointments</t>
        </is>
      </c>
      <c r="M117" s="35" t="inlineStr">
        <is>
          <t>Product</t>
        </is>
      </c>
      <c r="N117" s="34" t="inlineStr">
        <is>
          <t>ข้อ 5 (PLE_CC1_Key_Rx20_UBU.md)</t>
        </is>
      </c>
      <c r="O117" s="35" t="inlineStr">
        <is>
          <t>Mock</t>
        </is>
      </c>
      <c r="P117" s="35" t="inlineStr">
        <is>
          <t>Mock Rx20 UBU</t>
        </is>
      </c>
    </row>
    <row r="118" ht="13.2" customHeight="1" s="49">
      <c r="A118" s="35" t="n">
        <v>116</v>
      </c>
      <c r="B118" s="34" t="inlineStr">
        <is>
          <t>เป็น noninonic surfactant เพื่อเลียนแบบสภาวะในกระเพาะอาหาร</t>
        </is>
      </c>
      <c r="C118" s="35" t="n"/>
      <c r="D118" s="34" t="inlineStr">
        <is>
          <t>Absorption Ointment base (Lanolin USP)</t>
        </is>
      </c>
      <c r="E118" s="34" t="inlineStr">
        <is>
          <t>Fatty Suppository base (Hard Fat / Witepsol)</t>
        </is>
      </c>
      <c r="F118" s="34" t="inlineStr">
        <is>
          <t>Simple Syrup USP (85% w/v Sucrose)</t>
        </is>
      </c>
      <c r="G118" s="34" t="inlineStr">
        <is>
          <t>Elixir with 10-20% Alcohol cosolvent</t>
        </is>
      </c>
      <c r="H118" s="34" t="inlineStr">
        <is>
          <t>Flocculated Oral Suspension with Xanthan Gum</t>
        </is>
      </c>
      <c r="I118" s="35" t="n">
        <v>1</v>
      </c>
      <c r="J118" s="34"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35" t="n"/>
      <c r="L118" s="34" t="inlineStr">
        <is>
          <t>Emulsions</t>
        </is>
      </c>
      <c r="M118" s="35" t="inlineStr">
        <is>
          <t>Product</t>
        </is>
      </c>
      <c r="N118" s="34" t="inlineStr">
        <is>
          <t>ข้อ 1 (PLE_CC1_Key_Rx20_UBU.md)</t>
        </is>
      </c>
      <c r="O118" s="35" t="inlineStr">
        <is>
          <t>Mock</t>
        </is>
      </c>
      <c r="P118" s="35" t="inlineStr">
        <is>
          <t>Mock Rx20 UBU</t>
        </is>
      </c>
    </row>
    <row r="119" ht="13.2" customHeight="1" s="49">
      <c r="A119" s="35" t="n">
        <v>117</v>
      </c>
      <c r="B119" s="34"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35" t="n"/>
      <c r="D119" s="34" t="inlineStr">
        <is>
          <t>Elixir with 10-20% Alcohol cosolvent</t>
        </is>
      </c>
      <c r="E119" s="34" t="inlineStr">
        <is>
          <t>Flocculated Oral Suspension with Xanthan Gum</t>
        </is>
      </c>
      <c r="F119" s="34" t="inlineStr">
        <is>
          <t>Deflocculated Suspension formulation</t>
        </is>
      </c>
      <c r="G119" s="34" t="inlineStr">
        <is>
          <t>O/W Emulsion stabilized by Polysorbate 80 / Span 80</t>
        </is>
      </c>
      <c r="H119" s="34" t="inlineStr">
        <is>
          <t>W/O Emulsion with Sorbitan monooleate</t>
        </is>
      </c>
      <c r="I119" s="35" t="n">
        <v>1</v>
      </c>
      <c r="J119" s="34"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35" t="n"/>
      <c r="L119" s="34" t="inlineStr">
        <is>
          <t>Solutions, Syrups &amp; Elixirs</t>
        </is>
      </c>
      <c r="M119" s="35" t="inlineStr">
        <is>
          <t>Product</t>
        </is>
      </c>
      <c r="N119" s="34" t="inlineStr">
        <is>
          <t>ข้อ 73 (PLE_CC1_Key_Rx20_UBU.md)</t>
        </is>
      </c>
      <c r="O119" s="35" t="inlineStr">
        <is>
          <t>Mock</t>
        </is>
      </c>
      <c r="P119" s="35" t="inlineStr">
        <is>
          <t>Mock Rx20 UBU</t>
        </is>
      </c>
    </row>
    <row r="120" ht="13.2" customHeight="1" s="49">
      <c r="A120" s="35" t="n">
        <v>118</v>
      </c>
      <c r="B120" s="34"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35" t="n"/>
      <c r="D120" s="34" t="inlineStr">
        <is>
          <t>O/W Emulsion stabilized by Polysorbate 80 / Span 80</t>
        </is>
      </c>
      <c r="E120" s="34" t="inlineStr">
        <is>
          <t>W/O Emulsion with Sorbitan monooleate</t>
        </is>
      </c>
      <c r="F120" s="34" t="inlineStr">
        <is>
          <t>Carbopol 940 hydrogel neutralized with Triethanolamine</t>
        </is>
      </c>
      <c r="G120" s="34" t="inlineStr">
        <is>
          <t>Oleaginous Ointment base (White Petrolatum)</t>
        </is>
      </c>
      <c r="H120" s="34" t="inlineStr">
        <is>
          <t>Absorption Ointment base (Lanolin USP)</t>
        </is>
      </c>
      <c r="I120" s="35" t="n">
        <v>1</v>
      </c>
      <c r="J120" s="34"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35" t="n"/>
      <c r="L120" s="34" t="inlineStr">
        <is>
          <t>Emulsions</t>
        </is>
      </c>
      <c r="M120" s="35" t="inlineStr">
        <is>
          <t>Product</t>
        </is>
      </c>
      <c r="N120" s="34" t="inlineStr">
        <is>
          <t>ข้อ 1 (PLE_CC1_Key_Rx20_UBU.md)</t>
        </is>
      </c>
      <c r="O120" s="35" t="inlineStr">
        <is>
          <t>Mock</t>
        </is>
      </c>
      <c r="P120" s="35" t="inlineStr">
        <is>
          <t>Mock Rx20 UBU</t>
        </is>
      </c>
    </row>
    <row r="121" ht="13.2" customHeight="1" s="49">
      <c r="A121" s="35" t="n">
        <v>119</v>
      </c>
      <c r="B121" s="34" t="inlineStr">
        <is>
          <t>Hydrophilic colloids: acacia, tragacanth, pectic, sodium alginate, gelatin, Cellulose derivative( Methylcellulose, sodium carboxy methylcellulose, ethylcellulose</t>
        </is>
      </c>
      <c r="C121" s="35" t="n"/>
      <c r="D121" s="34" t="inlineStr">
        <is>
          <t>Oleaginous Ointment base (White Petrolatum)</t>
        </is>
      </c>
      <c r="E121" s="34" t="inlineStr">
        <is>
          <t>Absorption Ointment base (Lanolin USP)</t>
        </is>
      </c>
      <c r="F121" s="34" t="inlineStr">
        <is>
          <t>Fatty Suppository base (Hard Fat / Witepsol)</t>
        </is>
      </c>
      <c r="G121" s="34" t="inlineStr">
        <is>
          <t>Simple Syrup USP (85% w/v Sucrose)</t>
        </is>
      </c>
      <c r="H121" s="34" t="inlineStr">
        <is>
          <t>Elixir with 10-20% Alcohol cosolvent</t>
        </is>
      </c>
      <c r="I121" s="35" t="n">
        <v>1</v>
      </c>
      <c r="J12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35" t="n"/>
      <c r="L121" s="34" t="inlineStr">
        <is>
          <t>Gels</t>
        </is>
      </c>
      <c r="M121" s="35" t="inlineStr">
        <is>
          <t>Product</t>
        </is>
      </c>
      <c r="N121" s="34" t="inlineStr">
        <is>
          <t>ข้อ 2 (PLE_CC1_Key_Rx20_UBU.md)</t>
        </is>
      </c>
      <c r="O121" s="35" t="inlineStr">
        <is>
          <t>Mock</t>
        </is>
      </c>
      <c r="P121" s="35" t="inlineStr">
        <is>
          <t>Mock Rx20 UBU</t>
        </is>
      </c>
    </row>
    <row r="122" ht="13.2" customHeight="1" s="49">
      <c r="A122" s="35" t="n">
        <v>120</v>
      </c>
      <c r="B122" s="34" t="inlineStr">
        <is>
          <t>หากผู$ป&amp;วยนำใบสั่งยาข$างต$นมาซื้อยาทีโรงพยาบาล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35" t="n"/>
      <c r="D122" s="34" t="inlineStr">
        <is>
          <t>Simple Syrup USP (85% w/v Sucrose)</t>
        </is>
      </c>
      <c r="E122" s="34" t="inlineStr">
        <is>
          <t>Elixir with 10-20% Alcohol cosolvent</t>
        </is>
      </c>
      <c r="F122" s="34" t="inlineStr">
        <is>
          <t>Flocculated Oral Suspension with Xanthan Gum</t>
        </is>
      </c>
      <c r="G122" s="34" t="inlineStr">
        <is>
          <t>Deflocculated Suspension formulation</t>
        </is>
      </c>
      <c r="H122" s="34" t="inlineStr">
        <is>
          <t>O/W Emulsion stabilized by Polysorbate 80 / Span 80</t>
        </is>
      </c>
      <c r="I122" s="35" t="n">
        <v>3</v>
      </c>
      <c r="J122" s="34"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35" t="n"/>
      <c r="L122" s="34" t="inlineStr">
        <is>
          <t>Creams &amp; Ointments</t>
        </is>
      </c>
      <c r="M122" s="35" t="inlineStr">
        <is>
          <t>Product</t>
        </is>
      </c>
      <c r="N122" s="34" t="inlineStr">
        <is>
          <t>ข้อ 44 (PLE_CC1_Key_Rx20_UBU.md)</t>
        </is>
      </c>
      <c r="O122" s="35" t="inlineStr">
        <is>
          <t>Mock</t>
        </is>
      </c>
      <c r="P122" s="35" t="inlineStr">
        <is>
          <t>Mock Rx20 UBU</t>
        </is>
      </c>
    </row>
    <row r="123" ht="13.2" customHeight="1" s="49">
      <c r="A123" s="35" t="n">
        <v>121</v>
      </c>
      <c r="B123" s="34" t="inlineStr">
        <is>
          <t>วิทยุโฆษณาชุมชน โฆษณาวGา .” รักษาสิว นึกถึง clindamycin gel” ทำได$หรือไมG</t>
        </is>
      </c>
      <c r="C123" s="35" t="n"/>
      <c r="D123" s="34" t="inlineStr">
        <is>
          <t>Deflocculated Suspension formulation</t>
        </is>
      </c>
      <c r="E123" s="34" t="inlineStr">
        <is>
          <t>O/W Emulsion stabilized by Polysorbate 80 / Span 80</t>
        </is>
      </c>
      <c r="F123" s="34" t="inlineStr">
        <is>
          <t>W/O Emulsion with Sorbitan monooleate</t>
        </is>
      </c>
      <c r="G123" s="34" t="inlineStr">
        <is>
          <t>Carbopol 940 hydrogel neutralized with Triethanolamine</t>
        </is>
      </c>
      <c r="H123" s="34" t="inlineStr">
        <is>
          <t>Oleaginous Ointment base (White Petrolatum)</t>
        </is>
      </c>
      <c r="I123" s="35" t="n">
        <v>1</v>
      </c>
      <c r="J123" s="34"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35" t="n"/>
      <c r="L123" s="34" t="inlineStr">
        <is>
          <t>Gels</t>
        </is>
      </c>
      <c r="M123" s="35" t="inlineStr">
        <is>
          <t>Product</t>
        </is>
      </c>
      <c r="N123" s="34" t="inlineStr">
        <is>
          <t>ข้อ 9 (PLE_CC1_Key_Rx20_UBU.md)</t>
        </is>
      </c>
      <c r="O123" s="35" t="inlineStr">
        <is>
          <t>Mock</t>
        </is>
      </c>
      <c r="P123" s="35" t="inlineStr">
        <is>
          <t>Mock Rx20 UBU</t>
        </is>
      </c>
    </row>
    <row r="124" ht="13.2" customHeight="1" s="49">
      <c r="A124" s="35" t="n">
        <v>122</v>
      </c>
      <c r="B124" s="34"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35" t="n"/>
      <c r="D124" s="34" t="inlineStr">
        <is>
          <t>Carbopol 940 hydrogel neutralized with Triethanolamine</t>
        </is>
      </c>
      <c r="E124" s="34" t="inlineStr">
        <is>
          <t>Oleaginous Ointment base (White Petrolatum)</t>
        </is>
      </c>
      <c r="F124" s="34" t="inlineStr">
        <is>
          <t>Absorption Ointment base (Lanolin USP)</t>
        </is>
      </c>
      <c r="G124" s="34" t="inlineStr">
        <is>
          <t>Fatty Suppository base (Hard Fat / Witepsol)</t>
        </is>
      </c>
      <c r="H124" s="34" t="inlineStr">
        <is>
          <t>Simple Syrup USP (85% w/v Sucrose)</t>
        </is>
      </c>
      <c r="I124" s="35" t="n">
        <v>2</v>
      </c>
      <c r="J124" s="34"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35" t="n"/>
      <c r="L124" s="34" t="inlineStr">
        <is>
          <t>Creams &amp; Ointments</t>
        </is>
      </c>
      <c r="M124" s="35" t="inlineStr">
        <is>
          <t>Product</t>
        </is>
      </c>
      <c r="N124" s="34" t="inlineStr">
        <is>
          <t>ข้อ 5 (PLE_CC1_Key_Rx20_UBU.md)</t>
        </is>
      </c>
      <c r="O124" s="35" t="inlineStr">
        <is>
          <t>Mock</t>
        </is>
      </c>
      <c r="P124" s="35" t="inlineStr">
        <is>
          <t>Mock Rx20 UBU</t>
        </is>
      </c>
    </row>
    <row r="125" ht="13.2" customHeight="1" s="49">
      <c r="A125" s="35" t="n">
        <v>123</v>
      </c>
      <c r="B125" s="34" t="inlineStr">
        <is>
          <t>Chloramphenicol eye drop + Oxytetracycline ophthalmic ointment</t>
        </is>
      </c>
      <c r="C125" s="35" t="n"/>
      <c r="D125" s="34" t="inlineStr">
        <is>
          <t>Fatty Suppository base (Hard Fat / Witepsol)</t>
        </is>
      </c>
      <c r="E125" s="34" t="inlineStr">
        <is>
          <t>Simple Syrup USP (85% w/v Sucrose)</t>
        </is>
      </c>
      <c r="F125" s="34" t="inlineStr">
        <is>
          <t>Elixir with 10-20% Alcohol cosolvent</t>
        </is>
      </c>
      <c r="G125" s="34" t="inlineStr">
        <is>
          <t>Flocculated Oral Suspension with Xanthan Gum</t>
        </is>
      </c>
      <c r="H125" s="34" t="inlineStr">
        <is>
          <t>Deflocculated Suspension formulation</t>
        </is>
      </c>
      <c r="I125" s="35" t="n">
        <v>1</v>
      </c>
      <c r="J125" s="34"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35" t="n"/>
      <c r="L125" s="34" t="inlineStr">
        <is>
          <t>Creams &amp; Ointments</t>
        </is>
      </c>
      <c r="M125" s="35" t="inlineStr">
        <is>
          <t>Product</t>
        </is>
      </c>
      <c r="N125" s="34" t="inlineStr">
        <is>
          <t>ข้อ 3 (PLE_CC1_Key_Rx20_UBU.md)</t>
        </is>
      </c>
      <c r="O125" s="35" t="inlineStr">
        <is>
          <t>Mock</t>
        </is>
      </c>
      <c r="P125" s="35" t="inlineStr">
        <is>
          <t>Mock Rx20 UBU</t>
        </is>
      </c>
    </row>
    <row r="126" ht="13.2" customHeight="1" s="49">
      <c r="A126" s="35" t="n">
        <v>124</v>
      </c>
      <c r="B126" s="34" t="inlineStr">
        <is>
          <t>Oxytetracycline ophthalmic ointment + Gentamicin eye drop</t>
        </is>
      </c>
      <c r="C126" s="35" t="n"/>
      <c r="D126" s="34" t="inlineStr">
        <is>
          <t>Flocculated Oral Suspension with Xanthan Gum</t>
        </is>
      </c>
      <c r="E126" s="34" t="inlineStr">
        <is>
          <t>Deflocculated Suspension formulation</t>
        </is>
      </c>
      <c r="F126" s="34" t="inlineStr">
        <is>
          <t>O/W Emulsion stabilized by Polysorbate 80 / Span 80</t>
        </is>
      </c>
      <c r="G126" s="34" t="inlineStr">
        <is>
          <t>W/O Emulsion with Sorbitan monooleate</t>
        </is>
      </c>
      <c r="H126" s="34" t="inlineStr">
        <is>
          <t>Carbopol 940 hydrogel neutralized with Triethanolamine</t>
        </is>
      </c>
      <c r="I126" s="35" t="n">
        <v>1</v>
      </c>
      <c r="J126" s="34"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35" t="n"/>
      <c r="L126" s="34" t="inlineStr">
        <is>
          <t>Creams &amp; Ointments</t>
        </is>
      </c>
      <c r="M126" s="35" t="inlineStr">
        <is>
          <t>Product</t>
        </is>
      </c>
      <c r="N126" s="34" t="inlineStr">
        <is>
          <t>ข้อ 4 (PLE_CC1_Key_Rx20_UBU.md)</t>
        </is>
      </c>
      <c r="O126" s="35" t="inlineStr">
        <is>
          <t>Mock</t>
        </is>
      </c>
      <c r="P126" s="35" t="inlineStr">
        <is>
          <t>Mock Rx20 UBU</t>
        </is>
      </c>
    </row>
    <row r="127" ht="13.2" customHeight="1" s="49">
      <c r="A127" s="35" t="n">
        <v>125</v>
      </c>
      <c r="B127" s="34" t="inlineStr">
        <is>
          <t>Polymixin B + Neomycin ointment</t>
        </is>
      </c>
      <c r="C127" s="35" t="n"/>
      <c r="D127" s="34" t="inlineStr">
        <is>
          <t>W/O Emulsion with Sorbitan monooleate</t>
        </is>
      </c>
      <c r="E127" s="34" t="inlineStr">
        <is>
          <t>Carbopol 940 hydrogel neutralized with Triethanolamine</t>
        </is>
      </c>
      <c r="F127" s="34" t="inlineStr">
        <is>
          <t>Oleaginous Ointment base (White Petrolatum)</t>
        </is>
      </c>
      <c r="G127" s="34" t="inlineStr">
        <is>
          <t>Absorption Ointment base (Lanolin USP)</t>
        </is>
      </c>
      <c r="H127" s="34" t="inlineStr">
        <is>
          <t>Fatty Suppository base (Hard Fat / Witepsol)</t>
        </is>
      </c>
      <c r="I127" s="35" t="n">
        <v>1</v>
      </c>
      <c r="J127" s="34"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35" t="n"/>
      <c r="L127" s="34" t="inlineStr">
        <is>
          <t>Creams &amp; Ointments</t>
        </is>
      </c>
      <c r="M127" s="35" t="inlineStr">
        <is>
          <t>Product</t>
        </is>
      </c>
      <c r="N127" s="34" t="inlineStr">
        <is>
          <t>ข้อ 2 (PLE_CC1_Key_Rx20_UBU.md)</t>
        </is>
      </c>
      <c r="O127" s="35" t="inlineStr">
        <is>
          <t>Mock</t>
        </is>
      </c>
      <c r="P127" s="35" t="inlineStr">
        <is>
          <t>Mock Rx20 UBU</t>
        </is>
      </c>
    </row>
    <row r="128" ht="13.2" customHeight="1" s="49">
      <c r="A128" s="35" t="n">
        <v>126</v>
      </c>
      <c r="B128" s="34" t="inlineStr">
        <is>
          <t>16 ไม่มีคำตอบ คิดได้ 11.97 Liquid parafin 30% 33.5% 30/33.5 x 12 = 10.75 HLB 11.97 Wool fat 2% 2/33.5 x 10 = 0.597 Stearyl alcohol 1.5%</t>
        </is>
      </c>
      <c r="C128" s="35" t="n"/>
      <c r="D128" s="34" t="inlineStr">
        <is>
          <t>5/33.5 x 14 = 0.627</t>
        </is>
      </c>
      <c r="E128" s="34" t="inlineStr">
        <is>
          <t>Fatty Suppository base (Hard Fat / Witepsol)</t>
        </is>
      </c>
      <c r="F128" s="34" t="inlineStr">
        <is>
          <t>Simple Syrup USP (85% w/v Sucrose)</t>
        </is>
      </c>
      <c r="G128" s="34" t="inlineStr">
        <is>
          <t>Elixir with 10-20% Alcohol cosolvent</t>
        </is>
      </c>
      <c r="H128" s="34" t="inlineStr">
        <is>
          <t>Flocculated Oral Suspension with Xanthan Gum</t>
        </is>
      </c>
      <c r="I128" s="35" t="n">
        <v>1</v>
      </c>
      <c r="J128" s="34"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35" t="n"/>
      <c r="L128" s="34" t="inlineStr">
        <is>
          <t>Emulsions</t>
        </is>
      </c>
      <c r="M128" s="35" t="inlineStr">
        <is>
          <t>Product</t>
        </is>
      </c>
      <c r="N128" s="34" t="inlineStr">
        <is>
          <t>ข้อ 4 (PLE_CC1_Key_Rx20_UBU.md)</t>
        </is>
      </c>
      <c r="O128" s="35" t="inlineStr">
        <is>
          <t>Mock</t>
        </is>
      </c>
      <c r="P128" s="35" t="inlineStr">
        <is>
          <t>Mock Rx20 UBU</t>
        </is>
      </c>
    </row>
    <row r="129" ht="13.2" customHeight="1" s="49">
      <c r="A129" s="35" t="n">
        <v>127</v>
      </c>
      <c r="B129" s="34" t="inlineStr">
        <is>
          <t>หากจะเปลี่ยนจากยา Clotrimazole cream เป็นยารูปแบบรับประทาน ควรใช้ยาใด</t>
        </is>
      </c>
      <c r="C129" s="35" t="n"/>
      <c r="D129" s="34" t="inlineStr">
        <is>
          <t>Ketoconazole</t>
        </is>
      </c>
      <c r="E129" s="34" t="inlineStr">
        <is>
          <t>Posaconazole</t>
        </is>
      </c>
      <c r="F129" s="34" t="inlineStr">
        <is>
          <t>Miconazole</t>
        </is>
      </c>
      <c r="G129" s="34" t="inlineStr">
        <is>
          <t>Fluconazole</t>
        </is>
      </c>
      <c r="H129" s="34" t="inlineStr">
        <is>
          <t>Griseofulvin หลังจากนั้นสักพักผู้ป่วยอาการไม่ดีขึ้น เมื่อไปพบแพทย์ แพทย์จ่ายยา Itraconazole มาให้รับประทาน</t>
        </is>
      </c>
      <c r="I129" s="35" t="n">
        <v>4</v>
      </c>
      <c r="J129" s="34"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35" t="n"/>
      <c r="L129" s="34" t="inlineStr">
        <is>
          <t>Creams &amp; Ointments</t>
        </is>
      </c>
      <c r="M129" s="35" t="inlineStr">
        <is>
          <t>Product</t>
        </is>
      </c>
      <c r="N129" s="34" t="inlineStr">
        <is>
          <t>ข้อ 13 (PLE_CC1_Key_Rx20_UBU.md)</t>
        </is>
      </c>
      <c r="O129" s="35" t="inlineStr">
        <is>
          <t>Mock</t>
        </is>
      </c>
      <c r="P129" s="35" t="inlineStr">
        <is>
          <t>Mock Rx20 UBU</t>
        </is>
      </c>
    </row>
    <row r="130" ht="13.2" customHeight="1" s="49">
      <c r="A130" s="35" t="n">
        <v>128</v>
      </c>
      <c r="B130" s="34" t="inlineStr">
        <is>
          <t>ยาทา Piroxicam cream จะต้องทำ Specific test ในหัวข้อใด</t>
        </is>
      </c>
      <c r="C130" s="35" t="n"/>
      <c r="D130" s="34" t="inlineStr">
        <is>
          <t>Microbial limit test</t>
        </is>
      </c>
      <c r="E130" s="34" t="inlineStr">
        <is>
          <t>Impurity</t>
        </is>
      </c>
      <c r="F130" s="34" t="inlineStr">
        <is>
          <t>Identification</t>
        </is>
      </c>
      <c r="G130" s="34" t="inlineStr">
        <is>
          <t>Assay</t>
        </is>
      </c>
      <c r="H130" s="34" t="inlineStr">
        <is>
          <t>Description</t>
        </is>
      </c>
      <c r="I130" s="35" t="n">
        <v>2</v>
      </c>
      <c r="J130" s="34"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35" t="n"/>
      <c r="L130" s="34" t="inlineStr">
        <is>
          <t>Creams &amp; Ointments</t>
        </is>
      </c>
      <c r="M130" s="35" t="inlineStr">
        <is>
          <t>Product</t>
        </is>
      </c>
      <c r="N130" s="34" t="inlineStr">
        <is>
          <t>ข้อ 107 (PLE_CC1_Key_Rx20_UBU.md)</t>
        </is>
      </c>
      <c r="O130" s="35" t="inlineStr">
        <is>
          <t>Mock</t>
        </is>
      </c>
      <c r="P130" s="35" t="inlineStr">
        <is>
          <t>Mock Rx20 UBU</t>
        </is>
      </c>
    </row>
    <row r="131" ht="13.2" customHeight="1" s="49">
      <c r="A131" s="35" t="n">
        <v>129</v>
      </c>
      <c r="B131" s="34"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35" t="n"/>
      <c r="D131" s="34" t="inlineStr">
        <is>
          <t>Oleaginous Ointment base (White Petrolatum)</t>
        </is>
      </c>
      <c r="E131" s="34" t="inlineStr">
        <is>
          <t>Absorption Ointment base (Lanolin USP)</t>
        </is>
      </c>
      <c r="F131" s="34" t="inlineStr">
        <is>
          <t>Fatty Suppository base (Hard Fat / Witepsol)</t>
        </is>
      </c>
      <c r="G131" s="34" t="inlineStr">
        <is>
          <t>Simple Syrup USP (85% w/v Sucrose)</t>
        </is>
      </c>
      <c r="H131" s="34" t="inlineStr">
        <is>
          <t>Elixir with 10-20% Alcohol cosolvent</t>
        </is>
      </c>
      <c r="I131" s="35" t="n">
        <v>1</v>
      </c>
      <c r="J131" s="34"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35" t="n"/>
      <c r="L131" s="34" t="inlineStr">
        <is>
          <t>Solutions, Syrups &amp; Elixirs</t>
        </is>
      </c>
      <c r="M131" s="35" t="inlineStr">
        <is>
          <t>Product</t>
        </is>
      </c>
      <c r="N131" s="34" t="inlineStr">
        <is>
          <t>ข้อ ๑ (PLE_CC1_Key_Rx20_UBU.md)</t>
        </is>
      </c>
      <c r="O131" s="35" t="inlineStr">
        <is>
          <t>Mock</t>
        </is>
      </c>
      <c r="P131" s="35" t="inlineStr">
        <is>
          <t>Mock Rx20 UBU</t>
        </is>
      </c>
    </row>
    <row r="132" ht="13.2" customHeight="1" s="49">
      <c r="A132" s="35" t="n">
        <v>130</v>
      </c>
      <c r="B132" s="34" t="inlineStr">
        <is>
          <t>ผลิตภัณฑ์ยาน้ำข้างต้นไม่สามารถขายได้ในสถานที่ใด</t>
        </is>
      </c>
      <c r="C132" s="35" t="n"/>
      <c r="D132" s="34" t="inlineStr">
        <is>
          <t>ร้านขายสมุนไพร</t>
        </is>
      </c>
      <c r="E132" s="34" t="inlineStr">
        <is>
          <t>ร้านขายยาแผนปัจจุบัน</t>
        </is>
      </c>
      <c r="F132" s="34" t="inlineStr">
        <is>
          <t>ร้านขายยาส่งแผนปัจจุบัน</t>
        </is>
      </c>
      <c r="G132" s="34" t="inlineStr">
        <is>
          <t>ร้าน ขย.2</t>
        </is>
      </c>
      <c r="H132" s="34" t="inlineStr">
        <is>
          <t>ร้านขายยาแผนโบราณ</t>
        </is>
      </c>
      <c r="I132" s="35" t="n">
        <v>1</v>
      </c>
      <c r="J132" s="34"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35" t="n"/>
      <c r="L132" s="34" t="inlineStr">
        <is>
          <t>Solutions, Syrups &amp; Elixirs</t>
        </is>
      </c>
      <c r="M132" s="35" t="inlineStr">
        <is>
          <t>Product</t>
        </is>
      </c>
      <c r="N132" s="34" t="inlineStr">
        <is>
          <t>ข้อ 115 (PLE_CC1_Key_Rx20_UBU.md)</t>
        </is>
      </c>
      <c r="O132" s="35" t="inlineStr">
        <is>
          <t>Mock</t>
        </is>
      </c>
      <c r="P132" s="35" t="inlineStr">
        <is>
          <t>Mock Rx20 UBU</t>
        </is>
      </c>
    </row>
    <row r="133" ht="13.2" customHeight="1" s="49">
      <c r="A133" s="35" t="n">
        <v>131</v>
      </c>
      <c r="B133" s="34" t="inlineStr">
        <is>
          <t>ปัจจัยใดไม่ส่งผลต่อชนิดของครีม</t>
        </is>
      </c>
      <c r="C133" s="35" t="n"/>
      <c r="D133" s="34" t="inlineStr">
        <is>
          <t>ลำดับการผสม</t>
        </is>
      </c>
      <c r="E133" s="34" t="inlineStr">
        <is>
          <t>ชนิดของสารก่ออิมัลชั่น</t>
        </is>
      </c>
      <c r="F133" s="34" t="inlineStr">
        <is>
          <t>ปริมาณรวมของสารก่ออิมัลชั่น</t>
        </is>
      </c>
      <c r="G133" s="34" t="inlineStr">
        <is>
          <t>สัดส่วนของสารก่ออิมัลชั่น</t>
        </is>
      </c>
      <c r="H133" s="34" t="inlineStr">
        <is>
          <t>สัดส่วนของน้ำมันต่อน้ำ</t>
        </is>
      </c>
      <c r="I133" s="35" t="n">
        <v>1</v>
      </c>
      <c r="J133" s="34"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35" t="n"/>
      <c r="L133" s="34" t="inlineStr">
        <is>
          <t>Creams &amp; Ointments</t>
        </is>
      </c>
      <c r="M133" s="35" t="inlineStr">
        <is>
          <t>Product</t>
        </is>
      </c>
      <c r="N133" s="34" t="inlineStr">
        <is>
          <t>ข้อ 8 (PLE_CC1_Key_Rx20_UBU.md)</t>
        </is>
      </c>
      <c r="O133" s="35" t="inlineStr">
        <is>
          <t>Mock</t>
        </is>
      </c>
      <c r="P133" s="35" t="inlineStr">
        <is>
          <t>Mock Rx20 UBU</t>
        </is>
      </c>
    </row>
    <row r="134" ht="13.2" customHeight="1" s="49">
      <c r="A134" s="35" t="n">
        <v>132</v>
      </c>
      <c r="B134" s="34"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35" t="n"/>
      <c r="D134" s="34" t="inlineStr">
        <is>
          <t>10:1</t>
        </is>
      </c>
      <c r="E134" s="34" t="inlineStr">
        <is>
          <t>1:1</t>
        </is>
      </c>
      <c r="F134" s="36" t="n">
        <v>0.04861111111111111</v>
      </c>
      <c r="G134" s="36" t="n">
        <v>0.0625</v>
      </c>
      <c r="H134" s="36" t="n">
        <v>0.1111111111111111</v>
      </c>
      <c r="I134" s="35" t="n">
        <v>1</v>
      </c>
      <c r="J134" s="34"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35" t="n"/>
      <c r="L134" s="34" t="inlineStr">
        <is>
          <t>Solutions, Syrups &amp; Elixirs</t>
        </is>
      </c>
      <c r="M134" s="35" t="inlineStr">
        <is>
          <t>Product</t>
        </is>
      </c>
      <c r="N134" s="34" t="inlineStr">
        <is>
          <t>ข้อ 107 (PLE_CC1_Key_Rx20_UBU.md)</t>
        </is>
      </c>
      <c r="O134" s="35" t="inlineStr">
        <is>
          <t>Mock</t>
        </is>
      </c>
      <c r="P134" s="35" t="inlineStr">
        <is>
          <t>Mock Rx20 UBU</t>
        </is>
      </c>
    </row>
    <row r="135" ht="409.6" customHeight="1" s="49">
      <c r="A135" s="35" t="n">
        <v>133</v>
      </c>
      <c r="B135" s="34" t="inlineStr">
        <is>
          <t>ในการเตรียม Aspirin Suspension หากต้องการเติมสารบัฟเฟอร์ ปรับ pH ให้มี pH เท่ากับ 6.8 ภก.ควรจะใช้บัฟเฟอร์ใด</t>
        </is>
      </c>
      <c r="C135" s="35" t="n"/>
      <c r="D135" s="34" t="inlineStr">
        <is>
          <t>NaH2PO4 (pKa 7.21)/ Na2HPO4</t>
        </is>
      </c>
      <c r="E135" s="34" t="inlineStr">
        <is>
          <t>Na2HPO4 / Na3PO4</t>
        </is>
      </c>
      <c r="F135" s="34" t="inlineStr">
        <is>
          <t>Acetic acid (pKa 4.76)/ Sodium acetate</t>
        </is>
      </c>
      <c r="G135" s="34" t="inlineStr">
        <is>
          <t>Boric acid (pKa 8.24)/Sodium borate</t>
        </is>
      </c>
      <c r="H135" s="34" t="inlineStr">
        <is>
          <t>HCl/NaOH</t>
        </is>
      </c>
      <c r="I135" s="35" t="n">
        <v>1</v>
      </c>
      <c r="J135" s="34"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35" t="n"/>
      <c r="L135" s="34" t="inlineStr">
        <is>
          <t>Tablet Manufacturing</t>
        </is>
      </c>
      <c r="M135" s="35" t="inlineStr">
        <is>
          <t>Product</t>
        </is>
      </c>
      <c r="N135" s="34" t="inlineStr">
        <is>
          <t>ข้อ 7 Pharma Plus เล่มม่วง (เฉลยข้อ ก)</t>
        </is>
      </c>
      <c r="O135" s="35" t="inlineStr">
        <is>
          <t>Mock</t>
        </is>
      </c>
      <c r="P135" s="35" t="inlineStr">
        <is>
          <t>Pharma Plus เล่มม่วง</t>
        </is>
      </c>
    </row>
    <row r="136" ht="409.6" customHeight="1" s="49">
      <c r="A136" s="35" t="n">
        <v>134</v>
      </c>
      <c r="B136" s="34" t="inlineStr">
        <is>
          <t>ในการเตรียม aspirin suspension หากต้องการให้ยาตกตะกอนไม่เร็วเกินไป สารปรุงแต่งที่ต้องเติมคือ</t>
        </is>
      </c>
      <c r="C136" s="35" t="n"/>
      <c r="D136" s="34" t="inlineStr">
        <is>
          <t>Glycerin</t>
        </is>
      </c>
      <c r="E136" s="34" t="inlineStr">
        <is>
          <t>Tween 80</t>
        </is>
      </c>
      <c r="F136" s="34" t="inlineStr">
        <is>
          <t>Methylcellulose</t>
        </is>
      </c>
      <c r="G136" s="34" t="inlineStr">
        <is>
          <t>Aluminium chloride</t>
        </is>
      </c>
      <c r="H136" s="34" t="inlineStr">
        <is>
          <t>Sodium citrate</t>
        </is>
      </c>
      <c r="I136" s="35" t="n">
        <v>3</v>
      </c>
      <c r="J136" s="34"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35" t="n"/>
      <c r="L136" s="34" t="inlineStr">
        <is>
          <t>Tablet Manufacturing</t>
        </is>
      </c>
      <c r="M136" s="35" t="inlineStr">
        <is>
          <t>Product</t>
        </is>
      </c>
      <c r="N136" s="34" t="inlineStr">
        <is>
          <t>ข้อ 8 Pharma Plus เล่มม่วง (เฉลยข้อ ค)</t>
        </is>
      </c>
      <c r="O136" s="35" t="inlineStr">
        <is>
          <t>Mock</t>
        </is>
      </c>
      <c r="P136" s="35" t="inlineStr">
        <is>
          <t>Pharma Plus เล่มม่วง</t>
        </is>
      </c>
    </row>
    <row r="137" ht="409.6" customHeight="1" s="49">
      <c r="A137" s="35" t="n">
        <v>135</v>
      </c>
      <c r="B137" s="34"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35" t="n"/>
      <c r="D137" s="34" t="inlineStr">
        <is>
          <t>Flocculation</t>
        </is>
      </c>
      <c r="E137" s="34" t="inlineStr">
        <is>
          <t>Lamination</t>
        </is>
      </c>
      <c r="F137" s="34" t="inlineStr">
        <is>
          <t>Creaming</t>
        </is>
      </c>
      <c r="G137" s="34" t="inlineStr">
        <is>
          <t>Coalescence</t>
        </is>
      </c>
      <c r="H137" s="34" t="inlineStr">
        <is>
          <t>Caking</t>
        </is>
      </c>
      <c r="I137" s="35" t="n">
        <v>5</v>
      </c>
      <c r="J13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35" t="n"/>
      <c r="L137" s="34" t="inlineStr">
        <is>
          <t>Tablet Manufacturing</t>
        </is>
      </c>
      <c r="M137" s="35" t="inlineStr">
        <is>
          <t>Product</t>
        </is>
      </c>
      <c r="N137" s="34" t="inlineStr">
        <is>
          <t>ข้อ 9 Pharma Plus เล่มม่วง (เฉลยข้อ จ)</t>
        </is>
      </c>
      <c r="O137" s="35" t="inlineStr">
        <is>
          <t>Mock</t>
        </is>
      </c>
      <c r="P137" s="35" t="inlineStr">
        <is>
          <t>Pharma Plus เล่มม่วง</t>
        </is>
      </c>
    </row>
    <row r="138" ht="409.6" customHeight="1" s="49">
      <c r="A138" s="35" t="n">
        <v>136</v>
      </c>
      <c r="B138" s="34" t="inlineStr">
        <is>
          <t>สูตรตำรับย้ำน้ำ Ferrous sulfate
- Ferrous sulfate 12.5 g
- Citric acid 0.2 g
- Paraben conc. 1 ml
- Syrup add qs 100 ml
ข้อใดถูก</t>
        </is>
      </c>
      <c r="C138" s="35" t="n"/>
      <c r="D138" s="34" t="inlineStr">
        <is>
          <t>มีปัญหาการละลาย</t>
        </is>
      </c>
      <c r="E138" s="34" t="inlineStr">
        <is>
          <t>ต้องเก็บในตู้เย็น</t>
        </is>
      </c>
      <c r="F138" s="34" t="inlineStr">
        <is>
          <t>เก็บในขวดใส ปิดสนิท</t>
        </is>
      </c>
      <c r="G138" s="34" t="inlineStr">
        <is>
          <t>ไม่มีสารแต่งรส</t>
        </is>
      </c>
      <c r="H138" s="34" t="inlineStr">
        <is>
          <t>ไม่มีสารเพิ่มความคงตัว</t>
        </is>
      </c>
      <c r="I138" s="35" t="n">
        <v>1</v>
      </c>
      <c r="J138" s="34"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35" t="n"/>
      <c r="L138" s="34" t="inlineStr">
        <is>
          <t>Tablet Manufacturing</t>
        </is>
      </c>
      <c r="M138" s="35" t="inlineStr">
        <is>
          <t>Product</t>
        </is>
      </c>
      <c r="N138" s="34" t="inlineStr">
        <is>
          <t>ข้อ 10 Pharma Plus เล่มม่วง (เฉลยข้อ ก)</t>
        </is>
      </c>
      <c r="O138" s="35" t="inlineStr">
        <is>
          <t>Mock</t>
        </is>
      </c>
      <c r="P138" s="35" t="inlineStr">
        <is>
          <t>Pharma Plus เล่มม่วง</t>
        </is>
      </c>
    </row>
    <row r="139" ht="409.6" customHeight="1" s="49">
      <c r="A139" s="35" t="n">
        <v>137</v>
      </c>
      <c r="B139" s="34"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35" t="n"/>
      <c r="D139" s="34" t="inlineStr">
        <is>
          <t>0.625 mg</t>
        </is>
      </c>
      <c r="E139" s="34" t="inlineStr">
        <is>
          <t>2.625 mg</t>
        </is>
      </c>
      <c r="F139" s="34" t="inlineStr">
        <is>
          <t>62.5 mg</t>
        </is>
      </c>
      <c r="G139" s="34" t="inlineStr">
        <is>
          <t>375 mg</t>
        </is>
      </c>
      <c r="H139" s="34" t="inlineStr">
        <is>
          <t>125 mg</t>
        </is>
      </c>
      <c r="I139" s="35" t="n">
        <v>5</v>
      </c>
      <c r="J139" s="34"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35" t="n"/>
      <c r="L139" s="34" t="inlineStr">
        <is>
          <t>Tablet Manufacturing</t>
        </is>
      </c>
      <c r="M139" s="35" t="inlineStr">
        <is>
          <t>Product</t>
        </is>
      </c>
      <c r="N139" s="34" t="inlineStr">
        <is>
          <t>ข้อ 11 Pharma Plus เล่มม่วง (เฉลยข้อ จ)</t>
        </is>
      </c>
      <c r="O139" s="35" t="inlineStr">
        <is>
          <t>Mock</t>
        </is>
      </c>
      <c r="P139" s="35" t="inlineStr">
        <is>
          <t>Pharma Plus เล่มม่วง</t>
        </is>
      </c>
    </row>
    <row r="140" ht="409.6" customHeight="1" s="49">
      <c r="A140" s="35" t="n">
        <v>138</v>
      </c>
      <c r="B140" s="34"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35" t="n"/>
      <c r="D140" s="34" t="inlineStr">
        <is>
          <t>Stearic acid</t>
        </is>
      </c>
      <c r="E140" s="34" t="inlineStr">
        <is>
          <t>Lanolin</t>
        </is>
      </c>
      <c r="F140" s="34" t="inlineStr">
        <is>
          <t>Cetyl alcohol</t>
        </is>
      </c>
      <c r="G140" s="34" t="inlineStr">
        <is>
          <t>Potassium hydroxide</t>
        </is>
      </c>
      <c r="H140" s="34" t="inlineStr">
        <is>
          <t>Potassium stearate</t>
        </is>
      </c>
      <c r="I140" s="35" t="n">
        <v>5</v>
      </c>
      <c r="J140" s="34"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35" t="n"/>
      <c r="L140" s="34" t="inlineStr">
        <is>
          <t>Tablet Manufacturing</t>
        </is>
      </c>
      <c r="M140" s="35" t="inlineStr">
        <is>
          <t>Product</t>
        </is>
      </c>
      <c r="N140" s="34" t="inlineStr">
        <is>
          <t>ข้อ 22 Pharma Plus เล่มม่วง (เฉลยข้อ จ)</t>
        </is>
      </c>
      <c r="O140" s="35" t="inlineStr">
        <is>
          <t>Mock</t>
        </is>
      </c>
      <c r="P140" s="35" t="inlineStr">
        <is>
          <t>Pharma Plus เล่มม่วง</t>
        </is>
      </c>
    </row>
    <row r="141" ht="409.6" customHeight="1" s="49">
      <c r="A141" s="35" t="n">
        <v>139</v>
      </c>
      <c r="B141" s="34" t="inlineStr">
        <is>
          <t>ค่า required HLB ในการเกิดเป็น o/w emulsion ของวัตภาคน้ำมัน stearic acid และ liquid paraffin ในตำรับข้อ 71 มีค่าเท่ากับ</t>
        </is>
      </c>
      <c r="C141" s="35" t="n"/>
      <c r="D141" s="34" t="n">
        <v>9.5</v>
      </c>
      <c r="E141" s="34" t="n">
        <v>10.75</v>
      </c>
      <c r="F141" s="34" t="n">
        <v>11.04</v>
      </c>
      <c r="G141" s="34" t="n">
        <v>12.13</v>
      </c>
      <c r="H141" s="34" t="n">
        <v>14</v>
      </c>
      <c r="I141" s="35" t="n">
        <v>1</v>
      </c>
      <c r="J141" s="34"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35" t="n"/>
      <c r="L141" s="34" t="inlineStr">
        <is>
          <t>Tablet Manufacturing</t>
        </is>
      </c>
      <c r="M141" s="35" t="inlineStr">
        <is>
          <t>Product</t>
        </is>
      </c>
      <c r="N141" s="34" t="inlineStr">
        <is>
          <t>ข้อ 73 Pharma Plus เล่มม่วง (เฉลยข้อ )</t>
        </is>
      </c>
      <c r="O141" s="35" t="inlineStr">
        <is>
          <t>Mock</t>
        </is>
      </c>
      <c r="P141" s="35" t="inlineStr">
        <is>
          <t>Pharma Plus เล่มม่วง</t>
        </is>
      </c>
    </row>
    <row r="142" ht="409.6" customHeight="1" s="49">
      <c r="A142" s="35" t="n">
        <v>140</v>
      </c>
      <c r="B142" s="34"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35" t="n"/>
      <c r="D142" s="34" t="inlineStr">
        <is>
          <t>Very soluble</t>
        </is>
      </c>
      <c r="E142" s="34" t="inlineStr">
        <is>
          <t>Sparingly soluble</t>
        </is>
      </c>
      <c r="F142" s="34" t="inlineStr">
        <is>
          <t>Soluble</t>
        </is>
      </c>
      <c r="G142" s="34" t="inlineStr">
        <is>
          <t>Freely soluble</t>
        </is>
      </c>
      <c r="H142" s="34" t="inlineStr">
        <is>
          <t>Insoluble</t>
        </is>
      </c>
      <c r="I142" s="35" t="n">
        <v>3</v>
      </c>
      <c r="J142" s="34"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35" t="n"/>
      <c r="L142" s="34" t="inlineStr">
        <is>
          <t>Tablet Manufacturing</t>
        </is>
      </c>
      <c r="M142" s="35" t="inlineStr">
        <is>
          <t>Product</t>
        </is>
      </c>
      <c r="N142" s="34" t="inlineStr">
        <is>
          <t>ข้อ 98 Pharma Plus เล่มม่วง (เฉลยข้อ ค)</t>
        </is>
      </c>
      <c r="O142" s="35" t="inlineStr">
        <is>
          <t>Mock</t>
        </is>
      </c>
      <c r="P142" s="35" t="inlineStr">
        <is>
          <t>Pharma Plus เล่มม่วง</t>
        </is>
      </c>
    </row>
    <row r="143" ht="409.6" customHeight="1" s="49">
      <c r="A143" s="35" t="n">
        <v>141</v>
      </c>
      <c r="B143" s="34"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35" t="n"/>
      <c r="D143" s="34" t="inlineStr">
        <is>
          <t>Preservatives</t>
        </is>
      </c>
      <c r="E143" s="34" t="inlineStr">
        <is>
          <t>Suspending agent</t>
        </is>
      </c>
      <c r="F143" s="34" t="inlineStr">
        <is>
          <t>Sweetening agent</t>
        </is>
      </c>
      <c r="G143" s="34" t="inlineStr">
        <is>
          <t>Coloring agent</t>
        </is>
      </c>
      <c r="H143" s="34" t="inlineStr">
        <is>
          <t>Active ingredient</t>
        </is>
      </c>
      <c r="I143" s="35" t="n">
        <v>2</v>
      </c>
      <c r="J143" s="34"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35" t="n"/>
      <c r="L143" s="34" t="inlineStr">
        <is>
          <t>Tablet Manufacturing</t>
        </is>
      </c>
      <c r="M143" s="35" t="inlineStr">
        <is>
          <t>Product</t>
        </is>
      </c>
      <c r="N143" s="34" t="inlineStr">
        <is>
          <t>ข้อ 106 Pharma Plus เล่มม่วง (เฉลยข้อ ข)</t>
        </is>
      </c>
      <c r="O143" s="35" t="inlineStr">
        <is>
          <t>Mock</t>
        </is>
      </c>
      <c r="P143" s="35" t="inlineStr">
        <is>
          <t>Pharma Plus เล่มม่วง</t>
        </is>
      </c>
    </row>
    <row r="144" ht="409.6" customHeight="1" s="49">
      <c r="A144" s="35" t="n">
        <v>142</v>
      </c>
      <c r="B144" s="34" t="inlineStr">
        <is>
          <t>เมื่อนำครีมมาเตรียมในรูปแบบครีมทาผิวลดไขมันและประเมินความคงตัว ข้อใดเป็นวิธีที่ไม่เหมาะสมมากที่สุด</t>
        </is>
      </c>
      <c r="C144" s="35" t="n"/>
      <c r="D144" s="34" t="inlineStr">
        <is>
          <t>นำไปปั่นเหวี่ยงที่ความเร็วรอบ 3,750 รอบ/นาที เป็นเวลา 5 ชั่วโมง</t>
        </is>
      </c>
      <c r="E144" s="34" t="inlineStr">
        <is>
          <t>นำไปเก็บไว้ที่อุณหภูมิ 180 C เป็นเวลา 12 ชั่วโมง</t>
        </is>
      </c>
      <c r="F144" s="34" t="inlineStr">
        <is>
          <t>นำไปเก็บไว้ที่อุณหภูมิ -5 C สลับกับ 40 C ทุก ๆ 24 ชั่วโมง เป็นจำนวน 24 รอบ</t>
        </is>
      </c>
      <c r="G144" s="34" t="inlineStr">
        <is>
          <t>นำไปเก็บไว้ที่อุณหภูมิ 4 C, 25 C และ 45 Cเป็นเวลา 6 เดือน</t>
        </is>
      </c>
      <c r="H144" s="34" t="inlineStr">
        <is>
          <t>นำไปเก็บไว้ที่อุณหภูมิ 25 C เป็นเวลา 2 ปี</t>
        </is>
      </c>
      <c r="I144" s="35" t="n">
        <v>2</v>
      </c>
      <c r="J144" s="34"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35" t="n"/>
      <c r="L144" s="34" t="inlineStr">
        <is>
          <t>Tablet Manufacturing</t>
        </is>
      </c>
      <c r="M144" s="35" t="inlineStr">
        <is>
          <t>Product</t>
        </is>
      </c>
      <c r="N144" s="34" t="inlineStr">
        <is>
          <t>ข้อ 124 Pharma Plus เล่มม่วง (เฉลยข้อ ข)</t>
        </is>
      </c>
      <c r="O144" s="35" t="inlineStr">
        <is>
          <t>Mock</t>
        </is>
      </c>
      <c r="P144" s="35" t="inlineStr">
        <is>
          <t>Pharma Plus เล่มม่วง</t>
        </is>
      </c>
    </row>
    <row r="145" ht="409.6" customHeight="1" s="49">
      <c r="A145" s="35" t="n">
        <v>143</v>
      </c>
      <c r="B145" s="34" t="inlineStr">
        <is>
          <t>สารทำ emulsion ที่ดีของยาครีม isotretinoin ควรมีคุณสมบัติ</t>
        </is>
      </c>
      <c r="C145" s="35" t="n"/>
      <c r="D145" s="34" t="inlineStr">
        <is>
          <t>ลดแรงตึงผิว</t>
        </is>
      </c>
      <c r="E145" s="34" t="inlineStr">
        <is>
          <t>เพิ่มความหนืดให้กับครีม</t>
        </is>
      </c>
      <c r="F145" s="34" t="inlineStr">
        <is>
          <t>ให้ศักย์ไฟฟ้าที่เหมาะสมเพื่อให้เกิดแรงผลักของหยด</t>
        </is>
      </c>
      <c r="G145" s="34" t="inlineStr">
        <is>
          <t>มีประสิทธิภาพความเข้มข้นต่ำ</t>
        </is>
      </c>
      <c r="H145" s="34" t="inlineStr">
        <is>
          <t>ถูกทุกข้อ</t>
        </is>
      </c>
      <c r="I145" s="35" t="n">
        <v>5</v>
      </c>
      <c r="J145" s="34"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35" t="n"/>
      <c r="L145" s="34" t="inlineStr">
        <is>
          <t>Tablet Manufacturing</t>
        </is>
      </c>
      <c r="M145" s="35" t="inlineStr">
        <is>
          <t>Product</t>
        </is>
      </c>
      <c r="N145" s="34" t="inlineStr">
        <is>
          <t>ข้อ 154 Pharma Plus เล่มม่วง (เฉลยข้อ จ)</t>
        </is>
      </c>
      <c r="O145" s="35" t="inlineStr">
        <is>
          <t>Mock</t>
        </is>
      </c>
      <c r="P145" s="35" t="inlineStr">
        <is>
          <t>Pharma Plus เล่มม่วง</t>
        </is>
      </c>
    </row>
    <row r="146" ht="409.6" customHeight="1" s="49">
      <c r="A146" s="35" t="n">
        <v>144</v>
      </c>
      <c r="B146" s="34"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35" t="n"/>
      <c r="D146" s="34" t="inlineStr">
        <is>
          <t>Mineral oil</t>
        </is>
      </c>
      <c r="E146" s="34" t="inlineStr">
        <is>
          <t>Carbopol</t>
        </is>
      </c>
      <c r="F146" s="34" t="inlineStr">
        <is>
          <t>White beeswax</t>
        </is>
      </c>
      <c r="G146" s="34" t="inlineStr">
        <is>
          <t>PEG 4000</t>
        </is>
      </c>
      <c r="H146" s="34" t="inlineStr">
        <is>
          <t>Glycerin</t>
        </is>
      </c>
      <c r="I146" s="35" t="n">
        <v>3</v>
      </c>
      <c r="J146" s="34"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35" t="n"/>
      <c r="L146" s="34" t="inlineStr">
        <is>
          <t>Tablet Manufacturing</t>
        </is>
      </c>
      <c r="M146" s="35" t="inlineStr">
        <is>
          <t>Product</t>
        </is>
      </c>
      <c r="N146" s="34" t="inlineStr">
        <is>
          <t>ข้อ 156 Pharma Plus เล่มม่วง (เฉลยข้อ ค)</t>
        </is>
      </c>
      <c r="O146" s="35" t="inlineStr">
        <is>
          <t>Mock</t>
        </is>
      </c>
      <c r="P146" s="35" t="inlineStr">
        <is>
          <t>Pharma Plus เล่มม่วง</t>
        </is>
      </c>
    </row>
    <row r="147" ht="409.6" customHeight="1" s="49">
      <c r="A147" s="35" t="n">
        <v>145</v>
      </c>
      <c r="B147" s="34" t="inlineStr">
        <is>
          <t>ตำรับ aspirin suspension ที่เตรียมแล้วพบว่า เมื่อตั้งทิ้งไว้เป็นก้อนแข็ง เรียกปรากฏการณ์นี้ว่า</t>
        </is>
      </c>
      <c r="C147" s="35" t="n"/>
      <c r="D147" s="34" t="inlineStr">
        <is>
          <t>Flocculation</t>
        </is>
      </c>
      <c r="E147" s="34" t="inlineStr">
        <is>
          <t>Lamination</t>
        </is>
      </c>
      <c r="F147" s="34" t="inlineStr">
        <is>
          <t>Creaming</t>
        </is>
      </c>
      <c r="G147" s="34" t="inlineStr">
        <is>
          <t>Coalescence</t>
        </is>
      </c>
      <c r="H147" s="34" t="inlineStr">
        <is>
          <t>Caking</t>
        </is>
      </c>
      <c r="I147" s="35" t="n">
        <v>5</v>
      </c>
      <c r="J147" s="34"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35" t="n"/>
      <c r="L147" s="34" t="inlineStr">
        <is>
          <t>Tablet Manufacturing</t>
        </is>
      </c>
      <c r="M147" s="35" t="inlineStr">
        <is>
          <t>Product</t>
        </is>
      </c>
      <c r="N147" s="34" t="inlineStr">
        <is>
          <t>ข้อ 168 Pharma Plus เล่มม่วง (เฉลยข้อ จ)</t>
        </is>
      </c>
      <c r="O147" s="35" t="inlineStr">
        <is>
          <t>Mock</t>
        </is>
      </c>
      <c r="P147" s="35" t="inlineStr">
        <is>
          <t>Pharma Plus เล่มม่วง</t>
        </is>
      </c>
    </row>
    <row r="148" ht="409.6" customHeight="1" s="49">
      <c r="A148" s="35" t="n">
        <v>146</v>
      </c>
      <c r="B148" s="34"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35" t="n"/>
      <c r="D148" s="34" t="inlineStr">
        <is>
          <t>Film Coating with Hydroxypropyl methylcellulose (HPMC)</t>
        </is>
      </c>
      <c r="E148" s="34" t="inlineStr">
        <is>
          <t>Enteric Coating with Cellulose acetate phthalate (CAP)</t>
        </is>
      </c>
      <c r="F148" s="34" t="inlineStr">
        <is>
          <t>Hard Gelatin Capsule filling</t>
        </is>
      </c>
      <c r="G148" s="34" t="inlineStr">
        <is>
          <t>Soft Gelatin Capsule encapsulation</t>
        </is>
      </c>
      <c r="H148" s="34" t="inlineStr">
        <is>
          <t>Microcrystalline cellulose</t>
        </is>
      </c>
      <c r="I148" s="35" t="n">
        <v>1</v>
      </c>
      <c r="J148" s="34"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35" t="n"/>
      <c r="L148" s="34" t="inlineStr">
        <is>
          <t>Tablet Manufacturing</t>
        </is>
      </c>
      <c r="M148" s="35" t="inlineStr">
        <is>
          <t>Product</t>
        </is>
      </c>
      <c r="N148" s="34" t="inlineStr">
        <is>
          <t>ข้อ 95 (PLE_CC1_2561_Key.md)</t>
        </is>
      </c>
      <c r="O148" s="35" t="inlineStr">
        <is>
          <t>ข้อสอบจริง</t>
        </is>
      </c>
      <c r="P148" s="35" t="inlineStr">
        <is>
          <t>ปี 2561</t>
        </is>
      </c>
    </row>
    <row r="149" ht="409.6" customHeight="1" s="49">
      <c r="A149" s="35" t="n">
        <v>147</v>
      </c>
      <c r="B149" s="34"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35" t="n"/>
      <c r="D149" s="34" t="inlineStr">
        <is>
          <t>Direct Compression tableting method</t>
        </is>
      </c>
      <c r="E149" s="34" t="inlineStr">
        <is>
          <t>Wet Granulation tableting method</t>
        </is>
      </c>
      <c r="F149" s="34" t="inlineStr">
        <is>
          <t>Dry Granulation (Roller Compaction)</t>
        </is>
      </c>
      <c r="G149" s="34" t="inlineStr">
        <is>
          <t>Fluidized Bed Granulation</t>
        </is>
      </c>
      <c r="H149" s="34" t="inlineStr">
        <is>
          <t>Film Coating with Hydroxypropyl methylcellulose (HPMC)</t>
        </is>
      </c>
      <c r="I149" s="35" t="n">
        <v>2</v>
      </c>
      <c r="J149" s="34"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35" t="n"/>
      <c r="L149" s="34" t="inlineStr">
        <is>
          <t>Tablet Manufacturing</t>
        </is>
      </c>
      <c r="M149" s="35" t="inlineStr">
        <is>
          <t>Product</t>
        </is>
      </c>
      <c r="N149" s="34" t="inlineStr">
        <is>
          <t>ข้อ 5 (PLE_CC1_Key_Rx20_UBU.md)</t>
        </is>
      </c>
      <c r="O149" s="35" t="inlineStr">
        <is>
          <t>Mock</t>
        </is>
      </c>
      <c r="P149" s="35" t="inlineStr">
        <is>
          <t>Mock Rx20 UBU</t>
        </is>
      </c>
    </row>
    <row r="150" ht="409.6" customHeight="1" s="49">
      <c r="A150" s="35" t="n">
        <v>148</v>
      </c>
      <c r="B150" s="34"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35" t="n"/>
      <c r="D150" s="34" t="inlineStr">
        <is>
          <t>Magnesium stearate (Lubricant 1%)</t>
        </is>
      </c>
      <c r="E150" s="34" t="inlineStr">
        <is>
          <t>Sodium starch glycolate (Superdisintegrant)</t>
        </is>
      </c>
      <c r="F150" s="34" t="inlineStr">
        <is>
          <t>Direct Compression tableting method</t>
        </is>
      </c>
      <c r="G150" s="34" t="inlineStr">
        <is>
          <t>Wet Granulation tableting method</t>
        </is>
      </c>
      <c r="H150" s="34" t="inlineStr">
        <is>
          <t>Dry Granulation (Roller Compaction)</t>
        </is>
      </c>
      <c r="I150" s="35" t="n">
        <v>1</v>
      </c>
      <c r="J150" s="34"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35" t="n"/>
      <c r="L150" s="34" t="inlineStr">
        <is>
          <t>Powders &amp; Granules</t>
        </is>
      </c>
      <c r="M150" s="35" t="inlineStr">
        <is>
          <t>Product</t>
        </is>
      </c>
      <c r="N150" s="34" t="inlineStr">
        <is>
          <t>ข้อ 1 (PLE_CC1_Key_Rx20_UBU.md)</t>
        </is>
      </c>
      <c r="O150" s="35" t="inlineStr">
        <is>
          <t>Mock</t>
        </is>
      </c>
      <c r="P150" s="35" t="inlineStr">
        <is>
          <t>Mock Rx20 UBU</t>
        </is>
      </c>
    </row>
    <row r="151" ht="409.6" customHeight="1" s="49">
      <c r="A151" s="35" t="n">
        <v>149</v>
      </c>
      <c r="B151" s="34" t="inlineStr">
        <is>
          <t>Glycerin suppository (ให้ส่วนประกอบมาเป็นตำรับที่ใช้ stearic acid) เกิดปฏิกิริยาระหว่างผสมกันระหว่าง sodium bicarbonate and Stearic acid, sodium carbonate and sodium hydroxide ข้อใดต่อไปนี้ถูกต้อง</t>
        </is>
      </c>
      <c r="C151" s="35" t="n"/>
      <c r="D151" s="34" t="inlineStr">
        <is>
          <t>Stearic acid ทำให้ตำรับมีความแข็ง</t>
        </is>
      </c>
      <c r="E151" s="34" t="inlineStr">
        <is>
          <t>Sodium carbonate ทำให้ตำรับมีความแข็ง</t>
        </is>
      </c>
      <c r="F151" s="34" t="inlineStr">
        <is>
          <t>Stearic acid สามารถละลายใน rectal fluid ทำให้ปลดปล่อยตัวยาสำคัญได้</t>
        </is>
      </c>
      <c r="G151" s="34" t="inlineStr">
        <is>
          <t>Sodium stearate เป็น Soap ทำให้ตำรับมีความคงตัว</t>
        </is>
      </c>
      <c r="H151" s="34" t="inlineStr">
        <is>
          <t>ตำรับนี้เหมือน Gelatinized glycerin</t>
        </is>
      </c>
      <c r="I151" s="35" t="n">
        <v>1</v>
      </c>
      <c r="J151" s="34" t="inlineStr">
        <is>
          <t>✅ คำตอบที่ถูกต้อง: ข้อ ก. Stearic acid ทำให้ตำรับมีความแข็ง
💡 Background:
คำถามข้อสอบจริงใบประกอบวิชาชีพ PLE-CC 1 (Product) ปี 2567 ข้อ 13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1" s="35" t="n"/>
      <c r="L151" s="34" t="inlineStr">
        <is>
          <t>Liquid &amp; Semisolid Dosage Forms</t>
        </is>
      </c>
      <c r="M151" s="35" t="inlineStr">
        <is>
          <t>Product</t>
        </is>
      </c>
      <c r="N151" s="34" t="inlineStr">
        <is>
          <t>ข้อสอบจริง Product ปี 2567 ข้อ 13</t>
        </is>
      </c>
      <c r="O151" s="35" t="inlineStr">
        <is>
          <t>ข้อสอบจริง</t>
        </is>
      </c>
      <c r="P151" s="35" t="inlineStr">
        <is>
          <t>ปี 2567</t>
        </is>
      </c>
    </row>
    <row r="152" ht="409.6" customHeight="1" s="49">
      <c r="A152" s="35" t="n">
        <v>150</v>
      </c>
      <c r="B152" s="34" t="inlineStr">
        <is>
          <t>ในสูตรตำรับยาชนิดหนึ่งซึ่งมีส่วนประกอบ ได้แก่: - Fluticasone - Sodium carboxymethylcellulose (NaCMC) - Starch - Benzalkonium chloride (BAK) - Hydroxypropyl methylcellulose (HPMC) มีการตรวจสอบพบว่าขนาดของอนุภาคเพิ่มขึ้นจาก 250 นาโนเมตรเป็น 500 นาโนเมตรภายใน 30 วันหลังการเตรียมตำรับ ข้อใดต่อไปนี้อธิบายสถานการณ์นี้ได้ถูกต้องที่สุด</t>
        </is>
      </c>
      <c r="C152" s="35" t="n"/>
      <c r="D152" s="34" t="inlineStr">
        <is>
          <t>การเพิ่มขนาดอนุภาคเกิดจากการรวมตัวของอนุภาค (aggregation)</t>
        </is>
      </c>
      <c r="E152" s="34" t="inlineStr">
        <is>
          <t>Sodium metabisulfite ทำน้าที่เป็น binder</t>
        </is>
      </c>
      <c r="F152" s="34" t="n"/>
      <c r="G152" s="34" t="n"/>
      <c r="H152" s="34" t="n"/>
      <c r="I152" s="35" t="n">
        <v>1</v>
      </c>
      <c r="J152" s="34" t="inlineStr">
        <is>
          <t>✅ คำตอบที่ถูกต้อง: ข้อ ก. การเพิ่มขนาดอนุภาคเกิดจากการรวมตัวของอนุภาค (aggregation)
💡 Background:
คำถามข้อสอบจริงใบประกอบวิชาชีพ PLE-CC 1 (Product) ปี 2567 ข้อ 36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2" s="35" t="n"/>
      <c r="L152" s="34" t="inlineStr">
        <is>
          <t>Liquid &amp; Semisolid Dosage Forms</t>
        </is>
      </c>
      <c r="M152" s="35" t="inlineStr">
        <is>
          <t>Product</t>
        </is>
      </c>
      <c r="N152" s="34" t="inlineStr">
        <is>
          <t>ข้อสอบจริง Product ปี 2567 ข้อ 36</t>
        </is>
      </c>
      <c r="O152" s="35" t="inlineStr">
        <is>
          <t>ข้อสอบจริง</t>
        </is>
      </c>
      <c r="P152" s="35" t="inlineStr">
        <is>
          <t>ปี 2567</t>
        </is>
      </c>
    </row>
    <row r="153" ht="409.6" customHeight="1" s="49">
      <c r="A153" s="35" t="n">
        <v>151</v>
      </c>
      <c r="B153" s="34" t="inlineStr">
        <is>
          <t>(ปี 2566, Day 2 ข้อ 48\) (เรื่อง: Theobroma Oil) ⚠️ เกี่ยวกับ Theobroma Oil ข้อใดผิด</t>
        </is>
      </c>
      <c r="C153" s="35" t="n"/>
      <c r="D153" s="34" t="inlineStr">
        <is>
          <t>มีอีกชื่อว่า Cocoa butter</t>
        </is>
      </c>
      <c r="E153" s="34" t="n"/>
      <c r="F153" s="34" t="inlineStr">
        <is>
          <t>สามารถเตรียมได้ด้วยวิธี emulsion method</t>
        </is>
      </c>
      <c r="G153" s="34" t="n"/>
      <c r="H153" s="34" t="n"/>
      <c r="I153" s="35" t="n">
        <v>1</v>
      </c>
      <c r="J153" s="34" t="inlineStr">
        <is>
          <t>✅ คำตอบที่ถูกต้อง: ข้อ ก. มีอีกชื่อว่า Cocoa butter
💡 Background:
คำถามข้อสอบจริงใบประกอบวิชาชีพ PLE-CC 1 (Product) ปี 2566 ข้อ 18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3" s="35" t="n"/>
      <c r="L153" s="34" t="inlineStr">
        <is>
          <t>Liquid &amp; Semisolid Dosage Forms</t>
        </is>
      </c>
      <c r="M153" s="35" t="inlineStr">
        <is>
          <t>Product</t>
        </is>
      </c>
      <c r="N153" s="34" t="inlineStr">
        <is>
          <t>ข้อสอบจริง Product ปี 2566 ข้อ 18</t>
        </is>
      </c>
      <c r="O153" s="35" t="inlineStr">
        <is>
          <t>ข้อสอบจริง</t>
        </is>
      </c>
      <c r="P153" s="35" t="inlineStr">
        <is>
          <t>ปี 2566</t>
        </is>
      </c>
    </row>
    <row r="154" ht="409.6" customHeight="1" s="49">
      <c r="A154" s="35" t="n">
        <v>152</v>
      </c>
      <c r="B154" s="34" t="inlineStr">
        <is>
          <t>(ปี 2566, Day 2 ข้อ 64\) (เรื่อง: สารหล่อลื่นแม่พิมพ์ยาเหน็บ) สูตรตำรับยาเหน็บ ถามว่าใช้อะไรเป็นสารหล่อลื่นแม่พิมพ์</t>
        </is>
      </c>
      <c r="C154" s="35" t="n"/>
      <c r="D154" s="34" t="inlineStr">
        <is>
          <t>Propylene glycol</t>
        </is>
      </c>
      <c r="E154" s="34" t="inlineStr">
        <is>
          <t>Purified water</t>
        </is>
      </c>
      <c r="F154" s="34" t="inlineStr">
        <is>
          <t>Cocoa butter</t>
        </is>
      </c>
      <c r="G154" s="34" t="inlineStr">
        <is>
          <t>Mineral oil</t>
        </is>
      </c>
      <c r="H154" s="34" t="n"/>
      <c r="I154" s="35" t="n">
        <v>1</v>
      </c>
      <c r="J154" s="34" t="inlineStr">
        <is>
          <t>✅ คำตอบที่ถูกต้อง: ข้อ ก. Propylene glycol
💡 Background:
คำถามข้อสอบจริงใบประกอบวิชาชีพ PLE-CC 1 (Product) ปี 2566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4" s="35" t="n"/>
      <c r="L154" s="34" t="inlineStr">
        <is>
          <t>Liquid &amp; Semisolid Dosage Forms</t>
        </is>
      </c>
      <c r="M154" s="35" t="inlineStr">
        <is>
          <t>Product</t>
        </is>
      </c>
      <c r="N154" s="34" t="inlineStr">
        <is>
          <t>ข้อสอบจริง Product ปี 2566 ข้อ 24</t>
        </is>
      </c>
      <c r="O154" s="35" t="inlineStr">
        <is>
          <t>ข้อสอบจริง</t>
        </is>
      </c>
      <c r="P154" s="35" t="inlineStr">
        <is>
          <t>ปี 2566</t>
        </is>
      </c>
    </row>
    <row r="155" ht="409.6" customHeight="1" s="49">
      <c r="A155" s="35" t="n">
        <v>153</v>
      </c>
      <c r="B155" s="34" t="inlineStr">
        <is>
          <t>(ปี 2566, Day 2 ข้อ 79\) (เรื่อง: ครีมพื้น PEG 400/4000 \+ PG) ตำรับครีมมี PEG 400, PEG 4000, PG เป็นยาพื้นชนิดใด</t>
        </is>
      </c>
      <c r="C155" s="35" t="n"/>
      <c r="D155" s="34" t="inlineStr">
        <is>
          <t>Olegenous base</t>
        </is>
      </c>
      <c r="E155" s="34" t="inlineStr">
        <is>
          <t>O/W emulsion base</t>
        </is>
      </c>
      <c r="F155" s="34" t="inlineStr">
        <is>
          <t>Water soluble base</t>
        </is>
      </c>
      <c r="G155" s="34" t="inlineStr">
        <is>
          <t>Absorption base</t>
        </is>
      </c>
      <c r="H155" s="34" t="n"/>
      <c r="I155" s="35" t="n">
        <v>1</v>
      </c>
      <c r="J155" s="34" t="inlineStr">
        <is>
          <t>✅ คำตอบที่ถูกต้อง: ข้อ ก. Olegenous base
💡 Background:
คำถามข้อสอบจริงใบประกอบวิชาชีพ PLE-CC 1 (Product) ปี 2566 ข้อ 29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5" s="35" t="n"/>
      <c r="L155" s="34" t="inlineStr">
        <is>
          <t>Liquid &amp; Semisolid Dosage Forms</t>
        </is>
      </c>
      <c r="M155" s="35" t="inlineStr">
        <is>
          <t>Product</t>
        </is>
      </c>
      <c r="N155" s="34" t="inlineStr">
        <is>
          <t>ข้อสอบจริง Product ปี 2566 ข้อ 29</t>
        </is>
      </c>
      <c r="O155" s="35" t="inlineStr">
        <is>
          <t>ข้อสอบจริง</t>
        </is>
      </c>
      <c r="P155" s="35" t="inlineStr">
        <is>
          <t>ปี 2566</t>
        </is>
      </c>
    </row>
    <row r="156" ht="409.6" customHeight="1" s="49">
      <c r="A156" s="35" t="n">
        <v>154</v>
      </c>
      <c r="B156" s="34" t="inlineStr">
        <is>
          <t>(ปี 2566, Day 2 ข้อ 80\) (เรื่อง: ความไม่คงตัวของครีม - หยดน้ำที่ผิวหน้า) ผู้ป่วยได้รับยาครีม แล้วมีหยดน้ำออกมาที่หน้าครีม จัดเป็นความไม่คงตัวแบบใด</t>
        </is>
      </c>
      <c r="C156" s="35" t="n"/>
      <c r="D156" s="34" t="inlineStr">
        <is>
          <t>Coalescense</t>
        </is>
      </c>
      <c r="E156" s="34" t="inlineStr">
        <is>
          <t>Bleeding</t>
        </is>
      </c>
      <c r="F156" s="34" t="inlineStr">
        <is>
          <t>Breaking</t>
        </is>
      </c>
      <c r="G156" s="34" t="inlineStr">
        <is>
          <t>Caking</t>
        </is>
      </c>
      <c r="H156" s="34" t="n"/>
      <c r="I156" s="35" t="n">
        <v>2</v>
      </c>
      <c r="J156" s="34" t="inlineStr">
        <is>
          <t>✅ คำตอบที่ถูกต้อง: ข้อ ข. Bleeding
💡 Background:
คำถามข้อสอบจริงใบประกอบวิชาชีพ PLE-CC 1 (Product) ปี 2566 ข้อ 30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6" s="35" t="n"/>
      <c r="L156" s="34" t="inlineStr">
        <is>
          <t>Liquid &amp; Semisolid Dosage Forms</t>
        </is>
      </c>
      <c r="M156" s="35" t="inlineStr">
        <is>
          <t>Product</t>
        </is>
      </c>
      <c r="N156" s="34" t="inlineStr">
        <is>
          <t>ข้อสอบจริง Product ปี 2566 ข้อ 30</t>
        </is>
      </c>
      <c r="O156" s="35" t="inlineStr">
        <is>
          <t>ข้อสอบจริง</t>
        </is>
      </c>
      <c r="P156" s="35" t="inlineStr">
        <is>
          <t>ปี 2566</t>
        </is>
      </c>
    </row>
    <row r="157" ht="409.6" customHeight="1" s="49">
      <c r="A157" s="35" t="n">
        <v>155</v>
      </c>
      <c r="B157" s="34" t="inlineStr">
        <is>
          <t>(ปี 2566, Day 2 ข้อ 81\) (เรื่อง: ครีมที่มี SLS) ตำรับครีมมี SLS (Sodium Lauryl Sulfate) เป็นครีมประเภทไหน</t>
        </is>
      </c>
      <c r="C157" s="35" t="n"/>
      <c r="D157" s="34" t="inlineStr">
        <is>
          <t>Vanishing cream</t>
        </is>
      </c>
      <c r="E157" s="34" t="inlineStr">
        <is>
          <t>cold cream</t>
        </is>
      </c>
      <c r="F157" s="34" t="inlineStr">
        <is>
          <t>anionic cream</t>
        </is>
      </c>
      <c r="G157" s="34" t="inlineStr">
        <is>
          <t>cationic cream</t>
        </is>
      </c>
      <c r="H157" s="34" t="inlineStr">
        <is>
          <t>nonionic cream</t>
        </is>
      </c>
      <c r="I157" s="35" t="n">
        <v>1</v>
      </c>
      <c r="J157" s="34" t="inlineStr">
        <is>
          <t>✅ คำตอบที่ถูกต้อง: ข้อ ก. Vanishing cream
💡 Background:
คำถามข้อสอบจริงใบประกอบวิชาชีพ PLE-CC 1 (Product) ปี 2566 ข้อ 31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7" s="35" t="n"/>
      <c r="L157" s="34" t="inlineStr">
        <is>
          <t>Liquid &amp; Semisolid Dosage Forms</t>
        </is>
      </c>
      <c r="M157" s="35" t="inlineStr">
        <is>
          <t>Product</t>
        </is>
      </c>
      <c r="N157" s="34" t="inlineStr">
        <is>
          <t>ข้อสอบจริง Product ปี 2566 ข้อ 31</t>
        </is>
      </c>
      <c r="O157" s="35" t="inlineStr">
        <is>
          <t>ข้อสอบจริง</t>
        </is>
      </c>
      <c r="P157" s="35" t="inlineStr">
        <is>
          <t>ปี 2566</t>
        </is>
      </c>
    </row>
    <row r="158" ht="409.6" customHeight="1" s="49">
      <c r="A158" s="35" t="n">
        <v>156</v>
      </c>
      <c r="B158" s="34" t="inlineStr">
        <is>
          <t>ตํารับนี้เป็นยารูปแบบใด</t>
        </is>
      </c>
      <c r="C158" s="35" t="n"/>
      <c r="D158" s="34" t="inlineStr">
        <is>
          <t>Ointment</t>
        </is>
      </c>
      <c r="E158" s="34" t="inlineStr">
        <is>
          <t>Gel</t>
        </is>
      </c>
      <c r="F158" s="34" t="inlineStr">
        <is>
          <t>Emulsion</t>
        </is>
      </c>
      <c r="G158" s="34" t="inlineStr">
        <is>
          <t>Cream</t>
        </is>
      </c>
      <c r="H158" s="34" t="inlineStr">
        <is>
          <t>[NEED_REVIEW]</t>
        </is>
      </c>
      <c r="I158" s="35" t="n">
        <v>1</v>
      </c>
      <c r="J158" s="34" t="inlineStr">
        <is>
          <t>✅ คำตอบที่ถูกต้อง: ข้อ ก. Ointment
💡 Background:
คำถามข้อสอบจริงใบประกอบวิชาชีพ PLE-CC 1 (Product) ปี 2565 ข้อ 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8" s="35" t="n"/>
      <c r="L158" s="34" t="inlineStr">
        <is>
          <t>Liquid &amp; Semisolid Dosage Forms</t>
        </is>
      </c>
      <c r="M158" s="35" t="inlineStr">
        <is>
          <t>Product</t>
        </is>
      </c>
      <c r="N158" s="34" t="inlineStr">
        <is>
          <t>ข้อสอบจริง Product ปี 2565 ข้อ 1</t>
        </is>
      </c>
      <c r="O158" s="35" t="inlineStr">
        <is>
          <t>ข้อสอบจริง</t>
        </is>
      </c>
      <c r="P158" s="35" t="inlineStr">
        <is>
          <t>ปี 2565</t>
        </is>
      </c>
    </row>
    <row r="159" ht="409.6" customHeight="1" s="49">
      <c r="A159" s="35" t="n">
        <v>157</v>
      </c>
      <c r="B159" s="34" t="inlineStr">
        <is>
          <t>triethanolamine ทําหน้าที่อะไรในตํารับ</t>
        </is>
      </c>
      <c r="C159" s="35" t="n"/>
      <c r="D159" s="34" t="inlineStr">
        <is>
          <t>neutralize carbopol</t>
        </is>
      </c>
      <c r="E159" s="34" t="inlineStr">
        <is>
          <t>protect? Capsaicinoid</t>
        </is>
      </c>
      <c r="F159" s="34" t="inlineStr">
        <is>
          <t>preservative</t>
        </is>
      </c>
      <c r="G159" s="34" t="inlineStr">
        <is>
          <t>[NEED_REVIEW]</t>
        </is>
      </c>
      <c r="H159" s="34" t="inlineStr">
        <is>
          <t>[NEED_REVIEW]</t>
        </is>
      </c>
      <c r="I159" s="35" t="n">
        <v>1</v>
      </c>
      <c r="J159" s="34" t="inlineStr">
        <is>
          <t>✅ คำตอบที่ถูกต้อง: ข้อ ก. neutralize carbopol
💡 Background:
คำถามข้อสอบจริงใบประกอบวิชาชีพ PLE-CC 1 (Product) ปี 2565 ข้อ 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59" s="35" t="n"/>
      <c r="L159" s="34" t="inlineStr">
        <is>
          <t>Liquid &amp; Semisolid Dosage Forms</t>
        </is>
      </c>
      <c r="M159" s="35" t="inlineStr">
        <is>
          <t>Product</t>
        </is>
      </c>
      <c r="N159" s="34" t="inlineStr">
        <is>
          <t>ข้อสอบจริง Product ปี 2565 ข้อ 2</t>
        </is>
      </c>
      <c r="O159" s="35" t="inlineStr">
        <is>
          <t>ข้อสอบจริง</t>
        </is>
      </c>
      <c r="P159" s="35" t="inlineStr">
        <is>
          <t>ปี 2565</t>
        </is>
      </c>
    </row>
    <row r="160" ht="409.6" customHeight="1" s="49">
      <c r="A160" s="35" t="n">
        <v>158</v>
      </c>
      <c r="B160" s="34" t="inlineStr">
        <is>
          <t>ให้ส่วนประกอบ mometasone nasal spray 0.5% ถามว่า Citric acid กับ sodium citrate ทำหน้าที่อะไรในตำรับ</t>
        </is>
      </c>
      <c r="C160" s="35" t="n"/>
      <c r="D160" s="34" t="inlineStr">
        <is>
          <t>Preservative</t>
        </is>
      </c>
      <c r="E160" s="34" t="inlineStr">
        <is>
          <t>Buffer</t>
        </is>
      </c>
      <c r="F160" s="34" t="inlineStr">
        <is>
          <t>antioxidant</t>
        </is>
      </c>
      <c r="G160" s="34" t="inlineStr">
        <is>
          <t>Solubilizer</t>
        </is>
      </c>
      <c r="H160" s="34" t="inlineStr">
        <is>
          <t>[NEED_REVIEW]</t>
        </is>
      </c>
      <c r="I160" s="35" t="n">
        <v>1</v>
      </c>
      <c r="J160" s="34" t="inlineStr">
        <is>
          <t>✅ คำตอบที่ถูกต้อง: ข้อ ก. Preservative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0" s="35" t="n"/>
      <c r="L160" s="34" t="inlineStr">
        <is>
          <t>Liquid &amp; Semisolid Dosage Forms</t>
        </is>
      </c>
      <c r="M160" s="35" t="inlineStr">
        <is>
          <t>Product</t>
        </is>
      </c>
      <c r="N160" s="34" t="inlineStr">
        <is>
          <t>ข้อสอบจริง Product ปี 2565 ข้อ 40</t>
        </is>
      </c>
      <c r="O160" s="35" t="inlineStr">
        <is>
          <t>ข้อสอบจริง</t>
        </is>
      </c>
      <c r="P160" s="35" t="inlineStr">
        <is>
          <t>ปี 2565</t>
        </is>
      </c>
    </row>
    <row r="161" ht="409.6" customHeight="1" s="49">
      <c r="A161" s="35" t="n">
        <v>159</v>
      </c>
      <c r="B161" s="34" t="inlineStr">
        <is>
          <t>ถ้าได้ยา suspension ต้องทำไงถึงจะทำให้มียาตกตะกอนนอนก้น (sedimentation rate) น้อยที่สุด</t>
        </is>
      </c>
      <c r="C161" s="35" t="n"/>
      <c r="D161" s="34" t="inlineStr">
        <is>
          <t>เพิ่มความหนืดตัวกลาง</t>
        </is>
      </c>
      <c r="E161" s="34" t="inlineStr">
        <is>
          <t>เพิ่มขนาดอนุภาคผงยา</t>
        </is>
      </c>
      <c r="F161" s="34" t="inlineStr">
        <is>
          <t>เพิ่มความหนาแน่นผงยา</t>
        </is>
      </c>
      <c r="G161" s="34" t="inlineStr">
        <is>
          <t>เพิ่ม flocculating agent</t>
        </is>
      </c>
      <c r="H161" s="34" t="inlineStr">
        <is>
          <t>เพิ่มการกระจายขนาดผงยา</t>
        </is>
      </c>
      <c r="I161" s="35" t="n">
        <v>1</v>
      </c>
      <c r="J161" s="34" t="inlineStr">
        <is>
          <t>✅ คำตอบที่ถูกต้อง: ข้อ ก. เพิ่มความหนืดตัวกลาง
💡 Background:
คำถามข้อสอบจริงใบประกอบวิชาชีพ PLE-CC 1 (Product) ปี 2565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1" s="35" t="n"/>
      <c r="L161" s="34" t="inlineStr">
        <is>
          <t>Liquid &amp; Semisolid Dosage Forms</t>
        </is>
      </c>
      <c r="M161" s="35" t="inlineStr">
        <is>
          <t>Product</t>
        </is>
      </c>
      <c r="N161" s="34" t="inlineStr">
        <is>
          <t>ข้อสอบจริง Product ปี 2565 ข้อ 84</t>
        </is>
      </c>
      <c r="O161" s="35" t="inlineStr">
        <is>
          <t>ข้อสอบจริง</t>
        </is>
      </c>
      <c r="P161" s="35" t="inlineStr">
        <is>
          <t>ปี 2565</t>
        </is>
      </c>
    </row>
    <row r="162" ht="409.6" customHeight="1" s="49">
      <c r="A162" s="35" t="n">
        <v>160</v>
      </c>
      <c r="B162" s="34" t="inlineStr">
        <is>
          <t>"Property of gel former is thermosensitive hydrogel...." ถามว่าสารก่อเจลตัวนี้คือสารใด</t>
        </is>
      </c>
      <c r="C162" s="35" t="n"/>
      <c r="D162" s="34" t="inlineStr">
        <is>
          <t>Carbomer</t>
        </is>
      </c>
      <c r="E162" s="34" t="inlineStr">
        <is>
          <t>Poloxamer</t>
        </is>
      </c>
      <c r="F162" s="34" t="inlineStr">
        <is>
          <t>HEC</t>
        </is>
      </c>
      <c r="G162" s="34" t="inlineStr">
        <is>
          <t>Polyvinyl chloride</t>
        </is>
      </c>
      <c r="H162" s="34" t="inlineStr">
        <is>
          <t>[NEED_REVIEW]</t>
        </is>
      </c>
      <c r="I162" s="35" t="n">
        <v>1</v>
      </c>
      <c r="J162" s="34" t="inlineStr">
        <is>
          <t>✅ คำตอบที่ถูกต้อง: ข้อ ก. Carbomer
💡 Background:
คำถามข้อสอบจริงใบประกอบวิชาชีพ PLE-CC 1 (Product) ปี 2565 ข้อ 94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2" s="35" t="n"/>
      <c r="L162" s="34" t="inlineStr">
        <is>
          <t>Liquid &amp; Semisolid Dosage Forms</t>
        </is>
      </c>
      <c r="M162" s="35" t="inlineStr">
        <is>
          <t>Product</t>
        </is>
      </c>
      <c r="N162" s="34" t="inlineStr">
        <is>
          <t>ข้อสอบจริง Product ปี 2565 ข้อ 94</t>
        </is>
      </c>
      <c r="O162" s="35" t="inlineStr">
        <is>
          <t>ข้อสอบจริง</t>
        </is>
      </c>
      <c r="P162" s="35" t="inlineStr">
        <is>
          <t>ปี 2565</t>
        </is>
      </c>
    </row>
    <row r="163" ht="409.6" customHeight="1" s="49">
      <c r="A163" s="35" t="n">
        <v>161</v>
      </c>
      <c r="B163" s="34" t="inlineStr">
        <is>
          <t>Clobetasol propionate 0.05% เตรียมจาก Clobetasol propionate 0.5 mg ในยาพื้น 1 g ในตำรับ มีสารช่วย ดังนี้ Carbopol 1432, Hypromellose, mineral oil, pee 300 isosterate, propylene glycol, sodium hydroxide, water สารในข้อใดเป็น emulsifier</t>
        </is>
      </c>
      <c r="C163" s="35" t="n"/>
      <c r="D163" s="34" t="inlineStr">
        <is>
          <t>Carbopol 1432</t>
        </is>
      </c>
      <c r="E163" s="34" t="inlineStr">
        <is>
          <t>Hypromellose</t>
        </is>
      </c>
      <c r="F163" s="34" t="inlineStr">
        <is>
          <t>mineral oil</t>
        </is>
      </c>
      <c r="G163" s="34" t="inlineStr">
        <is>
          <t>peg 300 isosterate</t>
        </is>
      </c>
      <c r="H163" s="34" t="inlineStr">
        <is>
          <t>propylene glycol กรณีที่ 13</t>
        </is>
      </c>
      <c r="I163" s="35" t="n">
        <v>1</v>
      </c>
      <c r="J163" s="34" t="inlineStr">
        <is>
          <t>✅ คำตอบที่ถูกต้อง: ข้อ ก. Carbopol 1432
💡 Background:
คำถามข้อสอบจริงใบประกอบวิชาชีพ PLE-CC 1 (Product) ปี 2565 ข้อ 40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3" s="35" t="n"/>
      <c r="L163" s="34" t="inlineStr">
        <is>
          <t>Liquid &amp; Semisolid Dosage Forms</t>
        </is>
      </c>
      <c r="M163" s="35" t="inlineStr">
        <is>
          <t>Product</t>
        </is>
      </c>
      <c r="N163" s="34" t="inlineStr">
        <is>
          <t>ข้อสอบจริง Product ปี 2565 ข้อ 40</t>
        </is>
      </c>
      <c r="O163" s="35" t="inlineStr">
        <is>
          <t>ข้อสอบจริง</t>
        </is>
      </c>
      <c r="P163" s="35" t="inlineStr">
        <is>
          <t>ปี 2565</t>
        </is>
      </c>
    </row>
    <row r="164" ht="409.6" customHeight="1" s="49">
      <c r="A164" s="35" t="n">
        <v>162</v>
      </c>
      <c r="B164" s="34" t="inlineStr">
        <is>
          <t>อยากเพิ่มระยะเวลาให้ยาอยู่ที่กระจกตานานขึ้น ควรเติมสารใด</t>
        </is>
      </c>
      <c r="C164" s="35" t="n"/>
      <c r="D164" s="34" t="inlineStr">
        <is>
          <t>Buffering agent</t>
        </is>
      </c>
      <c r="E164" s="34" t="inlineStr">
        <is>
          <t>Viscosity enhancer</t>
        </is>
      </c>
      <c r="F164" s="34" t="inlineStr">
        <is>
          <t>surface active agent</t>
        </is>
      </c>
      <c r="G164" s="34" t="inlineStr">
        <is>
          <t>isotonic agent</t>
        </is>
      </c>
      <c r="H164" s="34" t="inlineStr">
        <is>
          <t>stabilizer</t>
        </is>
      </c>
      <c r="I164" s="35" t="n">
        <v>1</v>
      </c>
      <c r="J164" s="34" t="inlineStr">
        <is>
          <t>✅ คำตอบที่ถูกต้อง: ข้อ ก. Buffering agent
💡 Background:
คำถามข้อสอบจริงใบประกอบวิชาชีพ PLE-CC 1 (Product) ปี 2565 ข้อ 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4" s="35" t="n"/>
      <c r="L164" s="34" t="inlineStr">
        <is>
          <t>Liquid &amp; Semisolid Dosage Forms</t>
        </is>
      </c>
      <c r="M164" s="35" t="inlineStr">
        <is>
          <t>Product</t>
        </is>
      </c>
      <c r="N164" s="34" t="inlineStr">
        <is>
          <t>ข้อสอบจริง Product ปี 2565 ข้อ 43</t>
        </is>
      </c>
      <c r="O164" s="35" t="inlineStr">
        <is>
          <t>ข้อสอบจริง</t>
        </is>
      </c>
      <c r="P164" s="35" t="inlineStr">
        <is>
          <t>ปี 2565</t>
        </is>
      </c>
    </row>
    <row r="165" ht="409.6" customHeight="1" s="49">
      <c r="A165" s="35" t="n">
        <v>163</v>
      </c>
      <c r="B165" s="34" t="inlineStr">
        <is>
          <t>Aluminum hydroxide paste eq. to Aluminum hydroxide 4 g, glycerol, sorbitol, methyl hydroxybenzoate, propyl hydroxybenzoate purified water qs. to 100 ml หากเตรียมจริง จะได้ตำรับอะไร</t>
        </is>
      </c>
      <c r="C165" s="35" t="n"/>
      <c r="D165" s="34" t="inlineStr">
        <is>
          <t>oral solution</t>
        </is>
      </c>
      <c r="E165" s="34" t="inlineStr">
        <is>
          <t>suspension</t>
        </is>
      </c>
      <c r="F165" s="34" t="inlineStr">
        <is>
          <t>syrup</t>
        </is>
      </c>
      <c r="G165" s="34" t="inlineStr">
        <is>
          <t>tincture</t>
        </is>
      </c>
      <c r="H165" s="34" t="inlineStr">
        <is>
          <t>emulsion</t>
        </is>
      </c>
      <c r="I165" s="35" t="n">
        <v>1</v>
      </c>
      <c r="J165" s="34" t="inlineStr">
        <is>
          <t>✅ คำตอบที่ถูกต้อง: ข้อ ก. oral solution
💡 Background:
คำถามข้อสอบจริงใบประกอบวิชาชีพ PLE-CC 1 (Product) ปี 2565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5" s="35" t="n"/>
      <c r="L165" s="34" t="inlineStr">
        <is>
          <t>Liquid &amp; Semisolid Dosage Forms</t>
        </is>
      </c>
      <c r="M165" s="35" t="inlineStr">
        <is>
          <t>Product</t>
        </is>
      </c>
      <c r="N165" s="34" t="inlineStr">
        <is>
          <t>ข้อสอบจริง Product ปี 2565 ข้อ 78</t>
        </is>
      </c>
      <c r="O165" s="35" t="inlineStr">
        <is>
          <t>ข้อสอบจริง</t>
        </is>
      </c>
      <c r="P165" s="35" t="inlineStr">
        <is>
          <t>ปี 2565</t>
        </is>
      </c>
    </row>
    <row r="166" ht="409.6" customHeight="1" s="49">
      <c r="A166" s="35" t="n">
        <v>164</v>
      </c>
      <c r="B166" s="34" t="inlineStr">
        <is>
          <t>Calamide suspension ตกตะกอน เขย่าแล้วไม่กลับคืน เรียกว่าอะไร</t>
        </is>
      </c>
      <c r="C166" s="35" t="n"/>
      <c r="D166" s="34" t="inlineStr">
        <is>
          <t>Caking</t>
        </is>
      </c>
      <c r="E166" s="34" t="inlineStr">
        <is>
          <t>Cracking</t>
        </is>
      </c>
      <c r="F166" s="34" t="inlineStr">
        <is>
          <t>Upward Creaming</t>
        </is>
      </c>
      <c r="G166" s="34" t="inlineStr">
        <is>
          <t>Downward Creaming</t>
        </is>
      </c>
      <c r="H166" s="34" t="inlineStr">
        <is>
          <t>[NEED_REVIEW]</t>
        </is>
      </c>
      <c r="I166" s="35" t="n">
        <v>1</v>
      </c>
      <c r="J166" s="34" t="inlineStr">
        <is>
          <t>✅ คำตอบที่ถูกต้อง: ข้อ ก. Caking
💡 Background:
คำถามข้อสอบจริงใบประกอบวิชาชีพ PLE-CC 1 (Product) ปี 2565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6" s="35" t="n"/>
      <c r="L166" s="34" t="inlineStr">
        <is>
          <t>Liquid &amp; Semisolid Dosage Forms</t>
        </is>
      </c>
      <c r="M166" s="35" t="inlineStr">
        <is>
          <t>Product</t>
        </is>
      </c>
      <c r="N166" s="34" t="inlineStr">
        <is>
          <t>ข้อสอบจริง Product ปี 2565 ข้อ 82</t>
        </is>
      </c>
      <c r="O166" s="35" t="inlineStr">
        <is>
          <t>ข้อสอบจริง</t>
        </is>
      </c>
      <c r="P166" s="35" t="inlineStr">
        <is>
          <t>ปี 2565</t>
        </is>
      </c>
    </row>
    <row r="167" ht="409.6" customHeight="1" s="49">
      <c r="A167" s="35" t="n">
        <v>165</v>
      </c>
      <c r="B167" s="34" t="inlineStr">
        <is>
          <t>ตอบ ข. Glycerin คำอธิบาย : เพราะ glycerin เป็น wetting agent ที่เหมาะสมสำหรับการกระจายตัวของผงยาในตำรับยาน้ำแขวนตะกอน (suspension) เช่น methimazole suspension ผงของยา methimazole สามารถละลายได้ในน้ำและ Alcohol การใช้ Glycerin เป็น Wetting agent จึงเหมาะสมที่สุด ในขณะที่ข้ออื่น</t>
        </is>
      </c>
      <c r="C167" s="35" t="n"/>
      <c r="D167" s="34" t="inlineStr">
        <is>
          <t>Purified water : Vehicle</t>
        </is>
      </c>
      <c r="E167" s="34" t="n"/>
      <c r="F167" s="34" t="inlineStr">
        <is>
          <t>Mineral oil : levigating agent สำหรับ ointment ถ้านำไปใช้ในยาน้ำจะเกิดการแยกชั้น</t>
        </is>
      </c>
      <c r="G167" s="34" t="inlineStr">
        <is>
          <t>Benzyl alcohol : preservative ไม่ใช้เป็น wetting agent และอาจมีพิษในทารก (gasping syndrome)</t>
        </is>
      </c>
      <c r="H167" s="34" t="inlineStr">
        <is>
          <t>Alcohol : Solvent / Cosolvent</t>
        </is>
      </c>
      <c r="I167" s="35" t="n">
        <v>2</v>
      </c>
      <c r="J167" s="34" t="inlineStr">
        <is>
          <t>✅ คำตอบที่ถูกต้อง: ข้อ ข. 
💡 Background:
คำถามข้อสอบจริงใบประกอบวิชาชีพ PLE-CC 1 (Product) ปี 2565 ข้อ 26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7" s="35" t="n"/>
      <c r="L167" s="34" t="inlineStr">
        <is>
          <t>Liquid &amp; Semisolid Dosage Forms</t>
        </is>
      </c>
      <c r="M167" s="35" t="inlineStr">
        <is>
          <t>Product</t>
        </is>
      </c>
      <c r="N167" s="34" t="inlineStr">
        <is>
          <t>ข้อสอบจริง Product ปี 2565 ข้อ 26</t>
        </is>
      </c>
      <c r="O167" s="35" t="inlineStr">
        <is>
          <t>ข้อสอบจริง</t>
        </is>
      </c>
      <c r="P167" s="35" t="inlineStr">
        <is>
          <t>ปี 2565</t>
        </is>
      </c>
    </row>
    <row r="168" ht="409.6" customHeight="1" s="49">
      <c r="A168" s="35" t="n">
        <v>166</v>
      </c>
      <c r="B168" s="34" t="inlineStr">
        <is>
          <t>ตอบ ข้อ ง. peg 300 isosterate คำอธิบาย : เนื่องจากเป็น Emulsifier สำหรับในข้ออื่น</t>
        </is>
      </c>
      <c r="C168" s="35" t="inlineStr">
        <is>
          <t>[แนบรูป: ข้อสอบ Product ปี 2565 รหัสรูปภาพ image50]</t>
        </is>
      </c>
      <c r="D168" s="34" t="inlineStr">
        <is>
          <t>Carbopol 1432 = Thickening agent, gelling agent</t>
        </is>
      </c>
      <c r="E168" s="34" t="inlineStr">
        <is>
          <t>Hypromellose = Thickening agent</t>
        </is>
      </c>
      <c r="F168" s="34" t="inlineStr">
        <is>
          <t>mineral oil = Emollient</t>
        </is>
      </c>
      <c r="G168" s="34" t="inlineStr">
        <is>
          <t>peg 300 isosterate = Emulsifier</t>
        </is>
      </c>
      <c r="H168" s="34" t="inlineStr">
        <is>
          <t>propylene glycol = Co-solvent, humectant [แนบรูป: ข้อสอบ Product ปี 2565 รหัสรูปภาพ image50]</t>
        </is>
      </c>
      <c r="I168" s="35" t="n">
        <v>2</v>
      </c>
      <c r="J168" s="34" t="inlineStr">
        <is>
          <t>✅ คำตอบที่ถูกต้อง: ข้อ ข. Hypromellose = Thickening agent
💡 Background:
คำถามข้อสอบจริงใบประกอบวิชาชีพ PLE-CC 1 (Product) ปี 2565 ข้อ 40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8" s="35" t="n"/>
      <c r="L168" s="34" t="inlineStr">
        <is>
          <t>Liquid &amp; Semisolid Dosage Forms</t>
        </is>
      </c>
      <c r="M168" s="35" t="inlineStr">
        <is>
          <t>Product</t>
        </is>
      </c>
      <c r="N168" s="34" t="inlineStr">
        <is>
          <t>ข้อสอบจริง Product ปี 2565 ข้อ 40</t>
        </is>
      </c>
      <c r="O168" s="35" t="inlineStr">
        <is>
          <t>ข้อสอบจริง</t>
        </is>
      </c>
      <c r="P168" s="35" t="inlineStr">
        <is>
          <t>ปี 2565</t>
        </is>
      </c>
    </row>
    <row r="169" ht="409.6" customHeight="1" s="49">
      <c r="A169" s="35" t="n">
        <v>167</v>
      </c>
      <c r="B169" s="34" t="inlineStr">
        <is>
          <t>ตอบ ข.suspension คำอธิบาย :</t>
        </is>
      </c>
      <c r="C169" s="35" t="inlineStr">
        <is>
          <t>[แนบรูป: ข้อสอบ Product ปี 2565 รหัสรูปภาพ image63]</t>
        </is>
      </c>
      <c r="D169" s="34" t="inlineStr">
        <is>
          <t>oral solution  : API ไม่ละลายน้ำ เตรียมเป็น solution ไม่ได้</t>
        </is>
      </c>
      <c r="E169" s="34" t="n"/>
      <c r="F169" s="34" t="inlineStr">
        <is>
          <t>syrup  :  ไม่มีในตำรับ</t>
        </is>
      </c>
      <c r="G169" s="34" t="inlineStr">
        <is>
          <t>tincture : ในตำรับไม่มี alcohol</t>
        </is>
      </c>
      <c r="H169" s="34" t="inlineStr">
        <is>
          <t>emulsion :  ในตำรับไม่มี emulsifying agent [แนบรูป: ข้อสอบ Product ปี 2565 รหัสรูปภาพ image63]</t>
        </is>
      </c>
      <c r="I169" s="35" t="n">
        <v>2</v>
      </c>
      <c r="J169" s="34" t="inlineStr">
        <is>
          <t>✅ คำตอบที่ถูกต้อง: ข้อ ข. 
💡 Background:
คำถามข้อสอบจริงใบประกอบวิชาชีพ PLE-CC 1 (Product) ปี 2565 ข้อ 78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69" s="35" t="n"/>
      <c r="L169" s="34" t="inlineStr">
        <is>
          <t>Liquid &amp; Semisolid Dosage Forms</t>
        </is>
      </c>
      <c r="M169" s="35" t="inlineStr">
        <is>
          <t>Product</t>
        </is>
      </c>
      <c r="N169" s="34" t="inlineStr">
        <is>
          <t>ข้อสอบจริง Product ปี 2565 ข้อ 78</t>
        </is>
      </c>
      <c r="O169" s="35" t="inlineStr">
        <is>
          <t>ข้อสอบจริง</t>
        </is>
      </c>
      <c r="P169" s="35" t="inlineStr">
        <is>
          <t>ปี 2565</t>
        </is>
      </c>
    </row>
    <row r="170" ht="409.6" customHeight="1" s="49">
      <c r="A170" s="35" t="n">
        <v>168</v>
      </c>
      <c r="B170" s="34" t="inlineStr">
        <is>
          <t>ตำแหน่ง A pka= 4.5 ตําแหน่ง B pka=10 หาการแตกตัวของตำแหน่ง A และ B กําหนด pH =4.5 ให้หาร้อยละการแตกตัว โดยกําหนดให้ 10^-5.5 = 0.000003 [แนบรูป: ข้อสอบ Product ปี 2564 รหัสรูปภาพ image70]</t>
        </is>
      </c>
      <c r="C170" s="35" t="inlineStr">
        <is>
          <t>[แนบรูป: ข้อสอบ Product ปี 2564 รหัสรูปภาพ image70]</t>
        </is>
      </c>
      <c r="D170" s="34" t="inlineStr">
        <is>
          <t>เพิ่มอุณหภูมิการอบแห้ง  ทำให้แห้งเร็วเกินไป ฟิล์มอาจยิ่งเปราะ</t>
        </is>
      </c>
      <c r="E170" s="34" t="inlineStr">
        <is>
          <t>เพิ่มgelatinในนํ้ายาเคลือบ</t>
        </is>
      </c>
      <c r="F170" s="34" t="inlineStr">
        <is>
          <t>เพิ่ม Talcum ในน้ำยาเคลือบ Talc เป็นสารกันติด (glidant) ไม่ช่วยแก้ปัญหาฟิล์มแตก</t>
        </is>
      </c>
      <c r="G170" s="34" t="inlineStr">
        <is>
          <t>เพิ่มอัตราเร็วการหมุนของหม้อเคลือบ อาจทำให้เม็ดยาชนกันแรงขึ้นและแตกง่ายกว่าเดิม</t>
        </is>
      </c>
      <c r="H170" s="34" t="inlineStr">
        <is>
          <t>เพิ่มอัตราการให้น้ำยาเคลือบ  อาจทำให้เม็ดยาเปียกเกิน เกิดการติดกัน (sticking/picking)</t>
        </is>
      </c>
      <c r="I170" s="35" t="n">
        <v>1</v>
      </c>
      <c r="J170" s="34" t="inlineStr">
        <is>
          <t>✅ คำตอบที่ถูกต้อง: ข้อ ก. เพิ่มอุณหภูมิการอบแห้ง  ทำให้แห้งเร็วเกินไป ฟิล์มอาจยิ่งเปราะ
💡 Background:
คำถามข้อสอบจริงใบประกอบวิชาชีพ PLE-CC 1 (Product) ปี 2564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0" s="35" t="n"/>
      <c r="L170" s="34" t="inlineStr">
        <is>
          <t>Liquid &amp; Semisolid Dosage Forms</t>
        </is>
      </c>
      <c r="M170" s="35" t="inlineStr">
        <is>
          <t>Product</t>
        </is>
      </c>
      <c r="N170" s="34" t="inlineStr">
        <is>
          <t>ข้อสอบจริง Product ปี 2564 ข้อ 7</t>
        </is>
      </c>
      <c r="O170" s="35" t="inlineStr">
        <is>
          <t>ข้อสอบจริง</t>
        </is>
      </c>
      <c r="P170" s="35" t="inlineStr">
        <is>
          <t>ปี 2564</t>
        </is>
      </c>
    </row>
    <row r="171" ht="409.6" customHeight="1" s="49">
      <c r="A171" s="35" t="n">
        <v>169</v>
      </c>
      <c r="B171" s="34" t="inlineStr">
        <is>
          <t>ส่วนประกอบที่สําคัญของยาเม็ด ในยาที่เกิดการสลายตัวในสภาวะกรด</t>
        </is>
      </c>
      <c r="C171" s="35" t="n"/>
      <c r="D171" s="34" t="inlineStr">
        <is>
          <t>Cellulose acetate phthalates</t>
        </is>
      </c>
      <c r="E171" s="34" t="inlineStr">
        <is>
          <t>PVP (Polyvinylpyrrolidone)  เป็นสารยึดเกาะ (Binder)</t>
        </is>
      </c>
      <c r="F171" s="34" t="inlineStr">
        <is>
          <t>HPMC (Hydroxypropyl methylcellulose)  เป็นสารเคลือบฟิล์มทั่วไป/เพิ่มความหนืด ไม่ใช่ enteric coating</t>
        </is>
      </c>
      <c r="G171" s="34" t="inlineStr">
        <is>
          <t>Sodium starch glycolate  เป็นสารช่วยแตกตัว (Disintegrant)</t>
        </is>
      </c>
      <c r="H171" s="34" t="inlineStr">
        <is>
          <t>Magnesium stearate เป็นสารหล่อลื่น (Lubricant)</t>
        </is>
      </c>
      <c r="I171" s="35" t="n">
        <v>1</v>
      </c>
      <c r="J171" s="34" t="inlineStr">
        <is>
          <t>✅ คำตอบที่ถูกต้อง: ข้อ ก. Cellulose acetate phthalates
💡 Background:
คำถามข้อสอบจริงใบประกอบวิชาชีพ PLE-CC 1 (Product) ปี 2564 ข้อ 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1" s="35" t="n"/>
      <c r="L171" s="34" t="inlineStr">
        <is>
          <t>Liquid &amp; Semisolid Dosage Forms</t>
        </is>
      </c>
      <c r="M171" s="35" t="inlineStr">
        <is>
          <t>Product</t>
        </is>
      </c>
      <c r="N171" s="34" t="inlineStr">
        <is>
          <t>ข้อสอบจริง Product ปี 2564 ข้อ 12</t>
        </is>
      </c>
      <c r="O171" s="35" t="inlineStr">
        <is>
          <t>ข้อสอบจริง</t>
        </is>
      </c>
      <c r="P171" s="35" t="inlineStr">
        <is>
          <t>ปี 2564</t>
        </is>
      </c>
    </row>
    <row r="172" ht="409.6" customHeight="1" s="49">
      <c r="A172" s="35" t="n">
        <v>170</v>
      </c>
      <c r="B172" s="34" t="inlineStr">
        <is>
          <t>ข้อใดผิดเกี่ยวกับ piroxicam gel ให้สูตรตํารับมา</t>
        </is>
      </c>
      <c r="C172" s="35" t="n"/>
      <c r="D172" s="34" t="inlineStr">
        <is>
          <t>Carbopol เป็น gelling agents</t>
        </is>
      </c>
      <c r="E172" s="34" t="inlineStr">
        <is>
          <t>Diisopropanolamine เป็น neutralizing agents</t>
        </is>
      </c>
      <c r="F172" s="34" t="inlineStr">
        <is>
          <t>Ethanol เป็น cosolvent</t>
        </is>
      </c>
      <c r="G172" s="34" t="inlineStr">
        <is>
          <t>Propylene glycol เป็น humectant</t>
        </is>
      </c>
      <c r="H172" s="34" t="inlineStr">
        <is>
          <t>Benzyl alcohol เป็น cosolvent</t>
        </is>
      </c>
      <c r="I172" s="35" t="n">
        <v>1</v>
      </c>
      <c r="J172" s="34" t="inlineStr">
        <is>
          <t>✅ คำตอบที่ถูกต้อง: ข้อ ก. Carbopol เป็น gelling agents
💡 Background:
คำถามข้อสอบจริงใบประกอบวิชาชีพ PLE-CC 1 (Product) ปี 2564 ข้อ 14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2" s="35" t="n"/>
      <c r="L172" s="34" t="inlineStr">
        <is>
          <t>Liquid &amp; Semisolid Dosage Forms</t>
        </is>
      </c>
      <c r="M172" s="35" t="inlineStr">
        <is>
          <t>Product</t>
        </is>
      </c>
      <c r="N172" s="34" t="inlineStr">
        <is>
          <t>ข้อสอบจริง Product ปี 2564 ข้อ 14</t>
        </is>
      </c>
      <c r="O172" s="35" t="inlineStr">
        <is>
          <t>ข้อสอบจริง</t>
        </is>
      </c>
      <c r="P172" s="35" t="inlineStr">
        <is>
          <t>ปี 2564</t>
        </is>
      </c>
    </row>
    <row r="173" ht="409.6" customHeight="1" s="49">
      <c r="A173" s="35" t="n">
        <v>171</v>
      </c>
      <c r="B173" s="34" t="inlineStr">
        <is>
          <t>เตรียมยา HRZE เพื่อเพิ่ม compliance การเตรียมยาวิธีใดทำ ให้เกิด incompatibility มากที่สุด</t>
        </is>
      </c>
      <c r="C173" s="35" t="n"/>
      <c r="D173" s="34" t="inlineStr">
        <is>
          <t>Shellac  เป็นสารเคลือบยา (Coating agent/Enteric coating)</t>
        </is>
      </c>
      <c r="E173" s="34" t="inlineStr">
        <is>
          <t>Hypromellose (HPMC)  เป็นสารสร้างฟิล์ม/เพิ่มความหนืด (Film former, Viscosity enhancer)</t>
        </is>
      </c>
      <c r="F173" s="34" t="inlineStr">
        <is>
          <t>cross-linked sodium carboxymethyl cellulose</t>
        </is>
      </c>
      <c r="G173" s="34" t="inlineStr">
        <is>
          <t>Magnesium stearate เป็นสารหล่อลื่น (Lubricant)</t>
        </is>
      </c>
      <c r="H173" s="34" t="inlineStr">
        <is>
          <t>PVP (Polyvinylpyrrolidone)  เป็นสารยึดเกาะ (Binder)</t>
        </is>
      </c>
      <c r="I173" s="35" t="n">
        <v>1</v>
      </c>
      <c r="J173" s="34" t="inlineStr">
        <is>
          <t>✅ คำตอบที่ถูกต้อง: ข้อ ก. Shellac  เป็นสารเคลือบยา (Coating agent/Enteric coating)
💡 Background:
คำถามข้อสอบจริงใบประกอบวิชาชีพ PLE-CC 1 (Product) ปี 2564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3" s="35" t="n"/>
      <c r="L173" s="34" t="inlineStr">
        <is>
          <t>Liquid &amp; Semisolid Dosage Forms</t>
        </is>
      </c>
      <c r="M173" s="35" t="inlineStr">
        <is>
          <t>Product</t>
        </is>
      </c>
      <c r="N173" s="34" t="inlineStr">
        <is>
          <t>ข้อสอบจริง Product ปี 2564 ข้อ 17</t>
        </is>
      </c>
      <c r="O173" s="35" t="inlineStr">
        <is>
          <t>ข้อสอบจริง</t>
        </is>
      </c>
      <c r="P173" s="35" t="inlineStr">
        <is>
          <t>ปี 2564</t>
        </is>
      </c>
    </row>
    <row r="174" ht="409.6" customHeight="1" s="49">
      <c r="A174" s="35" t="n">
        <v>172</v>
      </c>
      <c r="B174" s="34" t="inlineStr">
        <is>
          <t>Each gram of clotrimazole cream contains 10 mg of clotrimazole which dispersed in cream base of sorbitan monostearate, polysorbate 60, cetyl esters wax, cetostearyl alcohol, 2- octyldodecanol, purified water, and benzyl alcohol จากข้อมูลข้างต้น สารใน clotrimazole cream ใดทําหน้าที่เป็น emulsifiers</t>
        </is>
      </c>
      <c r="C174" s="35" t="n"/>
      <c r="D174" s="34" t="inlineStr">
        <is>
          <t>sorbitan monostearate, polysorbate 60</t>
        </is>
      </c>
      <c r="E174" s="34" t="inlineStr">
        <is>
          <t>sorbitan monostearate, polysorbate 60, 2-octyldodecanol</t>
        </is>
      </c>
      <c r="F174" s="34" t="inlineStr">
        <is>
          <t>polysorbate 60, cetostearyl alcohol</t>
        </is>
      </c>
      <c r="G174" s="34" t="inlineStr">
        <is>
          <t>polysorbate 60, cetostearyl alcohol, 2-octyldodecanol</t>
        </is>
      </c>
      <c r="H174" s="34" t="inlineStr">
        <is>
          <t>cetyl esters wax, 2-octyldodecanol</t>
        </is>
      </c>
      <c r="I174" s="35" t="n">
        <v>1</v>
      </c>
      <c r="J174" s="34" t="inlineStr">
        <is>
          <t>✅ คำตอบที่ถูกต้อง: ข้อ ก. sorbitan monostearate, polysorbate 60
💡 Background:
คำถามข้อสอบจริงใบประกอบวิชาชีพ PLE-CC 1 (Product) ปี 2564 ข้อ 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4" s="35" t="n"/>
      <c r="L174" s="34" t="inlineStr">
        <is>
          <t>Liquid &amp; Semisolid Dosage Forms</t>
        </is>
      </c>
      <c r="M174" s="35" t="inlineStr">
        <is>
          <t>Product</t>
        </is>
      </c>
      <c r="N174" s="34" t="inlineStr">
        <is>
          <t>ข้อสอบจริง Product ปี 2564 ข้อ 23</t>
        </is>
      </c>
      <c r="O174" s="35" t="inlineStr">
        <is>
          <t>ข้อสอบจริง</t>
        </is>
      </c>
      <c r="P174" s="35" t="inlineStr">
        <is>
          <t>ปี 2564</t>
        </is>
      </c>
    </row>
    <row r="175" ht="409.6" customHeight="1" s="49">
      <c r="A175" s="35" t="n">
        <v>173</v>
      </c>
      <c r="B175" s="34" t="inlineStr">
        <is>
          <t>ข้อใดเป็นสารช่วยแตกตัวใน desipramine tablet</t>
        </is>
      </c>
      <c r="C175" s="35" t="n"/>
      <c r="D175" s="34" t="inlineStr">
        <is>
          <t>Shellac  สารเคลือบยา (Coating/Enteric coating)</t>
        </is>
      </c>
      <c r="E175" s="34" t="inlineStr">
        <is>
          <t>Hypromellose (HPMC)  สารสร้างฟิล์ม/เพิ่มความหนืด หรือใช้เป็น matrix ในยาออกฤทธิ์นาน</t>
        </is>
      </c>
      <c r="F175" s="34" t="inlineStr">
        <is>
          <t>Magnesium stearate  สารหล่อลื่น (Lubricant)</t>
        </is>
      </c>
      <c r="G175" s="34" t="inlineStr">
        <is>
          <t>Polyvinyl acetate phthalate (PVAP)  สารเคลือบลำไส้ (Enteric coating polymer)</t>
        </is>
      </c>
      <c r="H175" s="34" t="inlineStr">
        <is>
          <t>Crosslinked sodium carboxymethylcellulose เป็น Disintegrant (Superdisintegrant)</t>
        </is>
      </c>
      <c r="I175" s="35" t="n">
        <v>1</v>
      </c>
      <c r="J175" s="34" t="inlineStr">
        <is>
          <t>✅ คำตอบที่ถูกต้อง: ข้อ ก. Shellac  สารเคลือบยา (Coating/Enteric coating)
💡 Background:
คำถามข้อสอบจริงใบประกอบวิชาชีพ PLE-CC 1 (Product) ปี 2564 ข้อ 30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5" s="35" t="n"/>
      <c r="L175" s="34" t="inlineStr">
        <is>
          <t>Liquid &amp; Semisolid Dosage Forms</t>
        </is>
      </c>
      <c r="M175" s="35" t="inlineStr">
        <is>
          <t>Product</t>
        </is>
      </c>
      <c r="N175" s="34" t="inlineStr">
        <is>
          <t>ข้อสอบจริง Product ปี 2564 ข้อ 30</t>
        </is>
      </c>
      <c r="O175" s="35" t="inlineStr">
        <is>
          <t>ข้อสอบจริง</t>
        </is>
      </c>
      <c r="P175" s="35" t="inlineStr">
        <is>
          <t>ปี 2564</t>
        </is>
      </c>
    </row>
    <row r="176" ht="409.6" customHeight="1" s="49">
      <c r="A176" s="35" t="n">
        <v>174</v>
      </c>
      <c r="B176" s="34" t="inlineStr">
        <is>
          <t>ยาที่ผู้ป่วยได้รับมีตัวยาสำคัญ 70 mg, Methylcellulose, starch, lactose anhydrous, Croscarmellose sodium, Magnesium stearate ข้อใดทำหน้าที่เป็น super disintegrant</t>
        </is>
      </c>
      <c r="C176" s="35" t="n"/>
      <c r="D176" s="34" t="inlineStr">
        <is>
          <t>Methylcellulose เป็น สารเพิ่มความหนืด (Viscosity enhancer) หรือ Binder</t>
        </is>
      </c>
      <c r="E176" s="34" t="inlineStr">
        <is>
          <t>Starch เป็น Disintegrant ทั่วไป (ไม่ใช่ Superdisintegrant)</t>
        </is>
      </c>
      <c r="F176" s="34" t="inlineStr">
        <is>
          <t>Lactose anhydrous เป็น สารเพิ่มปริมาณ (Diluent/Filler)</t>
        </is>
      </c>
      <c r="G176" s="34" t="inlineStr">
        <is>
          <t>Croscarmellose sodium เป็น Superdisintegrant</t>
        </is>
      </c>
      <c r="H176" s="34" t="inlineStr">
        <is>
          <t>Magnesium stearate เป็น สารหล่อลื่น (Lubricant)</t>
        </is>
      </c>
      <c r="I176" s="35" t="n">
        <v>1</v>
      </c>
      <c r="J176" s="34" t="inlineStr">
        <is>
          <t>✅ คำตอบที่ถูกต้อง: ข้อ ก. Methylcellulose เป็น สารเพิ่มความหนืด (Viscosity enhancer) หรือ Binder
💡 Background:
คำถามข้อสอบจริงใบประกอบวิชาชีพ PLE-CC 1 (Product) ปี 2564 ข้อ 47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6" s="35" t="n"/>
      <c r="L176" s="34" t="inlineStr">
        <is>
          <t>Liquid &amp; Semisolid Dosage Forms</t>
        </is>
      </c>
      <c r="M176" s="35" t="inlineStr">
        <is>
          <t>Product</t>
        </is>
      </c>
      <c r="N176" s="34" t="inlineStr">
        <is>
          <t>ข้อสอบจริง Product ปี 2564 ข้อ 47</t>
        </is>
      </c>
      <c r="O176" s="35" t="inlineStr">
        <is>
          <t>ข้อสอบจริง</t>
        </is>
      </c>
      <c r="P176" s="35" t="inlineStr">
        <is>
          <t>ปี 2564</t>
        </is>
      </c>
    </row>
    <row r="177" ht="409.6" customHeight="1" s="49">
      <c r="A177" s="35" t="n">
        <v>175</v>
      </c>
      <c r="B177" s="34" t="inlineStr">
        <is>
          <t>ให้สูตรตำรับ Aluminium and magnesium oral suspension ข้อใดคือ structured vehicle</t>
        </is>
      </c>
      <c r="C177" s="35" t="n"/>
      <c r="D177" s="34" t="inlineStr">
        <is>
          <t>Glycerin  เป็น humectant และช่วยเพิ่มความหวาน/ความหนืดเล็กน้อย</t>
        </is>
      </c>
      <c r="E177" s="34" t="inlineStr">
        <is>
          <t>Sorbitol  เป็น sweetener และ vehicle</t>
        </is>
      </c>
      <c r="F177" s="34" t="inlineStr">
        <is>
          <t>Peppermint oil  เป็น flavoring agent</t>
        </is>
      </c>
      <c r="G177" s="34" t="inlineStr">
        <is>
          <t>Methylcellulose 400</t>
        </is>
      </c>
      <c r="H177" s="34" t="inlineStr">
        <is>
          <t>Tween 80 เป็น surfactant/wetting agent</t>
        </is>
      </c>
      <c r="I177" s="35" t="n">
        <v>1</v>
      </c>
      <c r="J177" s="34" t="inlineStr">
        <is>
          <t>✅ คำตอบที่ถูกต้อง: ข้อ ก. Glycerin  เป็น humectant และช่วยเพิ่มความหวาน/ความหนืดเล็กน้อย
💡 Background:
คำถามข้อสอบจริงใบประกอบวิชาชีพ PLE-CC 1 (Product) ปี 2564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7" s="35" t="n"/>
      <c r="L177" s="34" t="inlineStr">
        <is>
          <t>Liquid &amp; Semisolid Dosage Forms</t>
        </is>
      </c>
      <c r="M177" s="35" t="inlineStr">
        <is>
          <t>Product</t>
        </is>
      </c>
      <c r="N177" s="34" t="inlineStr">
        <is>
          <t>ข้อสอบจริง Product ปี 2564 ข้อ 51</t>
        </is>
      </c>
      <c r="O177" s="35" t="inlineStr">
        <is>
          <t>ข้อสอบจริง</t>
        </is>
      </c>
      <c r="P177" s="35" t="inlineStr">
        <is>
          <t>ปี 2564</t>
        </is>
      </c>
    </row>
    <row r="178" ht="409.6" customHeight="1" s="49">
      <c r="A178" s="35" t="n">
        <v>176</v>
      </c>
      <c r="B178" s="34" t="inlineStr">
        <is>
          <t>จากการตรวจสอบความถูกต้องของวิธีวิเคราะห์เภสัชภัณฑ์ Triamcinolone acetonate cream ข้อใดคือค่าแสดงความใกล้เคียงกันของค่าที่ได้จากการวิเคราะห์ตัวอย่างเดียวกันซ้ำหลายๆครั้ง</t>
        </is>
      </c>
      <c r="C178" s="35" t="n"/>
      <c r="D178" s="34" t="inlineStr">
        <is>
          <t>Accuracy ❌ ความใกล้เคียงกับ "ค่าจริง (True value)"</t>
        </is>
      </c>
      <c r="E178" s="34" t="inlineStr">
        <is>
          <t>Precision ✅ ความใกล้เคียงกันของผลที่วัดซ้ำ</t>
        </is>
      </c>
      <c r="F178" s="34" t="inlineStr">
        <is>
          <t>Specificity ❌ ความสามารถในการวิเคราะห์สารเป้าหมายโดยไม่ถูกรบกวนจากสารอื่น</t>
        </is>
      </c>
      <c r="G178" s="34" t="inlineStr">
        <is>
          <t>Linearity ❌ ความสัมพันธ์เชิงเส้นระหว่างความเข้มข้นกับสัญญาณ</t>
        </is>
      </c>
      <c r="H178" s="34" t="inlineStr">
        <is>
          <t>Limit of determination ❌ ไม่ใช่พารามิเตอร์มาตรฐาน (มักใช้ Limit of Detection (LOD) หรือ Limit of Quantitation (LOQ))</t>
        </is>
      </c>
      <c r="I178" s="35" t="n">
        <v>1</v>
      </c>
      <c r="J178" s="34" t="inlineStr">
        <is>
          <t>✅ คำตอบที่ถูกต้อง: ข้อ ก. Accuracy ❌ ความใกล้เคียงกับ "ค่าจริง (True value)"
💡 Background:
คำถามข้อสอบจริงใบประกอบวิชาชีพ PLE-CC 1 (Product) ปี 2564 ข้อ 54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8" s="35" t="n"/>
      <c r="L178" s="34" t="inlineStr">
        <is>
          <t>Liquid &amp; Semisolid Dosage Forms</t>
        </is>
      </c>
      <c r="M178" s="35" t="inlineStr">
        <is>
          <t>Product</t>
        </is>
      </c>
      <c r="N178" s="34" t="inlineStr">
        <is>
          <t>ข้อสอบจริง Product ปี 2564 ข้อ 54</t>
        </is>
      </c>
      <c r="O178" s="35" t="inlineStr">
        <is>
          <t>ข้อสอบจริง</t>
        </is>
      </c>
      <c r="P178" s="35" t="inlineStr">
        <is>
          <t>ปี 2564</t>
        </is>
      </c>
    </row>
    <row r="179" ht="409.6" customHeight="1" s="49">
      <c r="A179" s="35" t="n">
        <v>177</v>
      </c>
      <c r="B179" s="34" t="inlineStr">
        <is>
          <t>Ibuprofen soft gelatin capsule ออกฤทธิ์เร็ว เนื่องจากเมื่อเปลือกละลาย ตัวยาจะดูดซึมทันทีดังนั้นยาที่บรรจุในแคปซูลควรอยูในรูปแบบใด</t>
        </is>
      </c>
      <c r="C179" s="35" t="n"/>
      <c r="D179" s="34" t="inlineStr">
        <is>
          <t>Gels</t>
        </is>
      </c>
      <c r="E179" s="34" t="inlineStr">
        <is>
          <t>Pellets</t>
        </is>
      </c>
      <c r="F179" s="34" t="inlineStr">
        <is>
          <t>Powders</t>
        </is>
      </c>
      <c r="G179" s="34" t="inlineStr">
        <is>
          <t>Suspensions</t>
        </is>
      </c>
      <c r="H179" s="34" t="inlineStr">
        <is>
          <t>Solutions</t>
        </is>
      </c>
      <c r="I179" s="35" t="n">
        <v>1</v>
      </c>
      <c r="J179" s="34" t="inlineStr">
        <is>
          <t>✅ คำตอบที่ถูกต้อง: ข้อ ก. Gels
💡 Background:
คำถามข้อสอบจริงใบประกอบวิชาชีพ PLE-CC 1 (Product) ปี 2564 ข้อ 62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79" s="35" t="n"/>
      <c r="L179" s="34" t="inlineStr">
        <is>
          <t>Liquid &amp; Semisolid Dosage Forms</t>
        </is>
      </c>
      <c r="M179" s="35" t="inlineStr">
        <is>
          <t>Product</t>
        </is>
      </c>
      <c r="N179" s="34" t="inlineStr">
        <is>
          <t>ข้อสอบจริง Product ปี 2564 ข้อ 62</t>
        </is>
      </c>
      <c r="O179" s="35" t="inlineStr">
        <is>
          <t>ข้อสอบจริง</t>
        </is>
      </c>
      <c r="P179" s="35" t="inlineStr">
        <is>
          <t>ปี 2564</t>
        </is>
      </c>
    </row>
    <row r="180" ht="409.6" customHeight="1" s="49">
      <c r="A180" s="35" t="n">
        <v>178</v>
      </c>
      <c r="B180" s="34" t="inlineStr">
        <is>
          <t>ควรใช้ binder ชนิดใด</t>
        </is>
      </c>
      <c r="C180" s="35" t="n"/>
      <c r="D180" s="34" t="inlineStr">
        <is>
          <t>Pregelatinized starch ❌ เป็น binder ได้ แต่พบใช้เด่นใน wet granulation และมีบทบาทเป็น disintegrant ได้</t>
        </is>
      </c>
      <c r="E180" s="34" t="inlineStr">
        <is>
          <t>Lactose monohydrate ❌ เป็น diluent</t>
        </is>
      </c>
      <c r="F180" s="34" t="inlineStr">
        <is>
          <t>Microcrystalline cellulose (MCC) ✅ เป็น Dry binder ที่ใช้บ่อยมากใน Direct compression และ Dry granulation</t>
        </is>
      </c>
      <c r="G180" s="34" t="inlineStr">
        <is>
          <t>Sodium starch glycolate ❌ Superdisintegrant</t>
        </is>
      </c>
      <c r="H180" s="34" t="inlineStr">
        <is>
          <t>Dibasic calcium phosphate ❌ Diluent ไม่ใช่ binder</t>
        </is>
      </c>
      <c r="I180" s="35" t="n">
        <v>1</v>
      </c>
      <c r="J180" s="34" t="inlineStr">
        <is>
          <t>✅ คำตอบที่ถูกต้อง: ข้อ ก. Pregelatinized starch ❌ เป็น binder ได้ แต่พบใช้เด่นใน wet granulation และมีบทบาทเป็น disintegrant ได้
💡 Background:
คำถามข้อสอบจริงใบประกอบวิชาชีพ PLE-CC 1 (Product) ปี 2564 ข้อ 64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0" s="35" t="n"/>
      <c r="L180" s="34" t="inlineStr">
        <is>
          <t>Liquid &amp; Semisolid Dosage Forms</t>
        </is>
      </c>
      <c r="M180" s="35" t="inlineStr">
        <is>
          <t>Product</t>
        </is>
      </c>
      <c r="N180" s="34" t="inlineStr">
        <is>
          <t>ข้อสอบจริง Product ปี 2564 ข้อ 64</t>
        </is>
      </c>
      <c r="O180" s="35" t="inlineStr">
        <is>
          <t>ข้อสอบจริง</t>
        </is>
      </c>
      <c r="P180" s="35" t="inlineStr">
        <is>
          <t>ปี 2564</t>
        </is>
      </c>
    </row>
    <row r="181" ht="409.6" customHeight="1" s="49">
      <c r="A181" s="35" t="n">
        <v>179</v>
      </c>
      <c r="B181" s="34" t="inlineStr">
        <is>
          <t>ข้อใดไม่ใช่วิธีการควบคุมคุณภาพของยา Ibuprofen ที่เป็น soft gelatin</t>
        </is>
      </c>
      <c r="C181" s="35" t="n"/>
      <c r="D181" s="34" t="inlineStr">
        <is>
          <t>ปริมาณการบรรจุ ✅ เป็น QC</t>
        </is>
      </c>
      <c r="E181" s="34" t="inlineStr">
        <is>
          <t>การละลาย ✅ เป็น QC</t>
        </is>
      </c>
      <c r="F181" s="34" t="inlineStr">
        <is>
          <t>การแตกตัว ✅ เป็น QC</t>
        </is>
      </c>
      <c r="G181" s="34" t="inlineStr">
        <is>
          <t>ระยะเวลาที่ปลดปล่อยนาน ❌ ไม่ใช่เพราะ Ibuprofen ที่เป็น soft gelatin เป็น Immediate-release ไม่ใช่ Extended หรือ Delayed release</t>
        </is>
      </c>
      <c r="H181" s="34" t="inlineStr">
        <is>
          <t>ความนิ่ม ✅ เกี่ยวข้องกับคุณภาพของเปลือก soft gelatin ส่วนประกอบของตำรับ: Castor oil Cholesterol Stearyl alcohol Citric acid Mineral oil Purified water qs</t>
        </is>
      </c>
      <c r="I181" s="35" t="n">
        <v>1</v>
      </c>
      <c r="J181" s="34" t="inlineStr">
        <is>
          <t>✅ คำตอบที่ถูกต้อง: ข้อ ก. ปริมาณการบรรจุ ✅ เป็น QC
💡 Background:
คำถามข้อสอบจริงใบประกอบวิชาชีพ PLE-CC 1 (Product) ปี 2564 ข้อ 71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1" s="35" t="n"/>
      <c r="L181" s="34" t="inlineStr">
        <is>
          <t>Liquid &amp; Semisolid Dosage Forms</t>
        </is>
      </c>
      <c r="M181" s="35" t="inlineStr">
        <is>
          <t>Product</t>
        </is>
      </c>
      <c r="N181" s="34" t="inlineStr">
        <is>
          <t>ข้อสอบจริง Product ปี 2564 ข้อ 71</t>
        </is>
      </c>
      <c r="O181" s="35" t="inlineStr">
        <is>
          <t>ข้อสอบจริง</t>
        </is>
      </c>
      <c r="P181" s="35" t="inlineStr">
        <is>
          <t>ปี 2564</t>
        </is>
      </c>
    </row>
    <row r="182" ht="409.6" customHeight="1" s="49">
      <c r="A182" s="35" t="n">
        <v>180</v>
      </c>
      <c r="B182" s="34" t="inlineStr">
        <is>
          <t>ตำรับนี้เป็น dosage form อะไร</t>
        </is>
      </c>
      <c r="C182" s="35" t="n"/>
      <c r="D182" s="34" t="inlineStr">
        <is>
          <t>Cream ❌ โจทย์ถามชนิดของฐานตำรับ ไม่ใช่เพียงรูปแบบกึ่งแข็ง</t>
        </is>
      </c>
      <c r="E182" s="34" t="inlineStr">
        <is>
          <t>Ointment W/O ❌ ใกล้เคียง แต่คำตอบที่จำเพาะกว่าคือ Absorption base</t>
        </is>
      </c>
      <c r="F182" s="34" t="inlineStr">
        <is>
          <t>Ointment O/W ❌ ไม่ใช่</t>
        </is>
      </c>
      <c r="G182" s="34" t="inlineStr">
        <is>
          <t>Absorption base ✅ ถูกต้อง</t>
        </is>
      </c>
      <c r="H182" s="34" t="inlineStr">
        <is>
          <t>Oleaginous base ❌ ถ้าเป็น oleaginous base จะไม่มีน้ำและไม่มีสารช่วยดูดน้ำ เช่น cholesterol</t>
        </is>
      </c>
      <c r="I182" s="35" t="n">
        <v>1</v>
      </c>
      <c r="J182" s="34" t="inlineStr">
        <is>
          <t>✅ คำตอบที่ถูกต้อง: ข้อ ก. Cream ❌ โจทย์ถามชนิดของฐานตำรับ ไม่ใช่เพียงรูปแบบกึ่งแข็ง
💡 Background:
คำถามข้อสอบจริงใบประกอบวิชาชีพ PLE-CC 1 (Product) ปี 2564 ข้อ 72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2" s="35" t="n"/>
      <c r="L182" s="34" t="inlineStr">
        <is>
          <t>Liquid &amp; Semisolid Dosage Forms</t>
        </is>
      </c>
      <c r="M182" s="35" t="inlineStr">
        <is>
          <t>Product</t>
        </is>
      </c>
      <c r="N182" s="34" t="inlineStr">
        <is>
          <t>ข้อสอบจริง Product ปี 2564 ข้อ 72</t>
        </is>
      </c>
      <c r="O182" s="35" t="inlineStr">
        <is>
          <t>ข้อสอบจริง</t>
        </is>
      </c>
      <c r="P182" s="35" t="inlineStr">
        <is>
          <t>ปี 2564</t>
        </is>
      </c>
    </row>
    <row r="183" ht="409.6" customHeight="1" s="49">
      <c r="A183" s="35" t="n">
        <v>181</v>
      </c>
      <c r="B183" s="34" t="inlineStr">
        <is>
          <t>ข้อ 72 เตรียมด้วยวิธีอะไร</t>
        </is>
      </c>
      <c r="C183" s="35" t="n"/>
      <c r="D183" s="34" t="inlineStr">
        <is>
          <t>Beaker method ✅ ใช้กับ cream/ointment ที่ต้องหลอมส่วนประกอบ</t>
        </is>
      </c>
      <c r="E183" s="34" t="inlineStr">
        <is>
          <t>Levigation ❌ ใช้บดผงยากับของเหลวปริมาณน้อยก่อนผสมเข้าฐาน</t>
        </is>
      </c>
      <c r="F183" s="34" t="inlineStr">
        <is>
          <t>Dry gum method ❌ ใช้เตรียม emulsion (4 : 2 : 1\)</t>
        </is>
      </c>
      <c r="G183" s="34" t="inlineStr">
        <is>
          <t>Wet gum method ❌ ใช้เตรียม emulsion</t>
        </is>
      </c>
      <c r="H183" s="34" t="inlineStr">
        <is>
          <t>Bottle method ❌ ใช้เตรียม emulsion จากน้ำมันระเหยง่ายหรือความหนืดต่ำ สูตร: Zinc sulfate 40 g Sulfurated potash 40 g Water qs to 1000 ml วิธีทำ แยกละลาย แล้วเอาไปกรอง จากนั้นเท sulfurated potash ลงไปใน zinc sulfate แล้วปรับปริมาตรด้วยน้ำ</t>
        </is>
      </c>
      <c r="I183" s="35" t="n">
        <v>1</v>
      </c>
      <c r="J183" s="34" t="inlineStr">
        <is>
          <t>✅ คำตอบที่ถูกต้อง: ข้อ ก. Beaker method ✅ ใช้กับ cream/ointment ที่ต้องหลอมส่วนประกอบ
💡 Background:
คำถามข้อสอบจริงใบประกอบวิชาชีพ PLE-CC 1 (Product) ปี 2564 ข้อ 73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3" s="35" t="n"/>
      <c r="L183" s="34" t="inlineStr">
        <is>
          <t>Liquid &amp; Semisolid Dosage Forms</t>
        </is>
      </c>
      <c r="M183" s="35" t="inlineStr">
        <is>
          <t>Product</t>
        </is>
      </c>
      <c r="N183" s="34" t="inlineStr">
        <is>
          <t>ข้อสอบจริง Product ปี 2564 ข้อ 73</t>
        </is>
      </c>
      <c r="O183" s="35" t="inlineStr">
        <is>
          <t>ข้อสอบจริง</t>
        </is>
      </c>
      <c r="P183" s="35" t="inlineStr">
        <is>
          <t>ปี 2564</t>
        </is>
      </c>
    </row>
    <row r="184" ht="409.6" customHeight="1" s="49">
      <c r="A184" s="35" t="n">
        <v>182</v>
      </c>
      <c r="B184" s="34" t="inlineStr">
        <is>
          <t>จากสูตรตำรับเป็น suspension ชนิดใด</t>
        </is>
      </c>
      <c r="C184" s="35" t="n"/>
      <c r="D184" s="34" t="inlineStr">
        <is>
          <t>Flocculated suspension</t>
        </is>
      </c>
      <c r="E184" s="34" t="inlineStr">
        <is>
          <t>Deflocculated suspension</t>
        </is>
      </c>
      <c r="F184" s="34" t="inlineStr">
        <is>
          <t>Flocculated suspension in vehicle</t>
        </is>
      </c>
      <c r="G184" s="34" t="inlineStr">
        <is>
          <t>Flocculated suspension in structure vehicle</t>
        </is>
      </c>
      <c r="H184" s="34" t="inlineStr">
        <is>
          <t>Deflocculating suspension in structure vehicle</t>
        </is>
      </c>
      <c r="I184" s="35" t="n">
        <v>1</v>
      </c>
      <c r="J184" s="34" t="inlineStr">
        <is>
          <t>✅ คำตอบที่ถูกต้อง: ข้อ ก. Flocculated suspension
💡 Background:
คำถามข้อสอบจริงใบประกอบวิชาชีพ PLE-CC 1 (Product) ปี 2564 ข้อ 74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4" s="35" t="n"/>
      <c r="L184" s="34" t="inlineStr">
        <is>
          <t>Liquid &amp; Semisolid Dosage Forms</t>
        </is>
      </c>
      <c r="M184" s="35" t="inlineStr">
        <is>
          <t>Product</t>
        </is>
      </c>
      <c r="N184" s="34" t="inlineStr">
        <is>
          <t>ข้อสอบจริง Product ปี 2564 ข้อ 74</t>
        </is>
      </c>
      <c r="O184" s="35" t="inlineStr">
        <is>
          <t>ข้อสอบจริง</t>
        </is>
      </c>
      <c r="P184" s="35" t="inlineStr">
        <is>
          <t>ปี 2564</t>
        </is>
      </c>
    </row>
    <row r="185" ht="409.6" customHeight="1" s="49">
      <c r="A185" s="35" t="n">
        <v>183</v>
      </c>
      <c r="B185" s="34" t="inlineStr">
        <is>
          <t>ผลิตยาเม็ดด้วย wet granulation ควรใช้ binder ตัวไหน</t>
        </is>
      </c>
      <c r="C185" s="35" t="n"/>
      <c r="D185" s="34" t="inlineStr">
        <is>
          <t>Lactose ❌ เป็น Diluent (filler)</t>
        </is>
      </c>
      <c r="E185" s="34" t="inlineStr">
        <is>
          <t>Microcrystalline cellulose (MCC) ❌ เป็น Dry binder เหมาะกับ Direct compression/Dry granulation มากกว่า</t>
        </is>
      </c>
      <c r="F185" s="34" t="inlineStr">
        <is>
          <t>Pregelatinized starch ✅ Binder สำหรับ Wet granulation</t>
        </is>
      </c>
      <c r="G185" s="34" t="inlineStr">
        <is>
          <t>Magnesium stearate ❌ Lubricant</t>
        </is>
      </c>
      <c r="H185" s="34" t="inlineStr">
        <is>
          <t>Aerosil 200 (Colloidal silicon dioxide) ❌ Glidant</t>
        </is>
      </c>
      <c r="I185" s="35" t="n">
        <v>1</v>
      </c>
      <c r="J185" s="34" t="inlineStr">
        <is>
          <t>✅ คำตอบที่ถูกต้อง: ข้อ ก. Lactose ❌ เป็น Diluent (filler)
💡 Background:
คำถามข้อสอบจริงใบประกอบวิชาชีพ PLE-CC 1 (Product) ปี 2564 ข้อ 78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5" s="35" t="n"/>
      <c r="L185" s="34" t="inlineStr">
        <is>
          <t>Liquid &amp; Semisolid Dosage Forms</t>
        </is>
      </c>
      <c r="M185" s="35" t="inlineStr">
        <is>
          <t>Product</t>
        </is>
      </c>
      <c r="N185" s="34" t="inlineStr">
        <is>
          <t>ข้อสอบจริง Product ปี 2564 ข้อ 78</t>
        </is>
      </c>
      <c r="O185" s="35" t="inlineStr">
        <is>
          <t>ข้อสอบจริง</t>
        </is>
      </c>
      <c r="P185" s="35" t="inlineStr">
        <is>
          <t>ปี 2564</t>
        </is>
      </c>
    </row>
    <row r="186" ht="409.6" customHeight="1" s="49">
      <c r="A186" s="35" t="n">
        <v>184</v>
      </c>
      <c r="B186" s="34" t="inlineStr">
        <is>
          <t>Steroid topical รูปแบบไหนดูดซึมทางผิวหนังได้มากที่สุด</t>
        </is>
      </c>
      <c r="C186" s="35" t="n"/>
      <c r="D186" s="34" t="inlineStr">
        <is>
          <t>Solution</t>
        </is>
      </c>
      <c r="E186" s="34" t="inlineStr">
        <is>
          <t>Gel</t>
        </is>
      </c>
      <c r="F186" s="34" t="inlineStr">
        <is>
          <t>Suspension</t>
        </is>
      </c>
      <c r="G186" s="34" t="inlineStr">
        <is>
          <t>Ointment</t>
        </is>
      </c>
      <c r="H186" s="34" t="inlineStr">
        <is>
          <t>Cream</t>
        </is>
      </c>
      <c r="I186" s="35" t="n">
        <v>1</v>
      </c>
      <c r="J186" s="34" t="inlineStr">
        <is>
          <t>✅ คำตอบที่ถูกต้อง: ข้อ ก. Solution
💡 Background:
คำถามข้อสอบจริงใบประกอบวิชาชีพ PLE-CC 1 (Product) ปี 2564 ข้อ 80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6" s="35" t="n"/>
      <c r="L186" s="34" t="inlineStr">
        <is>
          <t>Liquid &amp; Semisolid Dosage Forms</t>
        </is>
      </c>
      <c r="M186" s="35" t="inlineStr">
        <is>
          <t>Product</t>
        </is>
      </c>
      <c r="N186" s="34" t="inlineStr">
        <is>
          <t>ข้อสอบจริง Product ปี 2564 ข้อ 80</t>
        </is>
      </c>
      <c r="O186" s="35" t="inlineStr">
        <is>
          <t>ข้อสอบจริง</t>
        </is>
      </c>
      <c r="P186" s="35" t="inlineStr">
        <is>
          <t>ปี 2564</t>
        </is>
      </c>
    </row>
    <row r="187" ht="409.6" customHeight="1" s="49">
      <c r="A187" s="35" t="n">
        <v>185</v>
      </c>
      <c r="B187" s="34" t="inlineStr">
        <is>
          <t>สารเคลือบในข้อใดไม่ได้ช่วยให้เม็ดยามีคุณสมบัติ enteric coated tablets</t>
        </is>
      </c>
      <c r="C187" s="35" t="n"/>
      <c r="D187" s="34" t="inlineStr">
        <is>
          <t>Shellac ✅ Enteric coating polymer (natural enteric material)</t>
        </is>
      </c>
      <c r="E187" s="34" t="inlineStr">
        <is>
          <t>PVP ❌ Binder / film former ทั่วไป ไม่ใช่ enteric coating</t>
        </is>
      </c>
      <c r="F187" s="34" t="inlineStr">
        <is>
          <t>Diethyl phthalate ⚠️ Plasticizer ที่ใช้ใน film coating รวมถึง enteric coating บางสูตร แต่ไม่ใช่ตัวให้ enteric property</t>
        </is>
      </c>
      <c r="G187" s="34" t="inlineStr">
        <is>
          <t>HPMCAS ✅ Enteric polymer</t>
        </is>
      </c>
      <c r="H187" s="34" t="inlineStr">
        <is>
          <t>Methacrylic acid–methyl acrylate copolymer ✅ Enteric polymer</t>
        </is>
      </c>
      <c r="I187" s="35" t="n">
        <v>1</v>
      </c>
      <c r="J187" s="34" t="inlineStr">
        <is>
          <t>✅ คำตอบที่ถูกต้อง: ข้อ ก. Shellac ✅ Enteric coating polymer (natural enteric material)
💡 Background:
คำถามข้อสอบจริงใบประกอบวิชาชีพ PLE-CC 1 (Product) ปี 2564 ข้อ 81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7" s="35" t="n"/>
      <c r="L187" s="34" t="inlineStr">
        <is>
          <t>Liquid &amp; Semisolid Dosage Forms</t>
        </is>
      </c>
      <c r="M187" s="35" t="inlineStr">
        <is>
          <t>Product</t>
        </is>
      </c>
      <c r="N187" s="34" t="inlineStr">
        <is>
          <t>ข้อสอบจริง Product ปี 2564 ข้อ 81</t>
        </is>
      </c>
      <c r="O187" s="35" t="inlineStr">
        <is>
          <t>ข้อสอบจริง</t>
        </is>
      </c>
      <c r="P187" s="35" t="inlineStr">
        <is>
          <t>ปี 2564</t>
        </is>
      </c>
    </row>
    <row r="188" ht="409.6" customHeight="1" s="49">
      <c r="A188" s="35" t="n">
        <v>186</v>
      </c>
      <c r="B188" s="34" t="inlineStr">
        <is>
          <t>จากการควบคุมคุณภาพตำรับยาลดกรดที่มีส่วนผสมของ Al(OH)3 และ Mg(OH)2 ข้อใดถูกต้อง | ตำรับ | Sedimentation volume | Degree of flocculation | Rheology | | :---- | :---- | :---- | :---- | | A | 0.51 | 0.74 | Newtonian | | B | 0.98 | 1.43 | Pseudoplastic | | C | 0.47 | 1.06 | Plastic |</t>
        </is>
      </c>
      <c r="C188" s="35" t="n"/>
      <c r="D188" s="34" t="inlineStr">
        <is>
          <t>ตำรับ A มีแนวโน้มคงตัวดีกว่า B ❌  B มี F และ β สูงกว่า</t>
        </is>
      </c>
      <c r="E188" s="34" t="inlineStr">
        <is>
          <t>ตำรับ B มีแนวโน้มคงตัวดีกว่า C ✅  B มี sedimentation volume สูงกว่า และ rheology เหมาะกว่า</t>
        </is>
      </c>
      <c r="F188" s="34" t="inlineStr">
        <is>
          <t>เพิ่มความคงตัวของ C โดยเพิ่ม wetting agent ❌  Wetting agent ช่วยการเปียกของผงยา ไม่ใช่แก้ปัญหา flocculation/rheology</t>
        </is>
      </c>
      <c r="G188" s="34" t="inlineStr">
        <is>
          <t>เพิ่ม flocculating agent ให้ B เพื่อเพิ่มความคงตัว ❌  B มี degree of flocculation สูงอยู่แล้ว การเพิ่มอาจมากเกินไป</t>
        </is>
      </c>
      <c r="H188" s="34" t="inlineStr">
        <is>
          <t>เมื่อเขย่า A จะกลับมากระจายได้ดีที่สุด ❌  A เป็น deflocculated มากกว่า → เสี่ยงเกิด cake</t>
        </is>
      </c>
      <c r="I188" s="35" t="n">
        <v>1</v>
      </c>
      <c r="J188" s="34" t="inlineStr">
        <is>
          <t>✅ คำตอบที่ถูกต้อง: ข้อ ก. ตำรับ A มีแนวโน้มคงตัวดีกว่า B ❌  B มี F และ β สูงกว่า
💡 Background:
คำถามข้อสอบจริงใบประกอบวิชาชีพ PLE-CC 1 (Product) ปี 2564 ข้อ 82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8" s="35" t="n"/>
      <c r="L188" s="34" t="inlineStr">
        <is>
          <t>Liquid &amp; Semisolid Dosage Forms</t>
        </is>
      </c>
      <c r="M188" s="35" t="inlineStr">
        <is>
          <t>Product</t>
        </is>
      </c>
      <c r="N188" s="34" t="inlineStr">
        <is>
          <t>ข้อสอบจริง Product ปี 2564 ข้อ 82</t>
        </is>
      </c>
      <c r="O188" s="35" t="inlineStr">
        <is>
          <t>ข้อสอบจริง</t>
        </is>
      </c>
      <c r="P188" s="35" t="inlineStr">
        <is>
          <t>ปี 2564</t>
        </is>
      </c>
    </row>
    <row r="189" ht="409.6" customHeight="1" s="49">
      <c r="A189" s="35" t="n">
        <v>187</v>
      </c>
      <c r="B189" s="34" t="inlineStr">
        <is>
          <t>ข้อใดไม่ควรเป็น flocculating agent</t>
        </is>
      </c>
      <c r="C189" s="35" t="n"/>
      <c r="D189" s="34" t="inlineStr">
        <is>
          <t>Electrolyte ✅ ลดแรงผลักทางไฟฟ้า (zeta potential) ทำให้อนุภาคเข้าหากัน</t>
        </is>
      </c>
      <c r="E189" s="34" t="inlineStr">
        <is>
          <t>Surfactant ✅ เปลี่ยน wetting และแรงระหว่างอนุภาค</t>
        </is>
      </c>
      <c r="F189" s="34" t="inlineStr">
        <is>
          <t>Polymer ✅ เกิด bridging ระหว่างอนุภาค เช่น gelatin, CMC</t>
        </is>
      </c>
      <c r="G189" s="34" t="inlineStr">
        <is>
          <t>Clay ✅ เช่น bentonite ช่วยสร้างโครงสร้างและควบคุมการตกตะกอน</t>
        </is>
      </c>
      <c r="H189" s="34" t="inlineStr">
        <is>
          <t>Alcohol ❌ ไม่ใช่ flocculating agent ทั่วไป อาจส่งผลต่อการละลาย ความหนืด หรือความคงตัวของระบบ แต่ไม่ได้ใช้เพื่อทำให้เกิด floc</t>
        </is>
      </c>
      <c r="I189" s="35" t="n">
        <v>1</v>
      </c>
      <c r="J189" s="34" t="inlineStr">
        <is>
          <t>✅ คำตอบที่ถูกต้อง: ข้อ ก. Electrolyte ✅ ลดแรงผลักทางไฟฟ้า (zeta potential) ทำให้อนุภาคเข้าหากัน
💡 Background:
คำถามข้อสอบจริงใบประกอบวิชาชีพ PLE-CC 1 (Product) ปี 2564 ข้อ 83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89" s="35" t="n"/>
      <c r="L189" s="34" t="inlineStr">
        <is>
          <t>Liquid &amp; Semisolid Dosage Forms</t>
        </is>
      </c>
      <c r="M189" s="35" t="inlineStr">
        <is>
          <t>Product</t>
        </is>
      </c>
      <c r="N189" s="34" t="inlineStr">
        <is>
          <t>ข้อสอบจริง Product ปี 2564 ข้อ 83</t>
        </is>
      </c>
      <c r="O189" s="35" t="inlineStr">
        <is>
          <t>ข้อสอบจริง</t>
        </is>
      </c>
      <c r="P189" s="35" t="inlineStr">
        <is>
          <t>ปี 2564</t>
        </is>
      </c>
    </row>
    <row r="190" ht="409.6" customHeight="1" s="49">
      <c r="A190" s="35" t="n">
        <v>188</v>
      </c>
      <c r="B190" s="34" t="inlineStr">
        <is>
          <t>ตัวยาประกอบด้วย sodium alginate, calcium carbonate, sodium bicarbonate ข้อใดถูกต้อง</t>
        </is>
      </c>
      <c r="C190" s="35" t="n"/>
      <c r="D190" s="34" t="inlineStr">
        <is>
          <t>ทำให้ตำรับออกฤทธิ์เร็ว ❌ ไม่ใช่จุดเด่นหลักของ alginate เน้นสร้าง raft barrier ป้องกัน reflux</t>
        </is>
      </c>
      <c r="E190" s="34" t="inlineStr">
        <is>
          <t>Sodium alginate จับกับกรดในทางเดินอาหาร ❌ ไม่ได้ทำหน้าที่เป็น antacid โดยตรง ทำหน้าที่สร้าง gel/raft</t>
        </is>
      </c>
      <c r="F190" s="34" t="inlineStr">
        <is>
          <t>ถูกต้อง ✅ Alginate \+ Ca²⁺ → gel Bicarbonate/carbonate ช่วย neutralize acid และสร้าง CO₂</t>
        </is>
      </c>
      <c r="G190" s="34" t="inlineStr">
        <is>
          <t>Sodium bicarbonate ดูดซึมได้ดี แล้วลดกรดได้ ❌ NaHCO₃ ทำหน้าที่ neutralize กรด ไม่ใช่ดูดซึมเพื่อออกฤทธิ์</t>
        </is>
      </c>
      <c r="H190" s="34" t="inlineStr">
        <is>
          <t>Calcium carbonate เป็น diluent ❌ CaCO₃ เป็น antacid/active ingredient ไม่ใช่สารเพิ่มปริมาณ</t>
        </is>
      </c>
      <c r="I190" s="35" t="n">
        <v>1</v>
      </c>
      <c r="J190" s="34" t="inlineStr">
        <is>
          <t>✅ คำตอบที่ถูกต้อง: ข้อ ก. ทำให้ตำรับออกฤทธิ์เร็ว ❌ ไม่ใช่จุดเด่นหลักของ alginate เน้นสร้าง raft barrier ป้องกัน reflux
💡 Background:
คำถามข้อสอบจริงใบประกอบวิชาชีพ PLE-CC 1 (Product) ปี 2564 ข้อ 84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0" s="35" t="n"/>
      <c r="L190" s="34" t="inlineStr">
        <is>
          <t>Liquid &amp; Semisolid Dosage Forms</t>
        </is>
      </c>
      <c r="M190" s="35" t="inlineStr">
        <is>
          <t>Product</t>
        </is>
      </c>
      <c r="N190" s="34" t="inlineStr">
        <is>
          <t>ข้อสอบจริง Product ปี 2564 ข้อ 84</t>
        </is>
      </c>
      <c r="O190" s="35" t="inlineStr">
        <is>
          <t>ข้อสอบจริง</t>
        </is>
      </c>
      <c r="P190" s="35" t="inlineStr">
        <is>
          <t>ปี 2564</t>
        </is>
      </c>
    </row>
    <row r="191" ht="409.6" customHeight="1" s="49">
      <c r="A191" s="35" t="n">
        <v>189</v>
      </c>
      <c r="B191" s="34" t="inlineStr">
        <is>
          <t>Freeze Thaw 3 Cycles แล้วพบว่า Emulsion แยกชั้นกันจะแก้ปัญหาอย่างไร</t>
        </is>
      </c>
      <c r="C191" s="35" t="n"/>
      <c r="D191" s="34" t="inlineStr">
        <is>
          <t>เติม Tragacanth ใน O/W cream ✅ เพิ่ม viscosity ของ aqueous phase ลดการเคลื่อนที่และการรวมตัวของหยดน้ำมัน ช่วยเพิ่ม emulsion stability</t>
        </is>
      </c>
      <c r="E191" s="34" t="inlineStr">
        <is>
          <t>ใช้เครื่อง Ball mill ❌ ใช้ลดขนาดอนุภาคของแข็ง ไม่ใช่แก้ emulsion แยกชั้น</t>
        </is>
      </c>
      <c r="F191" s="34" t="inlineStr">
        <is>
          <t>เติม Hydroxyethylcellulose ใน W/O cream ❌ HEC เป็น hydrophilic polymer เหมาะกับ aqueous phase ของ O/W มากกว่า ไม่เหมาะกับ W/O</t>
        </is>
      </c>
      <c r="G191" s="34" t="inlineStr">
        <is>
          <t>เติม NaCl ใน W/O cream ❌ Electrolyte อาจรบกวนความคงตัวของ emulsion</t>
        </is>
      </c>
      <c r="H191" s="34" t="inlineStr">
        <is>
          <t>เติม Na benzoate ใน W/O cream ❌ เป็น preservative ไม่ใช่ตัวเพิ่มความคงตัวของ emulsion</t>
        </is>
      </c>
      <c r="I191" s="35" t="n">
        <v>1</v>
      </c>
      <c r="J191" s="34" t="inlineStr">
        <is>
          <t>✅ คำตอบที่ถูกต้อง: ข้อ ก. เติม Tragacanth ใน O/W cream ✅ เพิ่ม viscosity ของ aqueous phase ลดการเคลื่อนที่และการรวมตัวของหยดน้ำมัน ช่วยเพิ่ม emulsion stability
💡 Background:
คำถามข้อสอบจริงใบประกอบวิชาชีพ PLE-CC 1 (Product) ปี 2564 ข้อ 93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1" s="35" t="n"/>
      <c r="L191" s="34" t="inlineStr">
        <is>
          <t>Liquid &amp; Semisolid Dosage Forms</t>
        </is>
      </c>
      <c r="M191" s="35" t="inlineStr">
        <is>
          <t>Product</t>
        </is>
      </c>
      <c r="N191" s="34" t="inlineStr">
        <is>
          <t>ข้อสอบจริง Product ปี 2564 ข้อ 93</t>
        </is>
      </c>
      <c r="O191" s="35" t="inlineStr">
        <is>
          <t>ข้อสอบจริง</t>
        </is>
      </c>
      <c r="P191" s="35" t="inlineStr">
        <is>
          <t>ปี 2564</t>
        </is>
      </c>
    </row>
    <row r="192" ht="409.6" customHeight="1" s="49">
      <c r="A192" s="35" t="n">
        <v>190</v>
      </c>
      <c r="B192" s="34" t="inlineStr">
        <is>
          <t>ตำรับ suspensions sedimentation volume = 0.5, degree of flocculation = 1 ควรแก้ไขอย่างไร</t>
        </is>
      </c>
      <c r="C192" s="35" t="n"/>
      <c r="D192" s="34" t="inlineStr">
        <is>
          <t>เพิ่มความเข้มข้น SCMC</t>
        </is>
      </c>
      <c r="E192" s="34" t="inlineStr">
        <is>
          <t>เพิ่ม benzyl alcohol ❌ เป็น preservative</t>
        </is>
      </c>
      <c r="F192" s="34" t="inlineStr">
        <is>
          <t>เพิ่ม sodium metabisulphite ❌เป็น antioxidant</t>
        </is>
      </c>
      <c r="G192" s="34" t="inlineStr">
        <is>
          <t>เปลี่ยน saccharine แทน syrup ❌เกี่ยวกับ sweetener ไม่เกี่ยวกับ stability</t>
        </is>
      </c>
      <c r="H192" s="34" t="inlineStr">
        <is>
          <t>เพิ่ม paraben ❌เป็น preservative</t>
        </is>
      </c>
      <c r="I192" s="35" t="n">
        <v>1</v>
      </c>
      <c r="J192" s="34" t="inlineStr">
        <is>
          <t>✅ คำตอบที่ถูกต้อง: ข้อ ก. เพิ่มความเข้มข้น SCMC
💡 Background:
คำถามข้อสอบจริงใบประกอบวิชาชีพ PLE-CC 1 (Product) ปี 2564 ข้อ 99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2" s="35" t="n"/>
      <c r="L192" s="34" t="inlineStr">
        <is>
          <t>Liquid &amp; Semisolid Dosage Forms</t>
        </is>
      </c>
      <c r="M192" s="35" t="inlineStr">
        <is>
          <t>Product</t>
        </is>
      </c>
      <c r="N192" s="34" t="inlineStr">
        <is>
          <t>ข้อสอบจริง Product ปี 2564 ข้อ 99</t>
        </is>
      </c>
      <c r="O192" s="35" t="inlineStr">
        <is>
          <t>ข้อสอบจริง</t>
        </is>
      </c>
      <c r="P192" s="35" t="inlineStr">
        <is>
          <t>ปี 2564</t>
        </is>
      </c>
    </row>
    <row r="193" ht="409.6" customHeight="1" s="49">
      <c r="A193" s="35" t="n">
        <v>191</v>
      </c>
      <c r="B193" s="34" t="inlineStr">
        <is>
          <t>เตรียม 5% Atenolol extemporaneous oral suspension ปริมาตร 50 ml จากยาเม็ด Atenolol 25 mg จะต้องใช้ Atenolol กี่เม็ด</t>
        </is>
      </c>
      <c r="C193" s="35" t="n"/>
      <c r="D193" s="34" t="inlineStr">
        <is>
          <t>2 เม็ด</t>
        </is>
      </c>
      <c r="E193" s="34" t="inlineStr">
        <is>
          <t>3 เม็ด</t>
        </is>
      </c>
      <c r="F193" s="34" t="inlineStr">
        <is>
          <t>4 เม็ด</t>
        </is>
      </c>
      <c r="G193" s="34" t="inlineStr">
        <is>
          <t>5 เม็ด</t>
        </is>
      </c>
      <c r="H193" s="34" t="inlineStr">
        <is>
          <t>6 เม็ด</t>
        </is>
      </c>
      <c r="I193" s="35" t="n">
        <v>1</v>
      </c>
      <c r="J193" s="34" t="inlineStr">
        <is>
          <t>✅ คำตอบที่ถูกต้อง: ข้อ ก. 2 เม็ด
💡 Background:
คำถามข้อสอบจริงใบประกอบวิชาชีพ PLE-CC 1 (Product) ปี 2564 ข้อ 108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3" s="35" t="n"/>
      <c r="L193" s="34" t="inlineStr">
        <is>
          <t>Liquid &amp; Semisolid Dosage Forms</t>
        </is>
      </c>
      <c r="M193" s="35" t="inlineStr">
        <is>
          <t>Product</t>
        </is>
      </c>
      <c r="N193" s="34" t="inlineStr">
        <is>
          <t>ข้อสอบจริง Product ปี 2564 ข้อ 108</t>
        </is>
      </c>
      <c r="O193" s="35" t="inlineStr">
        <is>
          <t>ข้อสอบจริง</t>
        </is>
      </c>
      <c r="P193" s="35" t="inlineStr">
        <is>
          <t>ปี 2564</t>
        </is>
      </c>
    </row>
    <row r="194" ht="409.6" customHeight="1" s="49">
      <c r="A194" s="35" t="n">
        <v>192</v>
      </c>
      <c r="B194" s="34" t="inlineStr">
        <is>
          <t>Each teaspoon contains 125 mg of naproxen containing vehicles of sucrose, magnesium aluminium silicate, disodium edetate, F\&amp;D yellow... ถ้าจะเตรียม naproxen suspension ขนาด 100 ml จะต้องใช้ naproxen กี่ g</t>
        </is>
      </c>
      <c r="C194" s="35" t="n"/>
      <c r="D194" s="34" t="inlineStr">
        <is>
          <t>1.5</t>
        </is>
      </c>
      <c r="E194" s="34" t="inlineStr">
        <is>
          <t>2.5</t>
        </is>
      </c>
      <c r="F194" s="34" t="inlineStr">
        <is>
          <t>3.5</t>
        </is>
      </c>
      <c r="G194" s="34" t="inlineStr">
        <is>
          <t>4.5</t>
        </is>
      </c>
      <c r="H194" s="34" t="inlineStr">
        <is>
          <t>5.5</t>
        </is>
      </c>
      <c r="I194" s="35" t="n">
        <v>1</v>
      </c>
      <c r="J194" s="34" t="inlineStr">
        <is>
          <t>✅ คำตอบที่ถูกต้อง: ข้อ ก. 1.5
💡 Background:
คำถามข้อสอบจริงใบประกอบวิชาชีพ PLE-CC 1 (Product) ปี 2564 ข้อ 109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4" s="35" t="n"/>
      <c r="L194" s="34" t="inlineStr">
        <is>
          <t>Liquid &amp; Semisolid Dosage Forms</t>
        </is>
      </c>
      <c r="M194" s="35" t="inlineStr">
        <is>
          <t>Product</t>
        </is>
      </c>
      <c r="N194" s="34" t="inlineStr">
        <is>
          <t>ข้อสอบจริง Product ปี 2564 ข้อ 109</t>
        </is>
      </c>
      <c r="O194" s="35" t="inlineStr">
        <is>
          <t>ข้อสอบจริง</t>
        </is>
      </c>
      <c r="P194" s="35" t="inlineStr">
        <is>
          <t>ปี 2564</t>
        </is>
      </c>
    </row>
    <row r="195" ht="409.6" customHeight="1" s="49">
      <c r="A195" s="35" t="n">
        <v>193</v>
      </c>
      <c r="B195" s="34" t="inlineStr">
        <is>
          <t>สูตรตำรับ Calamine lotion Active Ingredient: Calamine Inactive ingredient : Hypromellose, xanthan gum, polysorbate 80, methyl paraben, propylparaben ข้อใดคือหน้าที่ของ Hypromellose</t>
        </is>
      </c>
      <c r="C195" s="35" t="n"/>
      <c r="D195" s="34" t="inlineStr">
        <is>
          <t>Emulsifier</t>
        </is>
      </c>
      <c r="E195" s="34" t="inlineStr">
        <is>
          <t>Diluent</t>
        </is>
      </c>
      <c r="F195" s="34" t="inlineStr">
        <is>
          <t>Viscosity enhancer</t>
        </is>
      </c>
      <c r="G195" s="34" t="inlineStr">
        <is>
          <t>Humectant</t>
        </is>
      </c>
      <c r="H195" s="34" t="inlineStr">
        <is>
          <t>Disintegrant</t>
        </is>
      </c>
      <c r="I195" s="35" t="n">
        <v>1</v>
      </c>
      <c r="J195" s="34" t="inlineStr">
        <is>
          <t>✅ คำตอบที่ถูกต้อง: ข้อ ก. Emulsifier
💡 Background:
คำถามข้อสอบจริงใบประกอบวิชาชีพ PLE-CC 1 (Product) ปี 2564 ข้อ 111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5" s="35" t="n"/>
      <c r="L195" s="34" t="inlineStr">
        <is>
          <t>Liquid &amp; Semisolid Dosage Forms</t>
        </is>
      </c>
      <c r="M195" s="35" t="inlineStr">
        <is>
          <t>Product</t>
        </is>
      </c>
      <c r="N195" s="34" t="inlineStr">
        <is>
          <t>ข้อสอบจริง Product ปี 2564 ข้อ 111</t>
        </is>
      </c>
      <c r="O195" s="35" t="inlineStr">
        <is>
          <t>ข้อสอบจริง</t>
        </is>
      </c>
      <c r="P195" s="35" t="inlineStr">
        <is>
          <t>ปี 2564</t>
        </is>
      </c>
    </row>
    <row r="196" ht="409.6" customHeight="1" s="49">
      <c r="A196" s="35" t="n">
        <v>194</v>
      </c>
      <c r="B196" s="34" t="inlineStr">
        <is>
          <t>สารใดไม่ใช้เป็น stiffening agent สำหรับ topical antiviral cream</t>
        </is>
      </c>
      <c r="C196" s="35" t="n"/>
      <c r="D196" s="34" t="inlineStr">
        <is>
          <t>Beeswax ✅ เป็น stiffening agent</t>
        </is>
      </c>
      <c r="E196" s="34" t="inlineStr">
        <is>
          <t>PEG 4000 ✅ เป็น stiffening agent ในฐาน PEG ointment</t>
        </is>
      </c>
      <c r="F196" s="34" t="inlineStr">
        <is>
          <t>Paraffin wax ✅ เป็น stiffening agent</t>
        </is>
      </c>
      <c r="G196" s="34" t="inlineStr">
        <is>
          <t>Cetostearyl alcohol ✅ เป็น stiffening agent และ co-emulsifier</t>
        </is>
      </c>
      <c r="H196" s="34" t="inlineStr">
        <is>
          <t>Isopropyl myristate ❌ เป็น Emollient</t>
        </is>
      </c>
      <c r="I196" s="35" t="n">
        <v>1</v>
      </c>
      <c r="J196" s="34" t="inlineStr">
        <is>
          <t>✅ คำตอบที่ถูกต้อง: ข้อ ก. Beeswax ✅ เป็น stiffening agent
💡 Background:
คำถามข้อสอบจริงใบประกอบวิชาชีพ PLE-CC 1 (Product) ปี 2564 ข้อ 115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6" s="35" t="n"/>
      <c r="L196" s="34" t="inlineStr">
        <is>
          <t>Liquid &amp; Semisolid Dosage Forms</t>
        </is>
      </c>
      <c r="M196" s="35" t="inlineStr">
        <is>
          <t>Product</t>
        </is>
      </c>
      <c r="N196" s="34" t="inlineStr">
        <is>
          <t>ข้อสอบจริง Product ปี 2564 ข้อ 115</t>
        </is>
      </c>
      <c r="O196" s="35" t="inlineStr">
        <is>
          <t>ข้อสอบจริง</t>
        </is>
      </c>
      <c r="P196" s="35" t="inlineStr">
        <is>
          <t>ปี 2564</t>
        </is>
      </c>
    </row>
    <row r="197" ht="409.6" customHeight="1" s="49">
      <c r="A197" s="35" t="n">
        <v>195</v>
      </c>
      <c r="B197" s="34" t="inlineStr">
        <is>
          <t>ยาพื้นใดมีผลแบบ occlusive effect ดีที่สุด</t>
        </is>
      </c>
      <c r="C197" s="35" t="n"/>
      <c r="D197" s="34" t="inlineStr">
        <is>
          <t>Water-soluble base</t>
        </is>
      </c>
      <c r="E197" s="34" t="inlineStr">
        <is>
          <t>Water-removeable base</t>
        </is>
      </c>
      <c r="F197" s="34" t="inlineStr">
        <is>
          <t>Absorption base</t>
        </is>
      </c>
      <c r="G197" s="34" t="inlineStr">
        <is>
          <t>Oleaginous bases</t>
        </is>
      </c>
      <c r="H197" s="34" t="inlineStr">
        <is>
          <t>W/O emulsion base</t>
        </is>
      </c>
      <c r="I197" s="35" t="n">
        <v>1</v>
      </c>
      <c r="J197" s="34" t="inlineStr">
        <is>
          <t>✅ คำตอบที่ถูกต้อง: ข้อ ก. Water-soluble base
💡 Background:
คำถามข้อสอบจริงใบประกอบวิชาชีพ PLE-CC 1 (Product) ปี 2564 ข้อ 116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7" s="35" t="n"/>
      <c r="L197" s="34" t="inlineStr">
        <is>
          <t>Liquid &amp; Semisolid Dosage Forms</t>
        </is>
      </c>
      <c r="M197" s="35" t="inlineStr">
        <is>
          <t>Product</t>
        </is>
      </c>
      <c r="N197" s="34" t="inlineStr">
        <is>
          <t>ข้อสอบจริง Product ปี 2564 ข้อ 116</t>
        </is>
      </c>
      <c r="O197" s="35" t="inlineStr">
        <is>
          <t>ข้อสอบจริง</t>
        </is>
      </c>
      <c r="P197" s="35" t="inlineStr">
        <is>
          <t>ปี 2564</t>
        </is>
      </c>
    </row>
    <row r="198" ht="409.6" customHeight="1" s="49">
      <c r="A198" s="35" t="n">
        <v>196</v>
      </c>
      <c r="B198" s="34" t="inlineStr">
        <is>
          <t>การทดสอบตำรับยาครีมแบบ freeze thaw cycle พบว่าตำรับเปลี่ยนแปลงไปโดยมีลักษณะเหลวขึ้นจะแก้ไขปัญหาความไม่คงตัวอย่างไร</t>
        </is>
      </c>
      <c r="C198" s="35" t="n"/>
      <c r="D198" s="34" t="inlineStr">
        <is>
          <t>Tragacanth ใน O/W ✅ เพิ่มความหนืด ช่วยให้ครีมคงตัว</t>
        </is>
      </c>
      <c r="E198" s="34" t="inlineStr">
        <is>
          <t>Ball mill ❌ ลดขนาดอนุภาค ไม่แก้ครีมเหลว</t>
        </is>
      </c>
      <c r="F198" s="34" t="inlineStr">
        <is>
          <t>HEC ใน W/O ❌ HEC เหมาะกับ O/W ไม่ใช่ W/O</t>
        </is>
      </c>
      <c r="G198" s="34" t="inlineStr">
        <is>
          <t>NaCl ❌ electrolyte และอาจทำให้ emulsion ไม่คงตัว</t>
        </is>
      </c>
      <c r="H198" s="34" t="inlineStr">
        <is>
          <t>Sodium benzoate ❌ เป็นสารกันเสีย ไม่แก้ความหนืด</t>
        </is>
      </c>
      <c r="I198" s="35" t="n">
        <v>1</v>
      </c>
      <c r="J198" s="34" t="inlineStr">
        <is>
          <t>✅ คำตอบที่ถูกต้อง: ข้อ ก. Tragacanth ใน O/W ✅ เพิ่มความหนืด ช่วยให้ครีมคงตัว
💡 Background:
คำถามข้อสอบจริงใบประกอบวิชาชีพ PLE-CC 1 (Product) ปี 2564 ข้อ 117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8" s="35" t="n"/>
      <c r="L198" s="34" t="inlineStr">
        <is>
          <t>Liquid &amp; Semisolid Dosage Forms</t>
        </is>
      </c>
      <c r="M198" s="35" t="inlineStr">
        <is>
          <t>Product</t>
        </is>
      </c>
      <c r="N198" s="34" t="inlineStr">
        <is>
          <t>ข้อสอบจริง Product ปี 2564 ข้อ 117</t>
        </is>
      </c>
      <c r="O198" s="35" t="inlineStr">
        <is>
          <t>ข้อสอบจริง</t>
        </is>
      </c>
      <c r="P198" s="35" t="inlineStr">
        <is>
          <t>ปี 2564</t>
        </is>
      </c>
    </row>
    <row r="199" ht="409.6" customHeight="1" s="49">
      <c r="A199" s="35" t="n">
        <v>197</v>
      </c>
      <c r="B199" s="34" t="inlineStr">
        <is>
          <t>ผู้ป่วยชายมาซื้อยารักษาสิว มีส่วนประกอบคือ Isotretinoin 20 mg Hydrogenated vegetable oil 64 mg White wax 18 mg Disodium edetate 0.6 mg BHA 0.032 mg Soy bean oil 180 mg Gelatin, glycerin and parabens (methyl and propyl), กับระบบสี (dye systems) 20 mg คือ FD\&amp;C Red No. 3, FD\&amp;C Blue No. 1, และ titanium dioxide จากตำรับเป็นยาแบบไหน</t>
        </is>
      </c>
      <c r="C199" s="35" t="n"/>
      <c r="D199" s="34" t="inlineStr">
        <is>
          <t>Hard gelatin capsule ❌ ใช้บรรจุผงหรือเม็ดเล็ก (granules/pellets) เป็นหลัก</t>
        </is>
      </c>
      <c r="E199" s="34" t="inlineStr">
        <is>
          <t>Soft gelatin capsule ✅ บรรจุของเหลว/สารละลายในน้ำมัน และมี glycerin เป็น plasticizer</t>
        </is>
      </c>
      <c r="F199" s="34" t="inlineStr">
        <is>
          <t>Enteric capsule ❌ ต้องมีสารเคลือบกันกรด เช่น HPMCAS, Eudragit</t>
        </is>
      </c>
      <c r="G199" s="34" t="inlineStr">
        <is>
          <t>Cream ❌ ไม่มีฐานครีม</t>
        </is>
      </c>
      <c r="H199" s="34" t="inlineStr">
        <is>
          <t>Ointment ❌ ไม่ใช่ตำรับกึ่งแข็งสำหรับทาผิว</t>
        </is>
      </c>
      <c r="I199" s="35" t="n">
        <v>1</v>
      </c>
      <c r="J199" s="34" t="inlineStr">
        <is>
          <t>✅ คำตอบที่ถูกต้อง: ข้อ ก. Hard gelatin capsule ❌ ใช้บรรจุผงหรือเม็ดเล็ก (granules/pellets) เป็นหลัก
💡 Background:
คำถามข้อสอบจริงใบประกอบวิชาชีพ PLE-CC 1 (Product) ปี 2564 ข้อ 123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199" s="35" t="n"/>
      <c r="L199" s="34" t="inlineStr">
        <is>
          <t>Liquid &amp; Semisolid Dosage Forms</t>
        </is>
      </c>
      <c r="M199" s="35" t="inlineStr">
        <is>
          <t>Product</t>
        </is>
      </c>
      <c r="N199" s="34" t="inlineStr">
        <is>
          <t>ข้อสอบจริง Product ปี 2564 ข้อ 123</t>
        </is>
      </c>
      <c r="O199" s="35" t="inlineStr">
        <is>
          <t>ข้อสอบจริง</t>
        </is>
      </c>
      <c r="P199" s="35" t="inlineStr">
        <is>
          <t>ปี 2564</t>
        </is>
      </c>
    </row>
    <row r="200" ht="409.6" customHeight="1" s="49">
      <c r="A200" s="35" t="n">
        <v>198</v>
      </c>
      <c r="B200" s="34" t="inlineStr">
        <is>
          <t>HCTZ suspension 50 ml ตั้งทิ้งไว้ 4 wk ได้ F = 0.5 ควรแก้ไขตำรับอย่างไร</t>
        </is>
      </c>
      <c r="C200" s="35" t="n"/>
      <c r="D200" s="34" t="inlineStr">
        <is>
          <t>เพิ่ม paraben concentrate ❌ Preservative ไม่ช่วยลดการตกตะกอน</t>
        </is>
      </c>
      <c r="E200" s="34" t="inlineStr">
        <is>
          <t>เพิ่ม sodium carboxymethyl cellulose ✅ Suspensing agent เพิ่มความหนืด ลด sedimentation</t>
        </is>
      </c>
      <c r="F200" s="34" t="inlineStr">
        <is>
          <t>เปลี่ยน saccharin sodium เป็น syrup ❌ ช่วยเพิ่มความหวาน ไม่ใช่วิธีมาตรฐานแก้ F ต่ำ</t>
        </is>
      </c>
      <c r="G200" s="34" t="inlineStr">
        <is>
          <t>เพิ่ม sodium metabisulfite ❌ Antioxidant</t>
        </is>
      </c>
      <c r="H200" s="34" t="inlineStr">
        <is>
          <t>เพิ่มอุณหภูมิ ❌ ยิ่งลดความคงตัวของ suspension</t>
        </is>
      </c>
      <c r="I200" s="35" t="n">
        <v>1</v>
      </c>
      <c r="J200" s="34" t="inlineStr">
        <is>
          <t>✅ คำตอบที่ถูกต้อง: ข้อ ก. เพิ่ม paraben concentrate ❌ Preservative ไม่ช่วยลดการตกตะกอน
💡 Background:
คำถามข้อสอบจริงใบประกอบวิชาชีพ PLE-CC 1 (Product) ปี 2564 ข้อ 143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0" s="35" t="n"/>
      <c r="L200" s="34" t="inlineStr">
        <is>
          <t>Liquid &amp; Semisolid Dosage Forms</t>
        </is>
      </c>
      <c r="M200" s="35" t="inlineStr">
        <is>
          <t>Product</t>
        </is>
      </c>
      <c r="N200" s="34" t="inlineStr">
        <is>
          <t>ข้อสอบจริง Product ปี 2564 ข้อ 143</t>
        </is>
      </c>
      <c r="O200" s="35" t="inlineStr">
        <is>
          <t>ข้อสอบจริง</t>
        </is>
      </c>
      <c r="P200" s="35" t="inlineStr">
        <is>
          <t>ปี 2564</t>
        </is>
      </c>
    </row>
    <row r="201" ht="409.6" customHeight="1" s="49">
      <c r="A201" s="35" t="n">
        <v>199</v>
      </c>
      <c r="B201" s="34" t="inlineStr">
        <is>
          <t>Sodium starch glycolate ทำหน้าที่อะไรในตำรับ</t>
        </is>
      </c>
      <c r="C201" s="35" t="n"/>
      <c r="D201" s="34" t="inlineStr">
        <is>
          <t>Diluent</t>
        </is>
      </c>
      <c r="E201" s="34" t="inlineStr">
        <is>
          <t>Glidant</t>
        </is>
      </c>
      <c r="F201" s="34" t="inlineStr">
        <is>
          <t>Disintegrating</t>
        </is>
      </c>
      <c r="G201" s="34" t="inlineStr">
        <is>
          <t>Binder</t>
        </is>
      </c>
      <c r="H201" s="34" t="inlineStr">
        <is>
          <t>Lubricant</t>
        </is>
      </c>
      <c r="I201" s="35" t="n">
        <v>1</v>
      </c>
      <c r="J201" s="34" t="inlineStr">
        <is>
          <t>✅ คำตอบที่ถูกต้อง: ข้อ ก. Diluent
💡 Background:
คำถามข้อสอบจริงใบประกอบวิชาชีพ PLE-CC 1 (Product) ปี 2564 ข้อ 144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1" s="35" t="n"/>
      <c r="L201" s="34" t="inlineStr">
        <is>
          <t>Liquid &amp; Semisolid Dosage Forms</t>
        </is>
      </c>
      <c r="M201" s="35" t="inlineStr">
        <is>
          <t>Product</t>
        </is>
      </c>
      <c r="N201" s="34" t="inlineStr">
        <is>
          <t>ข้อสอบจริง Product ปี 2564 ข้อ 144</t>
        </is>
      </c>
      <c r="O201" s="35" t="inlineStr">
        <is>
          <t>ข้อสอบจริง</t>
        </is>
      </c>
      <c r="P201" s="35" t="inlineStr">
        <is>
          <t>ปี 2564</t>
        </is>
      </c>
    </row>
    <row r="202" ht="409.6" customHeight="1" s="49">
      <c r="A202" s="35" t="n">
        <v>200</v>
      </c>
      <c r="B202" s="34" t="inlineStr">
        <is>
          <t>จากสูตรตำรับข้อใดถูกต้อง</t>
        </is>
      </c>
      <c r="C202" s="35" t="n"/>
      <c r="D202" s="34" t="inlineStr">
        <is>
          <t>Lanolin stiffening agent ❌ Lanolin เป็น absorption base / emollient ไม่ใช่ stiffening agent</t>
        </is>
      </c>
      <c r="E202" s="34" t="inlineStr">
        <is>
          <t>Triethanolamine emulsifying agent ❌ Triethanolamine เดี่ยว ๆ เป็น pH adjuster จะเป็น emulsifier ได้เมื่อทำปฏิกิริยากับ stearic acid เกิด TEA stearate</t>
        </is>
      </c>
      <c r="F202" s="34" t="inlineStr">
        <is>
          <t>Isopropyl myristate humectant ❌ เป็น emollient / skin penetration enhancer</t>
        </is>
      </c>
      <c r="G202" s="34" t="inlineStr">
        <is>
          <t>Cetostearyl alcohol suspending agent ❌ เป็น stiffening agent และ co-emulsifier</t>
        </is>
      </c>
      <c r="H202" s="34" t="inlineStr">
        <is>
          <t>Glycerin humectant ✅ ถูกต้อง</t>
        </is>
      </c>
      <c r="I202" s="35" t="n">
        <v>1</v>
      </c>
      <c r="J202" s="34" t="inlineStr">
        <is>
          <t>✅ คำตอบที่ถูกต้อง: ข้อ ก. Lanolin stiffening agent ❌ Lanolin เป็น absorption base / emollient ไม่ใช่ stiffening agent
💡 Background:
คำถามข้อสอบจริงใบประกอบวิชาชีพ PLE-CC 1 (Product) ปี 2564 ข้อ 145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2" s="35" t="n"/>
      <c r="L202" s="34" t="inlineStr">
        <is>
          <t>Liquid &amp; Semisolid Dosage Forms</t>
        </is>
      </c>
      <c r="M202" s="35" t="inlineStr">
        <is>
          <t>Product</t>
        </is>
      </c>
      <c r="N202" s="34" t="inlineStr">
        <is>
          <t>ข้อสอบจริง Product ปี 2564 ข้อ 145</t>
        </is>
      </c>
      <c r="O202" s="35" t="inlineStr">
        <is>
          <t>ข้อสอบจริง</t>
        </is>
      </c>
      <c r="P202" s="35" t="inlineStr">
        <is>
          <t>ปี 2564</t>
        </is>
      </c>
    </row>
    <row r="203" ht="409.6" customHeight="1" s="49">
      <c r="A203" s="35" t="n">
        <v>201</v>
      </c>
      <c r="B203" s="34" t="inlineStr">
        <is>
          <t>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03" s="35" t="n"/>
      <c r="D203" s="34" t="inlineStr">
        <is>
          <t>Cosolvent</t>
        </is>
      </c>
      <c r="E203" s="34" t="inlineStr">
        <is>
          <t>Opacify</t>
        </is>
      </c>
      <c r="F203" s="34" t="inlineStr">
        <is>
          <t>Plasticizer</t>
        </is>
      </c>
      <c r="G203" s="34" t="inlineStr">
        <is>
          <t>Emulsifier</t>
        </is>
      </c>
      <c r="H203" s="34" t="inlineStr">
        <is>
          <t>Film coat resin</t>
        </is>
      </c>
      <c r="I203" s="35" t="n">
        <v>1</v>
      </c>
      <c r="J203" s="34" t="inlineStr">
        <is>
          <t>✅ คำตอบที่ถูกต้อง: ข้อ ก. Cosolvent
💡 Background:
คำถามข้อสอบจริงใบประกอบวิชาชีพ PLE-CC 1 (Product) ปี 2564 ข้อ 146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3" s="35" t="n"/>
      <c r="L203" s="34" t="inlineStr">
        <is>
          <t>Liquid &amp; Semisolid Dosage Forms</t>
        </is>
      </c>
      <c r="M203" s="35" t="inlineStr">
        <is>
          <t>Product</t>
        </is>
      </c>
      <c r="N203" s="34" t="inlineStr">
        <is>
          <t>ข้อสอบจริง Product ปี 2564 ข้อ 146</t>
        </is>
      </c>
      <c r="O203" s="35" t="inlineStr">
        <is>
          <t>ข้อสอบจริง</t>
        </is>
      </c>
      <c r="P203" s="35" t="inlineStr">
        <is>
          <t>ปี 2564</t>
        </is>
      </c>
    </row>
    <row r="204" ht="409.6" customHeight="1" s="49">
      <c r="A204" s="35" t="n">
        <v>202</v>
      </c>
      <c r="B204" s="34" t="inlineStr">
        <is>
          <t>ในสูตรตำรับยาครีม หากตำรับมีลักษณะเหลวควรเพิ่มสารใดในตำรับ</t>
        </is>
      </c>
      <c r="C204" s="35" t="n"/>
      <c r="D204" s="34" t="inlineStr">
        <is>
          <t>Mineral oil</t>
        </is>
      </c>
      <c r="E204" s="34" t="inlineStr">
        <is>
          <t>Propylene glycol</t>
        </is>
      </c>
      <c r="F204" s="34" t="inlineStr">
        <is>
          <t>Cetyl alcohol</t>
        </is>
      </c>
      <c r="G204" s="34" t="inlineStr">
        <is>
          <t>Sodium lauryl sulfate</t>
        </is>
      </c>
      <c r="H204" s="34" t="inlineStr">
        <is>
          <t>Triethanolamine</t>
        </is>
      </c>
      <c r="I204" s="35" t="n">
        <v>1</v>
      </c>
      <c r="J204" s="34" t="inlineStr">
        <is>
          <t>✅ คำตอบที่ถูกต้อง: ข้อ ก. Mineral oil
💡 Background:
คำถามข้อสอบจริงใบประกอบวิชาชีพ PLE-CC 1 (Product) ปี 2564 ข้อ 161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4" s="35" t="n"/>
      <c r="L204" s="34" t="inlineStr">
        <is>
          <t>Liquid &amp; Semisolid Dosage Forms</t>
        </is>
      </c>
      <c r="M204" s="35" t="inlineStr">
        <is>
          <t>Product</t>
        </is>
      </c>
      <c r="N204" s="34" t="inlineStr">
        <is>
          <t>ข้อสอบจริง Product ปี 2564 ข้อ 161</t>
        </is>
      </c>
      <c r="O204" s="35" t="inlineStr">
        <is>
          <t>ข้อสอบจริง</t>
        </is>
      </c>
      <c r="P204" s="35" t="inlineStr">
        <is>
          <t>ปี 2564</t>
        </is>
      </c>
    </row>
    <row r="205" ht="409.6" customHeight="1" s="49">
      <c r="A205" s="35" t="n">
        <v>203</v>
      </c>
      <c r="B205" s="34"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205" s="35" t="n"/>
      <c r="D205" s="34" t="inlineStr">
        <is>
          <t>BHT ❌ Antioxidant ป้องกัน oxidation</t>
        </is>
      </c>
      <c r="E205" s="34" t="inlineStr">
        <is>
          <t>Glycerin ❌ Humectant (แต่ไม่มีในสูตรที่ให้)</t>
        </is>
      </c>
      <c r="F205" s="34" t="inlineStr">
        <is>
          <t>Cetyl alcohol ✅ Stiffening agent / viscosity enhancer</t>
        </is>
      </c>
      <c r="G205" s="34" t="inlineStr">
        <is>
          <t>Propylene glycol ❌ Humectant / cosolvent</t>
        </is>
      </c>
      <c r="H205" s="34" t="inlineStr">
        <is>
          <t>Sodium lauryl sulphate ❌ Emulsifier / surfactant</t>
        </is>
      </c>
      <c r="I205" s="35" t="n">
        <v>1</v>
      </c>
      <c r="J205" s="34" t="inlineStr">
        <is>
          <t>✅ คำตอบที่ถูกต้อง: ข้อ ก. BHT ❌ Antioxidant ป้องกัน oxidation
💡 Background:
คำถามข้อสอบจริงใบประกอบวิชาชีพ PLE-CC 1 (Product) ปี 2564 ข้อ 166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5" s="35" t="n"/>
      <c r="L205" s="34" t="inlineStr">
        <is>
          <t>Liquid &amp; Semisolid Dosage Forms</t>
        </is>
      </c>
      <c r="M205" s="35" t="inlineStr">
        <is>
          <t>Product</t>
        </is>
      </c>
      <c r="N205" s="34" t="inlineStr">
        <is>
          <t>ข้อสอบจริง Product ปี 2564 ข้อ 166</t>
        </is>
      </c>
      <c r="O205" s="35" t="inlineStr">
        <is>
          <t>ข้อสอบจริง</t>
        </is>
      </c>
      <c r="P205" s="35" t="inlineStr">
        <is>
          <t>ปี 2564</t>
        </is>
      </c>
    </row>
    <row r="206" ht="409.6" customHeight="1" s="49">
      <c r="A206" s="35" t="n">
        <v>204</v>
      </c>
      <c r="B206" s="34" t="inlineStr">
        <is>
          <t>ตำรับ calamine lotion ตัวยาเป็นน้ำแขวนตะกอน เขย่ายาแล้วไม่คืนกลับเมื่อตั้งทิ้งไว้ ลักษณะดังกล่าวเรียกว่า</t>
        </is>
      </c>
      <c r="C206" s="35" t="n"/>
      <c r="D206" s="34" t="inlineStr">
        <is>
          <t>Caking ✅ ตะกอนจับแน่น กลับคืนไม่ได้</t>
        </is>
      </c>
      <c r="E206" s="34" t="inlineStr">
        <is>
          <t>Cracking ❌ รอยแตกของเม็ดยาหรือฟิล์มเคลือบ</t>
        </is>
      </c>
      <c r="F206" s="34" t="inlineStr">
        <is>
          <t>Breaking ❌ การแยกตัวของ emulsion อย่างถาวร</t>
        </is>
      </c>
      <c r="G206" s="34" t="inlineStr">
        <is>
          <t>Creaming ❌ หยดของเหลวใน emulsion ลอยขึ้น/ตกลง แต่ยังกลับคืนได้เมื่อเขย่า</t>
        </is>
      </c>
      <c r="H206" s="34" t="inlineStr">
        <is>
          <t>Coalescence ❌ หยด emulsion รวมตัวกันเป็นหยดใหญ่ (นำไปสู่ breaking)</t>
        </is>
      </c>
      <c r="I206" s="35" t="n">
        <v>1</v>
      </c>
      <c r="J206" s="34" t="inlineStr">
        <is>
          <t>✅ คำตอบที่ถูกต้อง: ข้อ ก. Caking ✅ ตะกอนจับแน่น กลับคืนไม่ได้
💡 Background:
คำถามข้อสอบจริงใบประกอบวิชาชีพ PLE-CC 1 (Product) ปี 2564 ข้อ 167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6" s="35" t="n"/>
      <c r="L206" s="34" t="inlineStr">
        <is>
          <t>Liquid &amp; Semisolid Dosage Forms</t>
        </is>
      </c>
      <c r="M206" s="35" t="inlineStr">
        <is>
          <t>Product</t>
        </is>
      </c>
      <c r="N206" s="34" t="inlineStr">
        <is>
          <t>ข้อสอบจริง Product ปี 2564 ข้อ 167</t>
        </is>
      </c>
      <c r="O206" s="35" t="inlineStr">
        <is>
          <t>ข้อสอบจริง</t>
        </is>
      </c>
      <c r="P206" s="35" t="inlineStr">
        <is>
          <t>ปี 2564</t>
        </is>
      </c>
    </row>
    <row r="207" ht="409.6" customHeight="1" s="49">
      <c r="A207" s="35" t="n">
        <v>205</v>
      </c>
      <c r="B207" s="34" t="inlineStr">
        <is>
          <t>Topical steroid รูปแบบไหนดูดซึมทางผิวหนังได้มากที่สุด ต้นฉบับ: Day 2 ข้อ 87</t>
        </is>
      </c>
      <c r="C207" s="35" t="n"/>
      <c r="D207" s="34" t="inlineStr">
        <is>
          <t>Solution</t>
        </is>
      </c>
      <c r="E207" s="34" t="inlineStr">
        <is>
          <t>Gel</t>
        </is>
      </c>
      <c r="F207" s="34" t="inlineStr">
        <is>
          <t>Suspension</t>
        </is>
      </c>
      <c r="G207" s="34" t="inlineStr">
        <is>
          <t>Ointment</t>
        </is>
      </c>
      <c r="H207" s="34" t="inlineStr">
        <is>
          <t>Cream</t>
        </is>
      </c>
      <c r="I207" s="35" t="n">
        <v>4</v>
      </c>
      <c r="J207" s="34" t="inlineStr">
        <is>
          <t>✅ คำตอบที่ถูกต้อง: ข้อ ง. Ointment
💡 Background:
คำถามข้อสอบจริงใบประกอบวิชาชีพ PLE-CC 1 (Product) ปี 2563 ข้อ 15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7" s="35" t="n"/>
      <c r="L207" s="34" t="inlineStr">
        <is>
          <t>Liquid &amp; Semisolid Dosage Forms</t>
        </is>
      </c>
      <c r="M207" s="35" t="inlineStr">
        <is>
          <t>Product</t>
        </is>
      </c>
      <c r="N207" s="34" t="inlineStr">
        <is>
          <t>ข้อสอบจริง Product ปี 2563 ข้อ 15</t>
        </is>
      </c>
      <c r="O207" s="35" t="inlineStr">
        <is>
          <t>ข้อสอบจริง</t>
        </is>
      </c>
      <c r="P207" s="35" t="inlineStr">
        <is>
          <t>ปี 2563</t>
        </is>
      </c>
    </row>
    <row r="208" ht="409.6" customHeight="1" s="49">
      <c r="A208" s="35" t="n">
        <v>206</v>
      </c>
      <c r="B208" s="34" t="inlineStr">
        <is>
          <t>ข้อใดไม่จำเป็นในการควบคุมคุณภาพการผลิต soft capsule ต้นฉบับ: Day 1 ข้อ 115</t>
        </is>
      </c>
      <c r="C208" s="35" t="n"/>
      <c r="D208" s="34" t="inlineStr">
        <is>
          <t>Pregelatinized starch</t>
        </is>
      </c>
      <c r="E208" s="34" t="inlineStr">
        <is>
          <t>Lactose monohydrate</t>
        </is>
      </c>
      <c r="F208" s="34" t="inlineStr">
        <is>
          <t>Microcrystalline cellulose</t>
        </is>
      </c>
      <c r="G208" s="34" t="inlineStr">
        <is>
          <t>Sodium starch glycolate</t>
        </is>
      </c>
      <c r="H208" s="34" t="inlineStr">
        <is>
          <t>Dibasic calcium phosphate | คำตอบที่น่าจะเป็น: a) Pregelatinized starch ใช้เป็น dry binder ได้ จึงเหมาะกับ dry granulation ที่ไม่เติมสารละลายยึดเกาะ</t>
        </is>
      </c>
      <c r="I208" s="35" t="n">
        <v>4</v>
      </c>
      <c r="J208" s="34" t="inlineStr">
        <is>
          <t>✅ คำตอบที่ถูกต้อง: ข้อ ง. Sodium starch glycolate
💡 Background:
คำถามข้อสอบจริงใบประกอบวิชาชีพ PLE-CC 1 (Product) ปี 2563 ข้อ 25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8" s="35" t="n"/>
      <c r="L208" s="34" t="inlineStr">
        <is>
          <t>Liquid &amp; Semisolid Dosage Forms</t>
        </is>
      </c>
      <c r="M208" s="35" t="inlineStr">
        <is>
          <t>Product</t>
        </is>
      </c>
      <c r="N208" s="34" t="inlineStr">
        <is>
          <t>ข้อสอบจริง Product ปี 2563 ข้อ 25</t>
        </is>
      </c>
      <c r="O208" s="35" t="inlineStr">
        <is>
          <t>ข้อสอบจริง</t>
        </is>
      </c>
      <c r="P208" s="35" t="inlineStr">
        <is>
          <t>ปี 2563</t>
        </is>
      </c>
    </row>
    <row r="209" ht="409.6" customHeight="1" s="49">
      <c r="A209" s="35" t="n">
        <v>207</v>
      </c>
      <c r="B209" s="34" t="inlineStr">
        <is>
          <t>ข้อใดไม่ใช่ส่วนประกอบของ soft capsule ต้นฉบับ: Day 2 ข้อ 32</t>
        </is>
      </c>
      <c r="C209" s="35" t="n"/>
      <c r="D209" s="34" t="inlineStr">
        <is>
          <t>Glycerin</t>
        </is>
      </c>
      <c r="E209" s="34" t="inlineStr">
        <is>
          <t>Propylene glycol</t>
        </is>
      </c>
      <c r="F209" s="34" t="inlineStr">
        <is>
          <t>Lake color</t>
        </is>
      </c>
      <c r="G209" s="34" t="inlineStr">
        <is>
          <t>PEG 400</t>
        </is>
      </c>
      <c r="H209" s="34" t="inlineStr">
        <is>
          <t>Water</t>
        </is>
      </c>
      <c r="I209" s="35" t="n">
        <v>4</v>
      </c>
      <c r="J209" s="34" t="inlineStr">
        <is>
          <t>✅ คำตอบที่ถูกต้อง: ข้อ ง. PEG 400
💡 Background:
คำถามข้อสอบจริงใบประกอบวิชาชีพ PLE-CC 1 (Product) ปี 2563 ข้อ 32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09" s="35" t="n"/>
      <c r="L209" s="34" t="inlineStr">
        <is>
          <t>Liquid &amp; Semisolid Dosage Forms</t>
        </is>
      </c>
      <c r="M209" s="35" t="inlineStr">
        <is>
          <t>Product</t>
        </is>
      </c>
      <c r="N209" s="34" t="inlineStr">
        <is>
          <t>ข้อสอบจริง Product ปี 2563 ข้อ 32</t>
        </is>
      </c>
      <c r="O209" s="35" t="inlineStr">
        <is>
          <t>ข้อสอบจริง</t>
        </is>
      </c>
      <c r="P209" s="35" t="inlineStr">
        <is>
          <t>ปี 2563</t>
        </is>
      </c>
    </row>
    <row r="210" ht="409.6" customHeight="1" s="49">
      <c r="A210" s="35" t="n">
        <v>208</v>
      </c>
      <c r="B210" s="34" t="inlineStr">
        <is>
          <t>ข้อใดไม่ใช่วิธีการควบคุมคุณภาพของยา Ibuprofen ที่เป็น soft gelatin ต้นฉบับ: Day 2 ข้อ 33</t>
        </is>
      </c>
      <c r="C210" s="35" t="n"/>
      <c r="D210" s="34" t="inlineStr">
        <is>
          <t>ปริมาณการบรรจุ</t>
        </is>
      </c>
      <c r="E210" s="34" t="inlineStr">
        <is>
          <t>การละลาย</t>
        </is>
      </c>
      <c r="F210" s="34" t="inlineStr">
        <is>
          <t>การแตกตัว</t>
        </is>
      </c>
      <c r="G210" s="34" t="inlineStr">
        <is>
          <t>ระยะเวลาที่ปลดปล่อยนาน</t>
        </is>
      </c>
      <c r="H210" s="34" t="inlineStr">
        <is>
          <t>ความนิ่ม</t>
        </is>
      </c>
      <c r="I210" s="35" t="n">
        <v>4</v>
      </c>
      <c r="J210" s="34" t="inlineStr">
        <is>
          <t>✅ คำตอบที่ถูกต้อง: ข้อ ง. ระยะเวลาที่ปลดปล่อยนาน
💡 Background:
คำถามข้อสอบจริงใบประกอบวิชาชีพ PLE-CC 1 (Product) ปี 2563 ข้อ 33
🎯 ทำไมข้อนี้ถึงถูก:
ข้อ ง.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0" s="35" t="n"/>
      <c r="L210" s="34" t="inlineStr">
        <is>
          <t>Liquid &amp; Semisolid Dosage Forms</t>
        </is>
      </c>
      <c r="M210" s="35" t="inlineStr">
        <is>
          <t>Product</t>
        </is>
      </c>
      <c r="N210" s="34" t="inlineStr">
        <is>
          <t>ข้อสอบจริง Product ปี 2563 ข้อ 33</t>
        </is>
      </c>
      <c r="O210" s="35" t="inlineStr">
        <is>
          <t>ข้อสอบจริง</t>
        </is>
      </c>
      <c r="P210" s="35" t="inlineStr">
        <is>
          <t>ปี 2563</t>
        </is>
      </c>
    </row>
    <row r="211" ht="409.6" customHeight="1" s="49">
      <c r="A211" s="35" t="n">
        <v>209</v>
      </c>
      <c r="B211" s="34" t="inlineStr">
        <is>
          <t>ผลิตยาเม็ดด้วย wet granulation ควรใช้ binder ตัวไหน ต้นฉบับ: Day 2 ข้อ 70</t>
        </is>
      </c>
      <c r="C211" s="35" t="n"/>
      <c r="D211" s="34" t="inlineStr">
        <is>
          <t>Lactose</t>
        </is>
      </c>
      <c r="E211" s="34" t="inlineStr">
        <is>
          <t>Microcrystalline cellulose</t>
        </is>
      </c>
      <c r="F211" s="34" t="inlineStr">
        <is>
          <t>Pregelatinized starch</t>
        </is>
      </c>
      <c r="G211" s="34" t="inlineStr">
        <is>
          <t>Magnesium stearate</t>
        </is>
      </c>
      <c r="H211" s="34" t="inlineStr">
        <is>
          <t>Aerosil 200</t>
        </is>
      </c>
      <c r="I211" s="35" t="n">
        <v>3</v>
      </c>
      <c r="J211" s="34" t="inlineStr">
        <is>
          <t>✅ คำตอบที่ถูกต้อง: ข้อ ค. Pregelatinized starch
💡 Background:
คำถามข้อสอบจริงใบประกอบวิชาชีพ PLE-CC 1 (Product) ปี 2563 ข้อ 34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1" s="35" t="n"/>
      <c r="L211" s="34" t="inlineStr">
        <is>
          <t>Liquid &amp; Semisolid Dosage Forms</t>
        </is>
      </c>
      <c r="M211" s="35" t="inlineStr">
        <is>
          <t>Product</t>
        </is>
      </c>
      <c r="N211" s="34" t="inlineStr">
        <is>
          <t>ข้อสอบจริง Product ปี 2563 ข้อ 34</t>
        </is>
      </c>
      <c r="O211" s="35" t="inlineStr">
        <is>
          <t>ข้อสอบจริง</t>
        </is>
      </c>
      <c r="P211" s="35" t="inlineStr">
        <is>
          <t>ปี 2563</t>
        </is>
      </c>
    </row>
    <row r="212" ht="409.6" customHeight="1" s="49">
      <c r="A212" s="35" t="n">
        <v>210</v>
      </c>
      <c r="B212" s="34" t="inlineStr">
        <is>
          <t>สารเคลือบในข้อใดไม่ได้ช่วยให้เม็ดยามีคุณสมบัติ enteric coated tablets ต้นฉบับ: Day 2 ข้อ 90</t>
        </is>
      </c>
      <c r="C212" s="35" t="n"/>
      <c r="D212" s="34" t="inlineStr">
        <is>
          <t>Shellac</t>
        </is>
      </c>
      <c r="E212" s="34" t="inlineStr">
        <is>
          <t>PVP</t>
        </is>
      </c>
      <c r="F212" s="34" t="inlineStr">
        <is>
          <t>Diethyl phthalate</t>
        </is>
      </c>
      <c r="G212" s="34" t="inlineStr">
        <is>
          <t>Hydroxypropyl methylcellulose Acetate Succinate</t>
        </is>
      </c>
      <c r="H212" s="34" t="inlineStr">
        <is>
          <t>Methacrylic acid - methyl acrylate (2:1) copolymer</t>
        </is>
      </c>
      <c r="I212" s="35" t="n">
        <v>2</v>
      </c>
      <c r="J212" s="34" t="inlineStr">
        <is>
          <t>✅ คำตอบที่ถูกต้อง: ข้อ ข. PVP
💡 Background:
คำถามข้อสอบจริงใบประกอบวิชาชีพ PLE-CC 1 (Product) ปี 2563 ข้อ 36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2" s="35" t="n"/>
      <c r="L212" s="34" t="inlineStr">
        <is>
          <t>Liquid &amp; Semisolid Dosage Forms</t>
        </is>
      </c>
      <c r="M212" s="35" t="inlineStr">
        <is>
          <t>Product</t>
        </is>
      </c>
      <c r="N212" s="34" t="inlineStr">
        <is>
          <t>ข้อสอบจริง Product ปี 2563 ข้อ 36</t>
        </is>
      </c>
      <c r="O212" s="35" t="inlineStr">
        <is>
          <t>ข้อสอบจริง</t>
        </is>
      </c>
      <c r="P212" s="35" t="inlineStr">
        <is>
          <t>ปี 2563</t>
        </is>
      </c>
    </row>
    <row r="213" ht="409.6" customHeight="1" s="49">
      <c r="A213" s="35" t="n">
        <v>211</v>
      </c>
      <c r="B213" s="34" t="inlineStr">
        <is>
          <t>Freeze Thaw 3 Cycles แล้วพบว่า ครีมแยกชั้นกันจะแก้ปัญหาอย่างไร ต้นฉบับ: Day 1 ข้อ 77</t>
        </is>
      </c>
      <c r="C213" s="35" t="n"/>
      <c r="D213" s="34" t="inlineStr">
        <is>
          <t>เติม Tragacanth ใน O/W cream</t>
        </is>
      </c>
      <c r="E213" s="34" t="inlineStr">
        <is>
          <t>ใช้เครื่อง Ball mill</t>
        </is>
      </c>
      <c r="F213" s="34" t="inlineStr">
        <is>
          <t>เติม hydroxyethylcellulose ใน W/O cream</t>
        </is>
      </c>
      <c r="G213" s="34" t="inlineStr">
        <is>
          <t>เติม NaCl ใน W/O cream</t>
        </is>
      </c>
      <c r="H213" s="34" t="inlineStr">
        <is>
          <t>เติม Na benzoate ใน W/O cream</t>
        </is>
      </c>
      <c r="I213" s="35" t="n">
        <v>1</v>
      </c>
      <c r="J213" s="34" t="inlineStr">
        <is>
          <t>✅ คำตอบที่ถูกต้อง: ข้อ ก. เติม Tragacanth ใน O/W cream
💡 Background:
คำถามข้อสอบจริงใบประกอบวิชาชีพ PLE-CC 1 (Product) ปี 2563 ข้อ 42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3" s="35" t="n"/>
      <c r="L213" s="34" t="inlineStr">
        <is>
          <t>Liquid &amp; Semisolid Dosage Forms</t>
        </is>
      </c>
      <c r="M213" s="35" t="inlineStr">
        <is>
          <t>Product</t>
        </is>
      </c>
      <c r="N213" s="34" t="inlineStr">
        <is>
          <t>ข้อสอบจริง Product ปี 2563 ข้อ 42</t>
        </is>
      </c>
      <c r="O213" s="35" t="inlineStr">
        <is>
          <t>ข้อสอบจริง</t>
        </is>
      </c>
      <c r="P213" s="35" t="inlineStr">
        <is>
          <t>ปี 2563</t>
        </is>
      </c>
    </row>
    <row r="214" ht="409.6" customHeight="1" s="49">
      <c r="A214" s="35" t="n">
        <v>212</v>
      </c>
      <c r="B214" s="34" t="inlineStr">
        <is>
          <t>Magnesium aluminium silicate ในตำรับนี้ทำหน้าที่อะไร ต้นฉบับ: Day 1 ข้อ 90</t>
        </is>
      </c>
      <c r="C214" s="35" t="n"/>
      <c r="D214" s="34" t="inlineStr">
        <is>
          <t>flocculating agent</t>
        </is>
      </c>
      <c r="E214" s="34" t="inlineStr">
        <is>
          <t>viscosity-increasing agent</t>
        </is>
      </c>
      <c r="F214" s="34" t="inlineStr">
        <is>
          <t>suspending agent</t>
        </is>
      </c>
      <c r="G214" s="34" t="inlineStr">
        <is>
          <t>wetting agent</t>
        </is>
      </c>
      <c r="H214" s="34" t="inlineStr">
        <is>
          <t>dispersing agent</t>
        </is>
      </c>
      <c r="I214" s="35" t="n">
        <v>3</v>
      </c>
      <c r="J214" s="34" t="inlineStr">
        <is>
          <t>✅ คำตอบที่ถูกต้อง: ข้อ ค. suspending agent
💡 Background:
คำถามข้อสอบจริงใบประกอบวิชาชีพ PLE-CC 1 (Product) ปี 2563 ข้อ 44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4" s="35" t="n"/>
      <c r="L214" s="34" t="inlineStr">
        <is>
          <t>Liquid &amp; Semisolid Dosage Forms</t>
        </is>
      </c>
      <c r="M214" s="35" t="inlineStr">
        <is>
          <t>Product</t>
        </is>
      </c>
      <c r="N214" s="34" t="inlineStr">
        <is>
          <t>ข้อสอบจริง Product ปี 2563 ข้อ 44</t>
        </is>
      </c>
      <c r="O214" s="35" t="inlineStr">
        <is>
          <t>ข้อสอบจริง</t>
        </is>
      </c>
      <c r="P214" s="35" t="inlineStr">
        <is>
          <t>ปี 2563</t>
        </is>
      </c>
    </row>
    <row r="215" ht="409.6" customHeight="1" s="49">
      <c r="A215" s="35" t="n">
        <v>213</v>
      </c>
      <c r="B215" s="34" t="inlineStr">
        <is>
          <t>เตรียม 0.2% Atenolol extemporaneous oral suspension ปริมาตร 50 ml จากยาเม็ด Atenolol 25 mg จะต้องใช้ Atenolol กี่เม็ด ต้นฉบับ: Day 1 ข้อ 111</t>
        </is>
      </c>
      <c r="C215" s="35" t="n"/>
      <c r="D215" s="34" t="inlineStr">
        <is>
          <t>2 เม็ด</t>
        </is>
      </c>
      <c r="E215" s="34" t="inlineStr">
        <is>
          <t>3 เม็ด</t>
        </is>
      </c>
      <c r="F215" s="34" t="inlineStr">
        <is>
          <t>4 เม็ด</t>
        </is>
      </c>
      <c r="G215" s="34" t="inlineStr">
        <is>
          <t>5 เม็ด</t>
        </is>
      </c>
      <c r="H215" s="34" t="inlineStr">
        <is>
          <t>6 เม็ด</t>
        </is>
      </c>
      <c r="I215" s="35" t="n">
        <v>3</v>
      </c>
      <c r="J215" s="34" t="inlineStr">
        <is>
          <t>✅ คำตอบที่ถูกต้อง: ข้อ ค. 4 เม็ด
💡 Background:
คำถามข้อสอบจริงใบประกอบวิชาชีพ PLE-CC 1 (Product) ปี 2563 ข้อ 45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5" s="35" t="n"/>
      <c r="L215" s="34" t="inlineStr">
        <is>
          <t>Liquid &amp; Semisolid Dosage Forms</t>
        </is>
      </c>
      <c r="M215" s="35" t="inlineStr">
        <is>
          <t>Product</t>
        </is>
      </c>
      <c r="N215" s="34" t="inlineStr">
        <is>
          <t>ข้อสอบจริง Product ปี 2563 ข้อ 45</t>
        </is>
      </c>
      <c r="O215" s="35" t="inlineStr">
        <is>
          <t>ข้อสอบจริง</t>
        </is>
      </c>
      <c r="P215" s="35" t="inlineStr">
        <is>
          <t>ปี 2563</t>
        </is>
      </c>
    </row>
    <row r="216" ht="409.6" customHeight="1" s="49">
      <c r="A216" s="35" t="n">
        <v>214</v>
      </c>
      <c r="B216" s="34" t="inlineStr">
        <is>
          <t>Suspensions sedimentation volume = 0.5 degree of flocculation = 1 ควรแก้ไขอย่างไร ต้นฉบับ: Day 1 ข้อ 112</t>
        </is>
      </c>
      <c r="C216" s="35" t="n"/>
      <c r="D216" s="34" t="inlineStr">
        <is>
          <t>เพิ่มความเข้มข้น SCMC</t>
        </is>
      </c>
      <c r="E216" s="34" t="inlineStr">
        <is>
          <t>เพิ่มความเข้มข้น benzyl alcohol</t>
        </is>
      </c>
      <c r="F216" s="34" t="inlineStr">
        <is>
          <t>เพิ่มความเข้มข้น sodium metabisulphite</t>
        </is>
      </c>
      <c r="G216" s="34" t="inlineStr">
        <is>
          <t>เปลี่ยนไปใช้ saccharin แทน syrup</t>
        </is>
      </c>
      <c r="H216" s="34" t="inlineStr">
        <is>
          <t>เพิ่มปริมาณ paraben</t>
        </is>
      </c>
      <c r="I216" s="35" t="n">
        <v>1</v>
      </c>
      <c r="J216" s="34" t="inlineStr">
        <is>
          <t>✅ คำตอบที่ถูกต้อง: ข้อ ก. เพิ่มความเข้มข้น SCMC
💡 Background:
คำถามข้อสอบจริงใบประกอบวิชาชีพ PLE-CC 1 (Product) ปี 2563 ข้อ 46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6" s="35" t="n"/>
      <c r="L216" s="34" t="inlineStr">
        <is>
          <t>Liquid &amp; Semisolid Dosage Forms</t>
        </is>
      </c>
      <c r="M216" s="35" t="inlineStr">
        <is>
          <t>Product</t>
        </is>
      </c>
      <c r="N216" s="34" t="inlineStr">
        <is>
          <t>ข้อสอบจริง Product ปี 2563 ข้อ 46</t>
        </is>
      </c>
      <c r="O216" s="35" t="inlineStr">
        <is>
          <t>ข้อสอบจริง</t>
        </is>
      </c>
      <c r="P216" s="35" t="inlineStr">
        <is>
          <t>ปี 2563</t>
        </is>
      </c>
    </row>
    <row r="217" ht="409.6" customHeight="1" s="49">
      <c r="A217" s="35" t="n">
        <v>215</v>
      </c>
      <c r="B217" s="34" t="inlineStr">
        <is>
          <t>สูตรตำรับ Calamine lotion ต้นฉบับ: Day 1 ข้อ 113 Active Ingredient: Calamine Inactive ingredient: Hypromellose, xanthan gum, polysorbate 80, methyl paraben, propylparaben ข้อใดคือหน้าที่ของ Hypromellose</t>
        </is>
      </c>
      <c r="C217" s="35" t="n"/>
      <c r="D217" s="34" t="inlineStr">
        <is>
          <t>Emulsifier</t>
        </is>
      </c>
      <c r="E217" s="34" t="inlineStr">
        <is>
          <t>Diluent</t>
        </is>
      </c>
      <c r="F217" s="34" t="inlineStr">
        <is>
          <t>Viscosity enhancer</t>
        </is>
      </c>
      <c r="G217" s="34" t="inlineStr">
        <is>
          <t>Humectant</t>
        </is>
      </c>
      <c r="H217" s="34" t="inlineStr">
        <is>
          <t>Disintegrant</t>
        </is>
      </c>
      <c r="I217" s="35" t="n">
        <v>3</v>
      </c>
      <c r="J217" s="34" t="inlineStr">
        <is>
          <t>✅ คำตอบที่ถูกต้อง: ข้อ ค. Viscosity enhancer
💡 Background:
คำถามข้อสอบจริงใบประกอบวิชาชีพ PLE-CC 1 (Product) ปี 2563 ข้อ 47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7" s="35" t="n"/>
      <c r="L217" s="34" t="inlineStr">
        <is>
          <t>Liquid &amp; Semisolid Dosage Forms</t>
        </is>
      </c>
      <c r="M217" s="35" t="inlineStr">
        <is>
          <t>Product</t>
        </is>
      </c>
      <c r="N217" s="34" t="inlineStr">
        <is>
          <t>ข้อสอบจริง Product ปี 2563 ข้อ 47</t>
        </is>
      </c>
      <c r="O217" s="35" t="inlineStr">
        <is>
          <t>ข้อสอบจริง</t>
        </is>
      </c>
      <c r="P217" s="35" t="inlineStr">
        <is>
          <t>ปี 2563</t>
        </is>
      </c>
    </row>
    <row r="218" ht="409.6" customHeight="1" s="49">
      <c r="A218" s="35" t="n">
        <v>216</v>
      </c>
      <c r="B218" s="34" t="inlineStr">
        <is>
          <t>ยารูปแบบ topical suspension ควรมีการไหลแบบไหน ต้นฉบับ: Day 1 ข้อ 114</t>
        </is>
      </c>
      <c r="C218" s="35" t="n"/>
      <c r="D218" s="34" t="inlineStr">
        <is>
          <t>Plastic กับ thixotropic</t>
        </is>
      </c>
      <c r="E218" s="34" t="inlineStr">
        <is>
          <t>Plastic กับ dilatant</t>
        </is>
      </c>
      <c r="F218" s="34" t="inlineStr">
        <is>
          <t>Pseudoplastic กับ thixotropic</t>
        </is>
      </c>
      <c r="G218" s="34" t="inlineStr">
        <is>
          <t>Pseudoplastic กับ dilatant</t>
        </is>
      </c>
      <c r="H218" s="34" t="inlineStr">
        <is>
          <t>Pseudoplastic กับ plastic</t>
        </is>
      </c>
      <c r="I218" s="35" t="n">
        <v>3</v>
      </c>
      <c r="J218" s="34" t="inlineStr">
        <is>
          <t>✅ คำตอบที่ถูกต้อง: ข้อ ค. Pseudoplastic กับ thixotropic
💡 Background:
คำถามข้อสอบจริงใบประกอบวิชาชีพ PLE-CC 1 (Product) ปี 2563 ข้อ 48
🎯 ทำไมข้อนี้ถึงถูก:
ข้อ ค.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8" s="35" t="n"/>
      <c r="L218" s="34" t="inlineStr">
        <is>
          <t>Liquid &amp; Semisolid Dosage Forms</t>
        </is>
      </c>
      <c r="M218" s="35" t="inlineStr">
        <is>
          <t>Product</t>
        </is>
      </c>
      <c r="N218" s="34" t="inlineStr">
        <is>
          <t>ข้อสอบจริง Product ปี 2563 ข้อ 48</t>
        </is>
      </c>
      <c r="O218" s="35" t="inlineStr">
        <is>
          <t>ข้อสอบจริง</t>
        </is>
      </c>
      <c r="P218" s="35" t="inlineStr">
        <is>
          <t>ปี 2563</t>
        </is>
      </c>
    </row>
    <row r="219" ht="409.6" customHeight="1" s="49">
      <c r="A219" s="35" t="n">
        <v>217</v>
      </c>
      <c r="B219" s="34" t="inlineStr">
        <is>
          <t>ยาขี้ผึ้งชนิดใดเหมาะกับแผลติดเชื้อมีหนอง ต้นฉบับ: Day 2 ข้อ 39</t>
        </is>
      </c>
      <c r="C219" s="35" t="n"/>
      <c r="D219" s="34" t="inlineStr">
        <is>
          <t>Cream</t>
        </is>
      </c>
      <c r="E219" s="34" t="inlineStr">
        <is>
          <t>W/O ointment</t>
        </is>
      </c>
      <c r="F219" s="34" t="inlineStr">
        <is>
          <t>O/W ointment</t>
        </is>
      </c>
      <c r="G219" s="34" t="inlineStr">
        <is>
          <t>Absorption base</t>
        </is>
      </c>
      <c r="H219" s="34" t="inlineStr">
        <is>
          <t>Oleaginous base</t>
        </is>
      </c>
      <c r="I219" s="35" t="n">
        <v>2</v>
      </c>
      <c r="J219" s="34" t="inlineStr">
        <is>
          <t>✅ คำตอบที่ถูกต้อง: ข้อ ข. W/O ointment
💡 Background:
คำถามข้อสอบจริงใบประกอบวิชาชีพ PLE-CC 1 (Product) ปี 2563 ข้อ 49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19" s="35" t="n"/>
      <c r="L219" s="34" t="inlineStr">
        <is>
          <t>Liquid &amp; Semisolid Dosage Forms</t>
        </is>
      </c>
      <c r="M219" s="35" t="inlineStr">
        <is>
          <t>Product</t>
        </is>
      </c>
      <c r="N219" s="34" t="inlineStr">
        <is>
          <t>ข้อสอบจริง Product ปี 2563 ข้อ 49</t>
        </is>
      </c>
      <c r="O219" s="35" t="inlineStr">
        <is>
          <t>ข้อสอบจริง</t>
        </is>
      </c>
      <c r="P219" s="35" t="inlineStr">
        <is>
          <t>ปี 2563</t>
        </is>
      </c>
    </row>
    <row r="220" ht="409.6" customHeight="1" s="49">
      <c r="A220" s="35" t="n">
        <v>218</v>
      </c>
      <c r="B220" s="34" t="inlineStr">
        <is>
          <t>เตรียมด้วยวิธีอะไร ต้นฉบับ: Day 2 ข้อ 41</t>
        </is>
      </c>
      <c r="C220" s="35" t="n"/>
      <c r="D220" s="34" t="inlineStr">
        <is>
          <t>Beaker method</t>
        </is>
      </c>
      <c r="E220" s="34" t="inlineStr">
        <is>
          <t>Levigation</t>
        </is>
      </c>
      <c r="F220" s="34" t="inlineStr">
        <is>
          <t>Dry gum method</t>
        </is>
      </c>
      <c r="G220" s="34" t="inlineStr">
        <is>
          <t>Wet gum method</t>
        </is>
      </c>
      <c r="H220" s="34" t="inlineStr">
        <is>
          <t>Bottle method</t>
        </is>
      </c>
      <c r="I220" s="35" t="n">
        <v>1</v>
      </c>
      <c r="J220" s="34" t="inlineStr">
        <is>
          <t>✅ คำตอบที่ถูกต้อง: ข้อ ก. Beaker method
💡 Background:
คำถามข้อสอบจริงใบประกอบวิชาชีพ PLE-CC 1 (Product) ปี 2563 ข้อ 51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0" s="35" t="n"/>
      <c r="L220" s="34" t="inlineStr">
        <is>
          <t>Liquid &amp; Semisolid Dosage Forms</t>
        </is>
      </c>
      <c r="M220" s="35" t="inlineStr">
        <is>
          <t>Product</t>
        </is>
      </c>
      <c r="N220" s="34" t="inlineStr">
        <is>
          <t>ข้อสอบจริง Product ปี 2563 ข้อ 51</t>
        </is>
      </c>
      <c r="O220" s="35" t="inlineStr">
        <is>
          <t>ข้อสอบจริง</t>
        </is>
      </c>
      <c r="P220" s="35" t="inlineStr">
        <is>
          <t>ปี 2563</t>
        </is>
      </c>
    </row>
    <row r="221" ht="409.6" customHeight="1" s="49">
      <c r="A221" s="35" t="n">
        <v>219</v>
      </c>
      <c r="B221" s="34" t="inlineStr">
        <is>
          <t>รูปแบบยาทาที่เหมาะสมสำหรับทาผิวหญิงที่หน้ามันเป็นสิว ต้นฉบับ: Day 2 ข้อ 45</t>
        </is>
      </c>
      <c r="C221" s="35" t="n"/>
      <c r="D221" s="34" t="inlineStr">
        <is>
          <t>Flocculated suspension</t>
        </is>
      </c>
      <c r="E221" s="34" t="inlineStr">
        <is>
          <t>Deflocculated suspension</t>
        </is>
      </c>
      <c r="F221" s="34" t="inlineStr">
        <is>
          <t>Flocculated suspension in vehicle</t>
        </is>
      </c>
      <c r="G221" s="34" t="inlineStr">
        <is>
          <t>Flocculated suspension in structure vehicle</t>
        </is>
      </c>
      <c r="H221" s="34" t="inlineStr">
        <is>
          <t>Deflocculated suspension in structured vehicle</t>
        </is>
      </c>
      <c r="I221" s="35" t="n">
        <v>1</v>
      </c>
      <c r="J221" s="34" t="inlineStr">
        <is>
          <t>✅ คำตอบที่ถูกต้อง: ข้อ ก. Flocculated suspension
💡 Background:
คำถามข้อสอบจริงใบประกอบวิชาชีพ PLE-CC 1 (Product) ปี 2563 ข้อ 52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1" s="35" t="n"/>
      <c r="L221" s="34" t="inlineStr">
        <is>
          <t>Liquid &amp; Semisolid Dosage Forms</t>
        </is>
      </c>
      <c r="M221" s="35" t="inlineStr">
        <is>
          <t>Product</t>
        </is>
      </c>
      <c r="N221" s="34" t="inlineStr">
        <is>
          <t>ข้อสอบจริง Product ปี 2563 ข้อ 52</t>
        </is>
      </c>
      <c r="O221" s="35" t="inlineStr">
        <is>
          <t>ข้อสอบจริง</t>
        </is>
      </c>
      <c r="P221" s="35" t="inlineStr">
        <is>
          <t>ปี 2563</t>
        </is>
      </c>
    </row>
    <row r="222" ht="409.6" customHeight="1" s="49">
      <c r="A222" s="35" t="n">
        <v>220</v>
      </c>
      <c r="B222" s="34" t="inlineStr">
        <is>
          <t>น้ำที่ใช้ในกระบวนการผลิตยาทาเฉพาะที่แบบเจล คือข้อใด ต้นฉบับ: Day 2 ข้อ 48</t>
        </is>
      </c>
      <c r="C222" s="35" t="n"/>
      <c r="D222" s="34" t="inlineStr">
        <is>
          <t>Potable water</t>
        </is>
      </c>
      <c r="E222" s="34" t="inlineStr">
        <is>
          <t>Purified water</t>
        </is>
      </c>
      <c r="F222" s="34" t="inlineStr">
        <is>
          <t>Sterile purified water</t>
        </is>
      </c>
      <c r="G222" s="34" t="inlineStr">
        <is>
          <t>Sterile water for irrigation</t>
        </is>
      </c>
      <c r="H222" s="34" t="inlineStr">
        <is>
          <t>Bacteriostatic water for injection</t>
        </is>
      </c>
      <c r="I222" s="35" t="n">
        <v>2</v>
      </c>
      <c r="J222" s="34" t="inlineStr">
        <is>
          <t>✅ คำตอบที่ถูกต้อง: ข้อ ข. Purified water
💡 Background:
คำถามข้อสอบจริงใบประกอบวิชาชีพ PLE-CC 1 (Product) ปี 2563 ข้อ 54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2" s="35" t="n"/>
      <c r="L222" s="34" t="inlineStr">
        <is>
          <t>Liquid &amp; Semisolid Dosage Forms</t>
        </is>
      </c>
      <c r="M222" s="35" t="inlineStr">
        <is>
          <t>Product</t>
        </is>
      </c>
      <c r="N222" s="34" t="inlineStr">
        <is>
          <t>ข้อสอบจริง Product ปี 2563 ข้อ 54</t>
        </is>
      </c>
      <c r="O222" s="35" t="inlineStr">
        <is>
          <t>ข้อสอบจริง</t>
        </is>
      </c>
      <c r="P222" s="35" t="inlineStr">
        <is>
          <t>ปี 2563</t>
        </is>
      </c>
    </row>
    <row r="223" ht="409.6" customHeight="1" s="49">
      <c r="A223" s="35" t="n">
        <v>221</v>
      </c>
      <c r="B223" s="34" t="inlineStr">
        <is>
          <t>จากการควบคุมคุณภาพตำรับยาลดกรดที่มีส่วนผสมของ Al(OH)2 และ Mg(OH)2 ข้อใดถูกต้อง ต้นฉบับ: Day 2 ข้อ 92 | ตำรับ | Sedimentation volume | Degree of flocculation | Rheology | | :---: | :---: | :---: | :---: | | A | 0.51 | 0.74 | Newtonian | | B | 0.98 | 1.43 | Pseudoplastic | | C | 0.47 | 1.06 | Plastic |</t>
        </is>
      </c>
      <c r="C223" s="35" t="n"/>
      <c r="D223" s="34" t="inlineStr">
        <is>
          <t>ตำรับ A มีแนวโน้มคงตัวดีกว่าตำรับ B</t>
        </is>
      </c>
      <c r="E223" s="34" t="inlineStr">
        <is>
          <t>ตำรับ B มีแนวโน้มคงตัวดีกว่าตำรับ C</t>
        </is>
      </c>
      <c r="F223" s="34" t="inlineStr">
        <is>
          <t>เพิ่มความคงตัวของตำรับ C ได้โดยการเพิ่มปริมาณ wetting agent</t>
        </is>
      </c>
      <c r="G223" s="34" t="inlineStr">
        <is>
          <t>เพิ่ม flocculating agent ให้ตำรับ B เพื่อเพิ่มความคงตัว</t>
        </is>
      </c>
      <c r="H223" s="34" t="inlineStr">
        <is>
          <t>เมื่อเขย่า ตำรับ A จะมีการกลับมากระจายได้ดีที่สุด</t>
        </is>
      </c>
      <c r="I223" s="35" t="n">
        <v>2</v>
      </c>
      <c r="J223" s="34" t="inlineStr">
        <is>
          <t>✅ คำตอบที่ถูกต้อง: ข้อ ข. ตำรับ B มีแนวโน้มคงตัวดีกว่าตำรับ C
💡 Background:
คำถามข้อสอบจริงใบประกอบวิชาชีพ PLE-CC 1 (Product) ปี 2563 ข้อ 55
🎯 ทำไมข้อนี้ถึงถูก:
ข้อ ข.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3" s="35" t="n"/>
      <c r="L223" s="34" t="inlineStr">
        <is>
          <t>Liquid &amp; Semisolid Dosage Forms</t>
        </is>
      </c>
      <c r="M223" s="35" t="inlineStr">
        <is>
          <t>Product</t>
        </is>
      </c>
      <c r="N223" s="34" t="inlineStr">
        <is>
          <t>ข้อสอบจริง Product ปี 2563 ข้อ 55</t>
        </is>
      </c>
      <c r="O223" s="35" t="inlineStr">
        <is>
          <t>ข้อสอบจริง</t>
        </is>
      </c>
      <c r="P223" s="35" t="inlineStr">
        <is>
          <t>ปี 2563</t>
        </is>
      </c>
    </row>
    <row r="224" ht="409.6" customHeight="1" s="49">
      <c r="A224" s="35" t="n">
        <v>222</v>
      </c>
      <c r="B224" s="34" t="inlineStr">
        <is>
          <t>ตัวยาประกอบด้วย sodium alginate, calcium carbonate,sodium bicarbonate ข้อใดถูกต้อง ต้นฉบับ: Day 2 ข้อ 94</t>
        </is>
      </c>
      <c r="C224" s="35" t="n"/>
      <c r="D224" s="34" t="inlineStr">
        <is>
          <t>ทำให้ตำรับออกฤทธิ์เร็ว</t>
        </is>
      </c>
      <c r="E224" s="34" t="inlineStr">
        <is>
          <t>Sodium alginate จับกับกรดในทางเดินอาหาร แล้วเป็นเจลกันไม่ให้อาหารขึ้นไปยังหลอดอาหาร</t>
        </is>
      </c>
      <c r="F224" s="34" t="inlineStr">
        <is>
          <t>Sodium alginate เพิ่ม pH ในตำรับ</t>
        </is>
      </c>
      <c r="G224" s="34" t="inlineStr">
        <is>
          <t>Sodium bicarbonate ดูดซึมได้ดี</t>
        </is>
      </c>
      <c r="H224" s="34" t="inlineStr">
        <is>
          <t>Calcium carbonate เป็น diluent | คำตอบที่ข้อสอบน่าจะต้องการ: b) Sodium alginate ทำปฏิกิริยากับกรด เกิดเจลลอยบนอาหารในกระเพาะและขวางการไหลย้อน</t>
        </is>
      </c>
      <c r="I224" s="35" t="n">
        <v>1</v>
      </c>
      <c r="J224" s="34" t="inlineStr">
        <is>
          <t>✅ คำตอบที่ถูกต้อง: ข้อ ก. ทำให้ตำรับออกฤทธิ์เร็ว
💡 Background:
คำถามข้อสอบจริงใบประกอบวิชาชีพ PLE-CC 1 (Product) ปี 2563 ข้อ 57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4" s="35" t="n"/>
      <c r="L224" s="34" t="inlineStr">
        <is>
          <t>Liquid &amp; Semisolid Dosage Forms</t>
        </is>
      </c>
      <c r="M224" s="35" t="inlineStr">
        <is>
          <t>Product</t>
        </is>
      </c>
      <c r="N224" s="34" t="inlineStr">
        <is>
          <t>ข้อสอบจริง Product ปี 2563 ข้อ 57</t>
        </is>
      </c>
      <c r="O224" s="35" t="inlineStr">
        <is>
          <t>ข้อสอบจริง</t>
        </is>
      </c>
      <c r="P224" s="35" t="inlineStr">
        <is>
          <t>ปี 2563</t>
        </is>
      </c>
    </row>
    <row r="225" ht="409.6" customHeight="1" s="49">
      <c r="A225" s="35" t="n">
        <v>223</v>
      </c>
      <c r="B225" s="34" t="inlineStr">
        <is>
          <t>เป็นตัวกลางพาตัวยา — ทำหน้าที่เป็น vehicle ที่ตัวยาละลายหรือแขวนลอยอยู่   แรงดันที่คงที่นี้เองที่ทำให้ pMDI ให้ขนาดยาสม่ำเสมอทุกครั้งที่กด (metered dose) จนกว่ายาจะใกล้หมด   ปัจจุบันใช้ HFA (hydrofluoroalkane เช่น HFA-134a, HFA-227) แทน CFC ที่ถูกยกเลิกตามพิธีสารมอนทรีออลเพราะทำลายชั้นโอโซน | | :---- | ข้อ 68. Ventolin evohaler เป็นยารูปแบบใด</t>
        </is>
      </c>
      <c r="C225" s="35" t="n"/>
      <c r="D225" s="34" t="inlineStr">
        <is>
          <t>Citric acid, sodium bicarbonate</t>
        </is>
      </c>
      <c r="E225" s="34" t="inlineStr">
        <is>
          <t>Citric acid, sodium benzoate</t>
        </is>
      </c>
      <c r="F225" s="34" t="inlineStr">
        <is>
          <t>Tartaric acid, PVP K30</t>
        </is>
      </c>
      <c r="G225" s="34" t="inlineStr">
        <is>
          <t>Tartaric acid, sodium saccharin</t>
        </is>
      </c>
      <c r="H225" s="34" t="inlineStr">
        <is>
          <t>Sodium saccharin, PVP K30 |</t>
        </is>
      </c>
      <c r="I225" s="35" t="n">
        <v>1</v>
      </c>
      <c r="J225" s="34" t="inlineStr">
        <is>
          <t>✅ คำตอบที่ถูกต้อง: ข้อ ก. Citric acid, sodium bicarbonate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5" s="35" t="n"/>
      <c r="L225" s="34" t="inlineStr">
        <is>
          <t>Liquid &amp; Semisolid Dosage Forms</t>
        </is>
      </c>
      <c r="M225" s="35" t="inlineStr">
        <is>
          <t>Product</t>
        </is>
      </c>
      <c r="N225" s="34" t="inlineStr">
        <is>
          <t>ข้อสอบจริง Product ปี 2562 ข้อ 3</t>
        </is>
      </c>
      <c r="O225" s="35" t="inlineStr">
        <is>
          <t>ข้อสอบจริง</t>
        </is>
      </c>
      <c r="P225" s="35" t="inlineStr">
        <is>
          <t>ปี 2562</t>
        </is>
      </c>
    </row>
    <row r="226" ht="409.6" customHeight="1" s="49">
      <c r="A226" s="35" t="n">
        <v>224</v>
      </c>
      <c r="B226" s="34" t="inlineStr">
        <is>
          <t>ราคาถูก หาง่าย เข้ากันได้กับตัวยาส่วนใหญ่   ข้อควรระวังของ lactose: ไม่ควรใช้กับตัวยาที่มีหมู่ primary amine เพราะเกิด Maillard reaction ทำให้เม็ดยาเปลี่ยนเป็นสีน้ำตาล และไม่เหมาะกับผู้ป่วยที่แพ้แลคโตส | | :---- | ข้อ 108. สารตัวใดทำให้เป็นยากระจายตัวได้เร็ว</t>
        </is>
      </c>
      <c r="C226" s="35" t="n"/>
      <c r="D226" s="34" t="inlineStr">
        <is>
          <t>Lactose</t>
        </is>
      </c>
      <c r="E226" s="34" t="inlineStr">
        <is>
          <t>PEG 8000</t>
        </is>
      </c>
      <c r="F226" s="34" t="inlineStr">
        <is>
          <t>PVP K30</t>
        </is>
      </c>
      <c r="G226" s="34" t="inlineStr">
        <is>
          <t>Colloidal silica dioxide</t>
        </is>
      </c>
      <c r="H226" s="34" t="inlineStr">
        <is>
          <t>Croscarmellose sodium |</t>
        </is>
      </c>
      <c r="I226" s="35" t="n">
        <v>1</v>
      </c>
      <c r="J226" s="34" t="inlineStr">
        <is>
          <t>✅ คำตอบที่ถูกต้อง: ข้อ ก. Lactose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6" s="35" t="n"/>
      <c r="L226" s="34" t="inlineStr">
        <is>
          <t>Liquid &amp; Semisolid Dosage Forms</t>
        </is>
      </c>
      <c r="M226" s="35" t="inlineStr">
        <is>
          <t>Product</t>
        </is>
      </c>
      <c r="N226" s="34" t="inlineStr">
        <is>
          <t>ข้อสอบจริง Product ปี 2562 ข้อ 4</t>
        </is>
      </c>
      <c r="O226" s="35" t="inlineStr">
        <is>
          <t>ข้อสอบจริง</t>
        </is>
      </c>
      <c r="P226" s="35" t="inlineStr">
        <is>
          <t>ปี 2562</t>
        </is>
      </c>
    </row>
    <row r="227" ht="409.6" customHeight="1" s="49">
      <c r="A227" s="35" t="n">
        <v>225</v>
      </c>
      <c r="B227" s="34" t="inlineStr">
        <is>
          <t>สารใดไม่ใช้เป็น stiffening agent ของสูตรตำรับยาครีม</t>
        </is>
      </c>
      <c r="C227" s="35" t="n"/>
      <c r="D227" s="34" t="inlineStr">
        <is>
          <t>Beeswax</t>
        </is>
      </c>
      <c r="E227" s="34" t="inlineStr">
        <is>
          <t>PEG-4000</t>
        </is>
      </c>
      <c r="F227" s="34" t="inlineStr">
        <is>
          <t>Paraffin wax</t>
        </is>
      </c>
      <c r="G227" s="34" t="inlineStr">
        <is>
          <t>Isopropyl myristate</t>
        </is>
      </c>
      <c r="H227" s="34" t="inlineStr">
        <is>
          <t>Cytostearyl alcohol</t>
        </is>
      </c>
      <c r="I227" s="35" t="n">
        <v>1</v>
      </c>
      <c r="J227" s="34" t="inlineStr">
        <is>
          <t>✅ คำตอบที่ถูกต้อง: ข้อ ก. Beeswax
💡 Background:
คำถามข้อสอบจริงใบประกอบวิชาชีพ PLE-CC 1 (Product) ปี 2561 ข้อ 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7" s="35" t="n"/>
      <c r="L227" s="34" t="inlineStr">
        <is>
          <t>Liquid &amp; Semisolid Dosage Forms</t>
        </is>
      </c>
      <c r="M227" s="35" t="inlineStr">
        <is>
          <t>Product</t>
        </is>
      </c>
      <c r="N227" s="34" t="inlineStr">
        <is>
          <t>ข้อสอบจริง Product ปี 2561 ข้อ 8</t>
        </is>
      </c>
      <c r="O227" s="35" t="inlineStr">
        <is>
          <t>ข้อสอบจริง</t>
        </is>
      </c>
      <c r="P227" s="35" t="inlineStr">
        <is>
          <t>ปี 2561</t>
        </is>
      </c>
    </row>
    <row r="228" ht="409.6" customHeight="1" s="49">
      <c r="A228" s="35" t="n">
        <v>226</v>
      </c>
      <c r="B228" s="34" t="inlineStr">
        <is>
          <t>เมื่อทดสอบยาครีมแบบ freeze thaw cycle พบว่าตำรับเปลี่ยนแปลงไปดังภาพ จากปัญหาดังกล่าวท่านมีวิธีการแก้ไขปัญหาความไม่คงตัวดังกล่าวอย่างไร [แนบรูป: ข้อสอบ Product ปี 2561 รหัสรูปภาพ image103]</t>
        </is>
      </c>
      <c r="C228" s="35" t="inlineStr">
        <is>
          <t>[แนบรูป: ข้อสอบ Product ปี 2561 รหัสรูปภาพ image103]</t>
        </is>
      </c>
      <c r="D228" s="34" t="inlineStr">
        <is>
          <t>เติม tragacanth ในตำรับ O/W</t>
        </is>
      </c>
      <c r="E228" s="34" t="inlineStr">
        <is>
          <t>เติม sodium chloride ในตำรับ O/W</t>
        </is>
      </c>
      <c r="F228" s="34" t="inlineStr">
        <is>
          <t>เติม sodium benzoate ในตำรับ O/W</t>
        </is>
      </c>
      <c r="G228" s="34" t="inlineStr">
        <is>
          <t>ใช้เครื่อง ball mill ในการเตรียมตำรับ O/W</t>
        </is>
      </c>
      <c r="H228" s="34" t="inlineStr">
        <is>
          <t>เติม hydroxyethyl cellulose ในตำรับ O/W</t>
        </is>
      </c>
      <c r="I228" s="35" t="n">
        <v>1</v>
      </c>
      <c r="J228" s="34" t="inlineStr">
        <is>
          <t>✅ คำตอบที่ถูกต้อง: ข้อ ก. เติม tragacanth ในตำรับ O/W
💡 Background:
คำถามข้อสอบจริงใบประกอบวิชาชีพ PLE-CC 1 (Product) ปี 2561 ข้อ 10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8" s="35" t="n"/>
      <c r="L228" s="34" t="inlineStr">
        <is>
          <t>Liquid &amp; Semisolid Dosage Forms</t>
        </is>
      </c>
      <c r="M228" s="35" t="inlineStr">
        <is>
          <t>Product</t>
        </is>
      </c>
      <c r="N228" s="34" t="inlineStr">
        <is>
          <t>ข้อสอบจริง Product ปี 2561 ข้อ 10</t>
        </is>
      </c>
      <c r="O228" s="35" t="inlineStr">
        <is>
          <t>ข้อสอบจริง</t>
        </is>
      </c>
      <c r="P228" s="35" t="inlineStr">
        <is>
          <t>ปี 2561</t>
        </is>
      </c>
    </row>
    <row r="229" ht="409.6" customHeight="1" s="49">
      <c r="A229" s="35" t="n">
        <v>227</v>
      </c>
      <c r="B229" s="34" t="inlineStr">
        <is>
          <t>ส่วนประกอบของ isotretinoinจากตำรับเป็นยาในรูปแบบใด [แนบรูป: ข้อสอบ Product ปี 2561 รหัสรูปภาพ image105]</t>
        </is>
      </c>
      <c r="C229" s="35" t="inlineStr">
        <is>
          <t>[แนบรูป: ข้อสอบ Product ปี 2561 รหัสรูปภาพ image105]</t>
        </is>
      </c>
      <c r="D229" s="34" t="inlineStr">
        <is>
          <t>Cream</t>
        </is>
      </c>
      <c r="E229" s="34" t="inlineStr">
        <is>
          <t>Ointment</t>
        </is>
      </c>
      <c r="F229" s="34" t="inlineStr">
        <is>
          <t>Enteric capsule</t>
        </is>
      </c>
      <c r="G229" s="34" t="inlineStr">
        <is>
          <t>Hard gelatin capsule</t>
        </is>
      </c>
      <c r="H229" s="34" t="inlineStr">
        <is>
          <t>Soft gelatin capsule</t>
        </is>
      </c>
      <c r="I229" s="35" t="n">
        <v>1</v>
      </c>
      <c r="J229" s="34" t="inlineStr">
        <is>
          <t>✅ คำตอบที่ถูกต้อง: ข้อ ก. Cream
💡 Background:
คำถามข้อสอบจริงใบประกอบวิชาชีพ PLE-CC 1 (Product) ปี 2561 ข้อ 16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29" s="35" t="n"/>
      <c r="L229" s="34" t="inlineStr">
        <is>
          <t>Liquid &amp; Semisolid Dosage Forms</t>
        </is>
      </c>
      <c r="M229" s="35" t="inlineStr">
        <is>
          <t>Product</t>
        </is>
      </c>
      <c r="N229" s="34" t="inlineStr">
        <is>
          <t>ข้อสอบจริง Product ปี 2561 ข้อ 16</t>
        </is>
      </c>
      <c r="O229" s="35" t="inlineStr">
        <is>
          <t>ข้อสอบจริง</t>
        </is>
      </c>
      <c r="P229" s="35" t="inlineStr">
        <is>
          <t>ปี 2561</t>
        </is>
      </c>
    </row>
    <row r="230" ht="409.6" customHeight="1" s="49">
      <c r="A230" s="35" t="n">
        <v>228</v>
      </c>
      <c r="B230" s="34" t="inlineStr">
        <is>
          <t>HCTZ suspension 50 ml ตั้งทิ้งไว้ 4 สัปดาห์ได้ F = 0.5 และ β=1 ต้องแก้ไขตำรับอย่างไร</t>
        </is>
      </c>
      <c r="C230" s="35" t="n"/>
      <c r="D230" s="34" t="inlineStr">
        <is>
          <t>เพิ่ม sodium metabisulfite</t>
        </is>
      </c>
      <c r="E230" s="34" t="inlineStr">
        <is>
          <t>เพิ่ม paraben concentration</t>
        </is>
      </c>
      <c r="F230" s="34" t="inlineStr">
        <is>
          <t>เปลี่ยน saccharin sodium เป็น syrup</t>
        </is>
      </c>
      <c r="G230" s="34" t="inlineStr">
        <is>
          <t>เพิ่ม sodium carboxyl methyl cellulose</t>
        </is>
      </c>
      <c r="H230" s="34" t="inlineStr">
        <is>
          <t>เป็นตำรับที่มีความคงตัวอยู่แล้ว ไม่ต้องแก้ไขสูตรตำรับแต่อย่างใด</t>
        </is>
      </c>
      <c r="I230" s="35" t="n">
        <v>1</v>
      </c>
      <c r="J230" s="34" t="inlineStr">
        <is>
          <t>✅ คำตอบที่ถูกต้อง: ข้อ ก. เพิ่ม sodium metabisulfite
💡 Background:
คำถามข้อสอบจริงใบประกอบวิชาชีพ PLE-CC 1 (Product) ปี 2561 ข้อ 45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0" s="35" t="n"/>
      <c r="L230" s="34" t="inlineStr">
        <is>
          <t>Liquid &amp; Semisolid Dosage Forms</t>
        </is>
      </c>
      <c r="M230" s="35" t="inlineStr">
        <is>
          <t>Product</t>
        </is>
      </c>
      <c r="N230" s="34" t="inlineStr">
        <is>
          <t>ข้อสอบจริง Product ปี 2561 ข้อ 45</t>
        </is>
      </c>
      <c r="O230" s="35" t="inlineStr">
        <is>
          <t>ข้อสอบจริง</t>
        </is>
      </c>
      <c r="P230" s="35" t="inlineStr">
        <is>
          <t>ปี 2561</t>
        </is>
      </c>
    </row>
    <row r="231" ht="409.6" customHeight="1" s="49">
      <c r="A231" s="35" t="n">
        <v>229</v>
      </c>
      <c r="B231" s="34" t="inlineStr">
        <is>
          <t>จากสูตรตำรับข้อใดถูกต้อง (สูตรตำรับยา A ประกอบไปด้วย Glycerin, Lanolin, White wax, Stearic acid, Purified water, Triethanolamine, Isopropyl myristate, Cetostearyl alcohol)</t>
        </is>
      </c>
      <c r="C231" s="35" t="n"/>
      <c r="D231" s="34" t="inlineStr">
        <is>
          <t>Glycerin ทำหน้าที่เป็น humectant</t>
        </is>
      </c>
      <c r="E231" s="34" t="inlineStr">
        <is>
          <t>Lanolin ทำหน้าที่เป็น stiffening agent</t>
        </is>
      </c>
      <c r="F231" s="34" t="inlineStr">
        <is>
          <t>Isopropyl myristate ทำหน้าที่เป็น humectant</t>
        </is>
      </c>
      <c r="G231" s="34" t="inlineStr">
        <is>
          <t>Triethanolamine ทำหน้าที่เป็น emulsifying agent</t>
        </is>
      </c>
      <c r="H231" s="34" t="inlineStr">
        <is>
          <t>Cetosteryl alcohol ทำหน้าที่เป็น suspending agent</t>
        </is>
      </c>
      <c r="I231" s="35" t="n">
        <v>1</v>
      </c>
      <c r="J231" s="34" t="inlineStr">
        <is>
          <t>✅ คำตอบที่ถูกต้อง: ข้อ ก. Glycerin ทำหน้าที่เป็น humectant
💡 Background:
คำถามข้อสอบจริงใบประกอบวิชาชีพ PLE-CC 1 (Product) ปี 2561 ข้อ 48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1" s="35" t="n"/>
      <c r="L231" s="34" t="inlineStr">
        <is>
          <t>Liquid &amp; Semisolid Dosage Forms</t>
        </is>
      </c>
      <c r="M231" s="35" t="inlineStr">
        <is>
          <t>Product</t>
        </is>
      </c>
      <c r="N231" s="34" t="inlineStr">
        <is>
          <t>ข้อสอบจริง Product ปี 2561 ข้อ 48</t>
        </is>
      </c>
      <c r="O231" s="35" t="inlineStr">
        <is>
          <t>ข้อสอบจริง</t>
        </is>
      </c>
      <c r="P231" s="35" t="inlineStr">
        <is>
          <t>ปี 2561</t>
        </is>
      </c>
    </row>
    <row r="232" ht="409.6" customHeight="1" s="49">
      <c r="A232" s="35" t="n">
        <v>230</v>
      </c>
      <c r="B232" s="34" t="inlineStr">
        <is>
          <t>หากต้องการเตรียมยา suspension โดยที่ผงยามีประจุ \+ flocculation agent และ suspending agent ควรจะมีประจุอะไร</t>
        </is>
      </c>
      <c r="C232" s="35" t="n"/>
      <c r="D232" s="34" t="inlineStr">
        <is>
          <t>\+,+</t>
        </is>
      </c>
      <c r="E232" s="34" t="inlineStr">
        <is>
          <t>\+,-</t>
        </is>
      </c>
      <c r="F232" s="34" t="inlineStr">
        <is>
          <t>-,+</t>
        </is>
      </c>
      <c r="G232" s="34" t="inlineStr">
        <is>
          <t>-,-</t>
        </is>
      </c>
      <c r="H232" s="34" t="inlineStr">
        <is>
          <t>\+, ไม่มีประจุ</t>
        </is>
      </c>
      <c r="I232" s="35" t="n">
        <v>1</v>
      </c>
      <c r="J232" s="34" t="inlineStr">
        <is>
          <t>✅ คำตอบที่ถูกต้อง: ข้อ ก. \+,+
💡 Background:
คำถามข้อสอบจริงใบประกอบวิชาชีพ PLE-CC 1 (Product) ปี 2561 ข้อ 56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2" s="35" t="n"/>
      <c r="L232" s="34" t="inlineStr">
        <is>
          <t>Liquid &amp; Semisolid Dosage Forms</t>
        </is>
      </c>
      <c r="M232" s="35" t="inlineStr">
        <is>
          <t>Product</t>
        </is>
      </c>
      <c r="N232" s="34" t="inlineStr">
        <is>
          <t>ข้อสอบจริง Product ปี 2561 ข้อ 56</t>
        </is>
      </c>
      <c r="O232" s="35" t="inlineStr">
        <is>
          <t>ข้อสอบจริง</t>
        </is>
      </c>
      <c r="P232" s="35" t="inlineStr">
        <is>
          <t>ปี 2561</t>
        </is>
      </c>
    </row>
    <row r="233" ht="409.6" customHeight="1" s="49">
      <c r="A233" s="35" t="n">
        <v>231</v>
      </c>
      <c r="B233" s="34" t="inlineStr">
        <is>
          <t>จากสูตรตำรับข้างต้นใช้วิธีการเตรียมแบบใด (สูตรตำรับ: Isopropyl myristate, Cetostearyl alcohol, Lanolin, Stearic acid, White wax, NaOH, Glycerin, Purified water qs to 100 ml)</t>
        </is>
      </c>
      <c r="C233" s="35" t="n"/>
      <c r="D233" s="34" t="inlineStr">
        <is>
          <t>In situ</t>
        </is>
      </c>
      <c r="E233" s="34" t="inlineStr">
        <is>
          <t>Bottle method</t>
        </is>
      </c>
      <c r="F233" s="34" t="inlineStr">
        <is>
          <t>Beaker method</t>
        </is>
      </c>
      <c r="G233" s="34" t="inlineStr">
        <is>
          <t>Dry gum method</t>
        </is>
      </c>
      <c r="H233" s="34" t="inlineStr">
        <is>
          <t>Wet gum method</t>
        </is>
      </c>
      <c r="I233" s="35" t="n">
        <v>1</v>
      </c>
      <c r="J233" s="34" t="inlineStr">
        <is>
          <t>✅ คำตอบที่ถูกต้อง: ข้อ ก. In situ
💡 Background:
คำถามข้อสอบจริงใบประกอบวิชาชีพ PLE-CC 1 (Product) ปี 2561 ข้อ 59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3" s="35" t="n"/>
      <c r="L233" s="34" t="inlineStr">
        <is>
          <t>Liquid &amp; Semisolid Dosage Forms</t>
        </is>
      </c>
      <c r="M233" s="35" t="inlineStr">
        <is>
          <t>Product</t>
        </is>
      </c>
      <c r="N233" s="34" t="inlineStr">
        <is>
          <t>ข้อสอบจริง Product ปี 2561 ข้อ 59</t>
        </is>
      </c>
      <c r="O233" s="35" t="inlineStr">
        <is>
          <t>ข้อสอบจริง</t>
        </is>
      </c>
      <c r="P233" s="35" t="inlineStr">
        <is>
          <t>ปี 2561</t>
        </is>
      </c>
    </row>
    <row r="234" ht="409.6" customHeight="1" s="49">
      <c r="A234" s="35" t="n">
        <v>232</v>
      </c>
      <c r="B234" s="34" t="inlineStr">
        <is>
          <t>กรณีถ้าส่องด้วยกล้องจุลทรรศน์ (optical microscope) จะเห็นลักษณะของอนุภาคอย่างไร</t>
        </is>
      </c>
      <c r="C234" s="35" t="n"/>
      <c r="D234" s="34" t="inlineStr">
        <is>
          <t>อนุภาค colloidal</t>
        </is>
      </c>
      <c r="E234" s="34" t="inlineStr">
        <is>
          <t>อนุภาค oil phase</t>
        </is>
      </c>
      <c r="F234" s="34" t="inlineStr">
        <is>
          <t>อนุภาค suspension</t>
        </is>
      </c>
      <c r="G234" s="34" t="inlineStr">
        <is>
          <t>อนุภาค water phase</t>
        </is>
      </c>
      <c r="H234" s="34" t="inlineStr">
        <is>
          <t>ไม่เห็นอนุภาคเพราะเป็น molecular dispersion</t>
        </is>
      </c>
      <c r="I234" s="35" t="n">
        <v>1</v>
      </c>
      <c r="J234" s="34" t="inlineStr">
        <is>
          <t>✅ คำตอบที่ถูกต้อง: ข้อ ก. อนุภาค colloidal
💡 Background:
คำถามข้อสอบจริงใบประกอบวิชาชีพ PLE-CC 1 (Product) ปี 2561 ข้อ 60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4" s="35" t="n"/>
      <c r="L234" s="34" t="inlineStr">
        <is>
          <t>Liquid &amp; Semisolid Dosage Forms</t>
        </is>
      </c>
      <c r="M234" s="35" t="inlineStr">
        <is>
          <t>Product</t>
        </is>
      </c>
      <c r="N234" s="34" t="inlineStr">
        <is>
          <t>ข้อสอบจริง Product ปี 2561 ข้อ 60</t>
        </is>
      </c>
      <c r="O234" s="35" t="inlineStr">
        <is>
          <t>ข้อสอบจริง</t>
        </is>
      </c>
      <c r="P234" s="35" t="inlineStr">
        <is>
          <t>ปี 2561</t>
        </is>
      </c>
    </row>
    <row r="235" ht="409.6" customHeight="1" s="49">
      <c r="A235" s="35" t="n">
        <v>233</v>
      </c>
      <c r="B235" s="34" t="inlineStr">
        <is>
          <t>ข้อใดผิดเกี่ยวกับ aerosol</t>
        </is>
      </c>
      <c r="C235" s="35" t="n"/>
      <c r="D235" s="34" t="inlineStr">
        <is>
          <t>สารขับดันมีผลต่อลักษณะของขนาดอนุภาค</t>
        </is>
      </c>
      <c r="E235" s="34" t="inlineStr">
        <is>
          <t>ผลิตภัณฑ์มีในลักษณะปิดสนิท สามารถเก็บที่ใดก็ได้</t>
        </is>
      </c>
      <c r="F235" s="34" t="inlineStr">
        <is>
          <t>เลือก valve ให้เหมาะสมเพื่อกำหนดลักษณะของผงยา</t>
        </is>
      </c>
      <c r="G235" s="34" t="inlineStr">
        <is>
          <t>ขนาดอนุภาคมีผลต่อตำแหน่งเป้าหมายในการออกฤทธิ์</t>
        </is>
      </c>
      <c r="H235" s="34" t="inlineStr">
        <is>
          <t>เตรียมอยู่ในรูป solution หรือ suspension หรือ emulsion</t>
        </is>
      </c>
      <c r="I235" s="35" t="n">
        <v>1</v>
      </c>
      <c r="J235" s="34" t="inlineStr">
        <is>
          <t>✅ คำตอบที่ถูกต้อง: ข้อ ก. สารขับดันมีผลต่อลักษณะของขนาดอนุภาค
💡 Background:
คำถามข้อสอบจริงใบประกอบวิชาชีพ PLE-CC 1 (Product) ปี 2561 ข้อ 75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5" s="35" t="n"/>
      <c r="L235" s="34" t="inlineStr">
        <is>
          <t>Liquid &amp; Semisolid Dosage Forms</t>
        </is>
      </c>
      <c r="M235" s="35" t="inlineStr">
        <is>
          <t>Product</t>
        </is>
      </c>
      <c r="N235" s="34" t="inlineStr">
        <is>
          <t>ข้อสอบจริง Product ปี 2561 ข้อ 75</t>
        </is>
      </c>
      <c r="O235" s="35" t="inlineStr">
        <is>
          <t>ข้อสอบจริง</t>
        </is>
      </c>
      <c r="P235" s="35" t="inlineStr">
        <is>
          <t>ปี 2561</t>
        </is>
      </c>
    </row>
    <row r="236" ht="409.6" customHeight="1" s="49">
      <c r="A236" s="35" t="n">
        <v>234</v>
      </c>
      <c r="B236" s="34" t="inlineStr">
        <is>
          <t>ตำรับเกิด creaming rate เร็ว เกิดจากอะไร เมื่อพิจารณาจาก Stroke's law</t>
        </is>
      </c>
      <c r="C236" s="35" t="n"/>
      <c r="D236" s="34" t="inlineStr">
        <is>
          <t>นำตำรับไปไว้ที่อุณหภูมิสูง</t>
        </is>
      </c>
      <c r="E236" s="34" t="inlineStr">
        <is>
          <t>เพิ่มความหนืดของอนุภาคภายใน</t>
        </is>
      </c>
      <c r="F236" s="34" t="inlineStr">
        <is>
          <t>ลดความแตกต่างระหว่างอนุภาค</t>
        </is>
      </c>
      <c r="G236" s="34" t="inlineStr">
        <is>
          <t>ใช้ emulsifier ที่มีคุณสมบัติช่วยลดขนาดอนุภาคอิมัลชันได้</t>
        </is>
      </c>
      <c r="H236" s="34" t="inlineStr">
        <is>
          <t>นำตำรับไปลดขนาดอนุภาคด้วย High pressure homogenizer</t>
        </is>
      </c>
      <c r="I236" s="35" t="n">
        <v>1</v>
      </c>
      <c r="J236" s="34" t="inlineStr">
        <is>
          <t>✅ คำตอบที่ถูกต้อง: ข้อ ก. นำตำรับไปไว้ที่อุณหภูมิสูง
💡 Background:
คำถามข้อสอบจริงใบประกอบวิชาชีพ PLE-CC 1 (Product) ปี 2561 ข้อ 89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6" s="35" t="n"/>
      <c r="L236" s="34" t="inlineStr">
        <is>
          <t>Liquid &amp; Semisolid Dosage Forms</t>
        </is>
      </c>
      <c r="M236" s="35" t="inlineStr">
        <is>
          <t>Product</t>
        </is>
      </c>
      <c r="N236" s="34" t="inlineStr">
        <is>
          <t>ข้อสอบจริง Product ปี 2561 ข้อ 89</t>
        </is>
      </c>
      <c r="O236" s="35" t="inlineStr">
        <is>
          <t>ข้อสอบจริง</t>
        </is>
      </c>
      <c r="P236" s="35" t="inlineStr">
        <is>
          <t>ปี 2561</t>
        </is>
      </c>
    </row>
    <row r="237" ht="409.6" customHeight="1" s="49">
      <c r="A237" s="35" t="n">
        <v>235</v>
      </c>
      <c r="B237" s="34" t="inlineStr">
        <is>
          <t>ถ้าเตรียมตำรับ piroxicam gel ควรใช้ gelling agent ตัวใดที่เมื่อใช้ด่างแล้วจะทำให้เจลที่ได้มีลักษณะใส</t>
        </is>
      </c>
      <c r="C237" s="35" t="n"/>
      <c r="D237" s="34" t="inlineStr">
        <is>
          <t>Carbomer</t>
        </is>
      </c>
      <c r="E237" s="34" t="inlineStr">
        <is>
          <t>Sodium alginate</t>
        </is>
      </c>
      <c r="F237" s="34" t="inlineStr">
        <is>
          <t>Methylcellulose</t>
        </is>
      </c>
      <c r="G237" s="34" t="inlineStr">
        <is>
          <t>Hydroxypropyl methylcellulose</t>
        </is>
      </c>
      <c r="H237" s="34" t="inlineStr">
        <is>
          <t>Sodium carboxyl methylcellulose</t>
        </is>
      </c>
      <c r="I237" s="35" t="n">
        <v>1</v>
      </c>
      <c r="J237" s="34" t="inlineStr">
        <is>
          <t>✅ คำตอบที่ถูกต้อง: ข้อ ก. Carbomer
💡 Background:
คำถามข้อสอบจริงใบประกอบวิชาชีพ PLE-CC 1 (Product) ปี 2561 ข้อ 95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7" s="35" t="n"/>
      <c r="L237" s="34" t="inlineStr">
        <is>
          <t>Liquid &amp; Semisolid Dosage Forms</t>
        </is>
      </c>
      <c r="M237" s="35" t="inlineStr">
        <is>
          <t>Product</t>
        </is>
      </c>
      <c r="N237" s="34" t="inlineStr">
        <is>
          <t>ข้อสอบจริง Product ปี 2561 ข้อ 95</t>
        </is>
      </c>
      <c r="O237" s="35" t="inlineStr">
        <is>
          <t>ข้อสอบจริง</t>
        </is>
      </c>
      <c r="P237" s="35" t="inlineStr">
        <is>
          <t>ปี 2561</t>
        </is>
      </c>
    </row>
    <row r="238" ht="409.6" customHeight="1" s="49">
      <c r="A238" s="35" t="n">
        <v>236</v>
      </c>
      <c r="B238" s="34" t="inlineStr">
        <is>
          <t>ตำรับ budesonide nasal spray รูปแบบ suspension ประกอบด้วย Microcrystalline cellulose, Carboxymethyl cellulose sodium, Dextrose anhydrous, Polysorbate 80, Disodium edetate, Purified water, HCl สารใดทำหน้าที่เป็น wetting agent</t>
        </is>
      </c>
      <c r="C238" s="35" t="n"/>
      <c r="D238" s="34" t="inlineStr">
        <is>
          <t>Polysorbate 80</t>
        </is>
      </c>
      <c r="E238" s="34" t="inlineStr">
        <is>
          <t>Disodium edetate</t>
        </is>
      </c>
      <c r="F238" s="34" t="inlineStr">
        <is>
          <t>Dextrose anhydrous</t>
        </is>
      </c>
      <c r="G238" s="34" t="inlineStr">
        <is>
          <t>Microcrystalline cellulose</t>
        </is>
      </c>
      <c r="H238" s="34" t="inlineStr">
        <is>
          <t>Carboxymethyl cellulose sodium</t>
        </is>
      </c>
      <c r="I238" s="35" t="n">
        <v>1</v>
      </c>
      <c r="J238" s="34" t="inlineStr">
        <is>
          <t>✅ คำตอบที่ถูกต้อง: ข้อ ก. Polysorbate 80
💡 Background:
คำถามข้อสอบจริงใบประกอบวิชาชีพ PLE-CC 1 (Product) ปี 2561 ข้อ 112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8" s="35" t="n"/>
      <c r="L238" s="34" t="inlineStr">
        <is>
          <t>Liquid &amp; Semisolid Dosage Forms</t>
        </is>
      </c>
      <c r="M238" s="35" t="inlineStr">
        <is>
          <t>Product</t>
        </is>
      </c>
      <c r="N238" s="34" t="inlineStr">
        <is>
          <t>ข้อสอบจริง Product ปี 2561 ข้อ 112</t>
        </is>
      </c>
      <c r="O238" s="35" t="inlineStr">
        <is>
          <t>ข้อสอบจริง</t>
        </is>
      </c>
      <c r="P238" s="35" t="inlineStr">
        <is>
          <t>ปี 2561</t>
        </is>
      </c>
    </row>
    <row r="239" ht="409.6" customHeight="1" s="49">
      <c r="A239" s="35" t="n">
        <v>237</v>
      </c>
      <c r="B239" s="34" t="inlineStr">
        <is>
          <t>Phynetoin SR มีส่วนผสมคือ phenytoin, lactose, magnesium, sugar แต่การทดสอบพบว่ามีปริมาณตัวยาในแต่ละเม็ดไม่สม่ำเสมอควรเติมสารช่วยอะไร</t>
        </is>
      </c>
      <c r="C239" s="35" t="n"/>
      <c r="D239" s="34" t="inlineStr">
        <is>
          <t>Silicon dioxide</t>
        </is>
      </c>
      <c r="E239" s="34" t="inlineStr">
        <is>
          <t>Microcrystalline cellulose</t>
        </is>
      </c>
      <c r="F239" s="34" t="inlineStr">
        <is>
          <t>Starch</t>
        </is>
      </c>
      <c r="G239" s="34" t="inlineStr">
        <is>
          <t>Gelatin</t>
        </is>
      </c>
      <c r="H239" s="34" t="inlineStr">
        <is>
          <t>Polyvinyl pyrrolidone</t>
        </is>
      </c>
      <c r="I239" s="35" t="n">
        <v>1</v>
      </c>
      <c r="J239" s="34" t="inlineStr">
        <is>
          <t>✅ คำตอบที่ถูกต้อง: ข้อ ก. Silicon dioxide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39" s="35" t="n"/>
      <c r="L239" s="34" t="inlineStr">
        <is>
          <t>Liquid &amp; Semisolid Dosage Forms</t>
        </is>
      </c>
      <c r="M239" s="35" t="inlineStr">
        <is>
          <t>Product</t>
        </is>
      </c>
      <c r="N239" s="34" t="inlineStr">
        <is>
          <t>ข้อสอบจริง Product ปี 2559 ข้อ 7</t>
        </is>
      </c>
      <c r="O239" s="35" t="inlineStr">
        <is>
          <t>ข้อสอบจริง</t>
        </is>
      </c>
      <c r="P239" s="35" t="inlineStr">
        <is>
          <t>ปี 2559</t>
        </is>
      </c>
    </row>
    <row r="240" ht="409.6" customHeight="1" s="49">
      <c r="A240" s="35" t="n">
        <v>238</v>
      </c>
      <c r="B240" s="34" t="inlineStr">
        <is>
          <t>สารเพิ่มความยืดหยุ่น (plasticizer) ใน soft gelatin capsule คือสารใด</t>
        </is>
      </c>
      <c r="C240" s="35" t="n"/>
      <c r="D240" s="34" t="inlineStr">
        <is>
          <t>HPMC</t>
        </is>
      </c>
      <c r="E240" s="34" t="inlineStr">
        <is>
          <t>Shellac</t>
        </is>
      </c>
      <c r="F240" s="34" t="inlineStr">
        <is>
          <t>Eudragit L</t>
        </is>
      </c>
      <c r="G240" s="34" t="inlineStr">
        <is>
          <t>Cellulose acetate phthalate</t>
        </is>
      </c>
      <c r="H240" s="34" t="inlineStr">
        <is>
          <t>PEG</t>
        </is>
      </c>
      <c r="I240" s="35" t="n">
        <v>1</v>
      </c>
      <c r="J240" s="34" t="inlineStr">
        <is>
          <t>✅ คำตอบที่ถูกต้อง: ข้อ ก. HPMC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0" s="35" t="n"/>
      <c r="L240" s="34" t="inlineStr">
        <is>
          <t>Liquid &amp; Semisolid Dosage Forms</t>
        </is>
      </c>
      <c r="M240" s="35" t="inlineStr">
        <is>
          <t>Product</t>
        </is>
      </c>
      <c r="N240" s="34" t="inlineStr">
        <is>
          <t>ข้อสอบจริง Product ปี 2559 ข้อ 5</t>
        </is>
      </c>
      <c r="O240" s="35" t="inlineStr">
        <is>
          <t>ข้อสอบจริง</t>
        </is>
      </c>
      <c r="P240" s="35" t="inlineStr">
        <is>
          <t>ปี 2559</t>
        </is>
      </c>
    </row>
    <row r="241" ht="409.6" customHeight="1" s="49">
      <c r="A241" s="35" t="n">
        <v>239</v>
      </c>
      <c r="B241" s="34" t="inlineStr">
        <is>
          <t>ตัวยา A มีความคงตัวทางเคมีได้ดีในสภาวะที่เป็นกรด (Acid-stable) หากต้องการพัฒนาเป็นยาเม็ดเคลือบฟิล์มทั่วไปเพื่อความสวยงามและป้องกันความชื้น ควรเลือกใช้สารเคลือบประเภทพอลิเมอร์ชนิดใด?</t>
        </is>
      </c>
      <c r="C241" s="35" t="n"/>
      <c r="D241" s="34" t="inlineStr">
        <is>
          <t>Eudragit L</t>
        </is>
      </c>
      <c r="E241" s="34" t="inlineStr">
        <is>
          <t>Shellac</t>
        </is>
      </c>
      <c r="F241" s="34" t="inlineStr">
        <is>
          <t>HPMC (Hydroxypropyl methylcellulose)</t>
        </is>
      </c>
      <c r="G241" s="34" t="inlineStr">
        <is>
          <t>HPMCP (Hydroxypropyl methylcellulose phthalate)</t>
        </is>
      </c>
      <c r="H241" s="34" t="inlineStr">
        <is>
          <t>EC (Ethylcellulose)</t>
        </is>
      </c>
      <c r="I241" s="35" t="n">
        <v>1</v>
      </c>
      <c r="J241" s="34" t="inlineStr">
        <is>
          <t>✅ คำตอบที่ถูกต้อง: ข้อ ก. Eudragit L
💡 Background:
คำถามข้อสอบจริงใบประกอบวิชาชีพ PLE-CC 1 (Product) ปี 2558 ข้อ 17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1" s="35" t="n"/>
      <c r="L241" s="34" t="inlineStr">
        <is>
          <t>Liquid &amp; Semisolid Dosage Forms</t>
        </is>
      </c>
      <c r="M241" s="35" t="inlineStr">
        <is>
          <t>Product</t>
        </is>
      </c>
      <c r="N241" s="34" t="inlineStr">
        <is>
          <t>ข้อสอบจริง Product ปี 2558 ข้อ 17</t>
        </is>
      </c>
      <c r="O241" s="35" t="inlineStr">
        <is>
          <t>ข้อสอบจริง</t>
        </is>
      </c>
      <c r="P241" s="35" t="inlineStr">
        <is>
          <t>ปี 2558</t>
        </is>
      </c>
    </row>
    <row r="242" ht="409.6" customHeight="1" s="49">
      <c r="A242" s="35" t="n">
        <v>240</v>
      </c>
      <c r="B242" s="34" t="inlineStr">
        <is>
          <t>หากผู้ป่วยมีประวัติการแพ้โปรตีนหรือแพ้ผลิตภัณฑ์ที่ได้มาจากสัตว์ทุกชนิด สารช่วยในตำรับ (Excipient) ข้อใดต่อไปนี้ที่ต้องหลีกเลี่ยงและห้ามนำมาใช้ในสูตรตำรับ?</t>
        </is>
      </c>
      <c r="C242" s="35" t="n"/>
      <c r="D242" s="34" t="inlineStr">
        <is>
          <t>Acacia</t>
        </is>
      </c>
      <c r="E242" s="34" t="inlineStr">
        <is>
          <t>Alginate</t>
        </is>
      </c>
      <c r="F242" s="34" t="inlineStr">
        <is>
          <t>Gelatin</t>
        </is>
      </c>
      <c r="G242" s="34" t="inlineStr">
        <is>
          <t>Xanthan gum</t>
        </is>
      </c>
      <c r="H242" s="34" t="inlineStr">
        <is>
          <t>Pectin</t>
        </is>
      </c>
      <c r="I242" s="35" t="n">
        <v>1</v>
      </c>
      <c r="J242" s="34" t="inlineStr">
        <is>
          <t>✅ คำตอบที่ถูกต้อง: ข้อ ก. Acacia
💡 Background:
คำถามข้อสอบจริงใบประกอบวิชาชีพ PLE-CC 1 (Product) ปี 2558 ข้อ 24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2" s="35" t="n"/>
      <c r="L242" s="34" t="inlineStr">
        <is>
          <t>Liquid &amp; Semisolid Dosage Forms</t>
        </is>
      </c>
      <c r="M242" s="35" t="inlineStr">
        <is>
          <t>Product</t>
        </is>
      </c>
      <c r="N242" s="34" t="inlineStr">
        <is>
          <t>ข้อสอบจริง Product ปี 2558 ข้อ 24</t>
        </is>
      </c>
      <c r="O242" s="35" t="inlineStr">
        <is>
          <t>ข้อสอบจริง</t>
        </is>
      </c>
      <c r="P242" s="35" t="inlineStr">
        <is>
          <t>ปี 2558</t>
        </is>
      </c>
    </row>
    <row r="243" ht="409.6" customHeight="1" s="49">
      <c r="A243" s="35" t="n">
        <v>241</v>
      </c>
      <c r="B243" s="34" t="inlineStr">
        <is>
          <t>หากต้องการเตรียมระบบนำส่งสารที่เป็นประจุบวก (Cationic hydrophilic colloid) พอลิเมอร์ธรรมชาติชนิดใดต่อไปนี้เหมาะสมที่จะเลือกใช้มากที่สุด?</t>
        </is>
      </c>
      <c r="C243" s="35" t="n"/>
      <c r="D243" s="34" t="inlineStr">
        <is>
          <t>Carageenan</t>
        </is>
      </c>
      <c r="E243" s="34" t="inlineStr">
        <is>
          <t>Chitosan</t>
        </is>
      </c>
      <c r="F243" s="34" t="inlineStr">
        <is>
          <t>Gelatin B</t>
        </is>
      </c>
      <c r="G243" s="34" t="inlineStr">
        <is>
          <t>Tragacanth</t>
        </is>
      </c>
      <c r="H243" s="34" t="inlineStr">
        <is>
          <t>Veegum</t>
        </is>
      </c>
      <c r="I243" s="35" t="n">
        <v>1</v>
      </c>
      <c r="J243" s="34" t="inlineStr">
        <is>
          <t>✅ คำตอบที่ถูกต้อง: ข้อ ก. Carageenan
💡 Background:
คำถามข้อสอบจริงใบประกอบวิชาชีพ PLE-CC 1 (Product) ปี 2558 ข้อ 25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3" s="35" t="n"/>
      <c r="L243" s="34" t="inlineStr">
        <is>
          <t>Liquid &amp; Semisolid Dosage Forms</t>
        </is>
      </c>
      <c r="M243" s="35" t="inlineStr">
        <is>
          <t>Product</t>
        </is>
      </c>
      <c r="N243" s="34" t="inlineStr">
        <is>
          <t>ข้อสอบจริง Product ปี 2558 ข้อ 25</t>
        </is>
      </c>
      <c r="O243" s="35" t="inlineStr">
        <is>
          <t>ข้อสอบจริง</t>
        </is>
      </c>
      <c r="P243" s="35" t="inlineStr">
        <is>
          <t>ปี 2558</t>
        </is>
      </c>
    </row>
    <row r="244" ht="409.6" customHeight="1" s="49">
      <c r="A244" s="35" t="n">
        <v>242</v>
      </c>
      <c r="B244" s="34" t="inlineStr">
        <is>
          <t>ในการจัดเตรียมตำรับยาเหน็บช่องคลอดจำนวน 1 แท่ง  Rx.  Fluconazole: 0.1 g  PEG base: qs  กำหนดให้:  Displacement value (DV) ของตัวยา Fluconazole = 1.0 (เทียบกับ Cocoa butter)  น้ำหนักของยาเหน็บเปล่าที่เตรียมด้วย PEG base (Blank weight of PEG suppository) = 2.5 g  ความหนาแน่นของ PEG base = 1.2 เท่าของน้ำมันโกโก้ (Theobroma oil / Cocoa butter) จะต้องชั่งใช้ยาพื้น PEG base ปริมาณกี่กรัมในการเตรียมยาตำรับนี้?</t>
        </is>
      </c>
      <c r="C244" s="35" t="n"/>
      <c r="D244" s="34" t="inlineStr">
        <is>
          <t>2.00 g</t>
        </is>
      </c>
      <c r="E244" s="34" t="inlineStr">
        <is>
          <t>2.38 g</t>
        </is>
      </c>
      <c r="F244" s="34" t="inlineStr">
        <is>
          <t>2.40 g</t>
        </is>
      </c>
      <c r="G244" s="34" t="inlineStr">
        <is>
          <t>2.42 g</t>
        </is>
      </c>
      <c r="H244" s="34" t="inlineStr">
        <is>
          <t>2.50 g</t>
        </is>
      </c>
      <c r="I244" s="35" t="n">
        <v>1</v>
      </c>
      <c r="J244" s="34" t="inlineStr">
        <is>
          <t>✅ คำตอบที่ถูกต้อง: ข้อ ก. 2.00 g
💡 Background:
คำถามข้อสอบจริงใบประกอบวิชาชีพ PLE-CC 1 (Product) ปี 2558 ข้อ 26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4" s="35" t="n"/>
      <c r="L244" s="34" t="inlineStr">
        <is>
          <t>Liquid &amp; Semisolid Dosage Forms</t>
        </is>
      </c>
      <c r="M244" s="35" t="inlineStr">
        <is>
          <t>Product</t>
        </is>
      </c>
      <c r="N244" s="34" t="inlineStr">
        <is>
          <t>ข้อสอบจริง Product ปี 2558 ข้อ 26</t>
        </is>
      </c>
      <c r="O244" s="35" t="inlineStr">
        <is>
          <t>ข้อสอบจริง</t>
        </is>
      </c>
      <c r="P244" s="35" t="inlineStr">
        <is>
          <t>ปี 2558</t>
        </is>
      </c>
    </row>
    <row r="245" ht="409.6" customHeight="1" s="49">
      <c r="A245" s="35" t="n">
        <v>243</v>
      </c>
      <c r="B245" s="34" t="inlineStr">
        <is>
          <t>จากสูตรตำรับยาพ่นสูดละอองลอย (Aerosol) ต่อไปนี้  Rx.  Isoproterenol sulfate: 0.1 g  Oleyl alcohol: 1.0 g  Ascorbic acid: 0.1 g  Myristyl alcohol: 1.0 g  Alcohol (Ethanol) &amp; Propellant: qs ad 30 g  หากตัวยาละลายได้อย่างสมบูรณ์ในแอลกอฮอล์ซึ่งทำหน้าที่เป็นตัวทำละลายร่วม (Co-solvent) ร่วมกับสารขับดัน ตำรับนี้จะจัดอยู่ในรูปแบบผลิตภัณฑ์ (Dosage form) ใด?</t>
        </is>
      </c>
      <c r="C245" s="35" t="n"/>
      <c r="D245" s="34" t="inlineStr">
        <is>
          <t>Aerosol Suspension</t>
        </is>
      </c>
      <c r="E245" s="34" t="inlineStr">
        <is>
          <t>Aerosol Emulsion</t>
        </is>
      </c>
      <c r="F245" s="34" t="inlineStr">
        <is>
          <t>Aerosol Solution</t>
        </is>
      </c>
      <c r="G245" s="34" t="inlineStr">
        <is>
          <t>Aerosol Powder</t>
        </is>
      </c>
      <c r="H245" s="34" t="inlineStr">
        <is>
          <t>Liposomal Aerosol</t>
        </is>
      </c>
      <c r="I245" s="35" t="n">
        <v>1</v>
      </c>
      <c r="J245" s="34" t="inlineStr">
        <is>
          <t>✅ คำตอบที่ถูกต้อง: ข้อ ก. Aerosol Suspension
💡 Background:
คำถามข้อสอบจริงใบประกอบวิชาชีพ PLE-CC 1 (Product) ปี 2558 ข้อ 38
🎯 ทำไมข้อนี้ถึงถูก:
ข้อ ก. สอดคล้องกับหลักการทางเภสัชกรรมและข้อกำหนดตามเภสัชตำรับ (Pharmacopoeia Standards) ในหัวข้อ Liquid &amp; Semisolid Dosage Forms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Liquid &amp; Semisolid Dosage Forms</t>
        </is>
      </c>
      <c r="K245" s="35" t="n"/>
      <c r="L245" s="34" t="inlineStr">
        <is>
          <t>Liquid &amp; Semisolid Dosage Forms</t>
        </is>
      </c>
      <c r="M245" s="35" t="inlineStr">
        <is>
          <t>Product</t>
        </is>
      </c>
      <c r="N245" s="34" t="inlineStr">
        <is>
          <t>ข้อสอบจริง Product ปี 2558 ข้อ 38</t>
        </is>
      </c>
      <c r="O245" s="35" t="inlineStr">
        <is>
          <t>ข้อสอบจริง</t>
        </is>
      </c>
      <c r="P245" s="35" t="inlineStr">
        <is>
          <t>ปี 2558</t>
        </is>
      </c>
    </row>
    <row r="246" ht="13.2" customHeight="1" s="49">
      <c r="A246" t="n">
        <v>244</v>
      </c>
      <c r="B246" t="inlineStr">
        <is>
          <t>Brown mixture 60 ml ขายได้ในร้านขายยาหรือไม่</t>
        </is>
      </c>
      <c r="D246" t="inlineStr">
        <is>
          <t>ขายไม่ได้เนื่องจากเป็นวัตถุออกฤทธิ์ต่อจิตและประสาท</t>
        </is>
      </c>
      <c r="E246" t="inlineStr">
        <is>
          <t>ขายได้แต่ต้องมีใบสั่งแพทย์เท่านั้น</t>
        </is>
      </c>
      <c r="F246" t="inlineStr">
        <is>
          <t>ขายได้โดยเภสัชกรเท่านั้น</t>
        </is>
      </c>
      <c r="G246" t="inlineStr">
        <is>
          <t>[NEED_REVIEW]</t>
        </is>
      </c>
      <c r="H246" t="inlineStr">
        <is>
          <t>ขายได้โดยเป็นยาที่ไม่ใช่ยาอันตรายและยาบรรจุเสร็จ</t>
        </is>
      </c>
      <c r="I246" t="inlineStr">
        <is>
          <t>4</t>
        </is>
      </c>
      <c r="J246" t="inlineStr">
        <is>
          <t>✅ คำตอบที่ถูกต้อง: ข้อ ง. ขายได้โดยเป็นยาสามัญประจำบ้าน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6" t="inlineStr">
        <is>
          <t>Hypertension</t>
        </is>
      </c>
      <c r="M246" t="inlineStr">
        <is>
          <t>Clinic</t>
        </is>
      </c>
      <c r="N246" t="inlineStr">
        <is>
          <t>ข้อ 7 (PLE_CC1_2554 SET2.md)</t>
        </is>
      </c>
    </row>
    <row r="247" ht="13.2" customHeight="1" s="49">
      <c r="A247" t="n">
        <v>245</v>
      </c>
      <c r="B247" t="inlineStr">
        <is>
          <t>เภสัชภัณฑ์รูปแบบกึ่งแข็ง (Semisolid dosage form)</t>
        </is>
      </c>
      <c r="D247" t="inlineStr">
        <is>
          <t>ลักษณะความไม่คงสภาพที่พบส่วนใหญ่ของยาขี้ผึ้ง ยกเว้นข้อใด</t>
        </is>
      </c>
      <c r="E247" t="inlineStr">
        <is>
          <t>น้ำหนักลดลง</t>
        </is>
      </c>
      <c r="F247" t="inlineStr">
        <is>
          <t>มีการเปลี่ยนแปลงของสีและกลิ่น</t>
        </is>
      </c>
      <c r="G247" t="inlineStr">
        <is>
          <t>ความข้นหนืดเปลี่ยนไป</t>
        </is>
      </c>
      <c r="H247" t="inlineStr">
        <is>
          <t>มีน้ำมันออกมาจากยาขี้ผึ้ง</t>
        </is>
      </c>
      <c r="I247" t="inlineStr">
        <is>
          <t>1</t>
        </is>
      </c>
      <c r="J247" t="inlineStr">
        <is>
          <t>✅ คำตอบที่ถูกต้อง: ข้อ ก. ลักษณะความไม่คงสภาพที่พบส่วนใหญ่ของยาขี้ผึ้ง ยกเว้นข้อใด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247" t="inlineStr">
        <is>
          <t>Hypertension</t>
        </is>
      </c>
      <c r="M247" t="inlineStr">
        <is>
          <t>Clinic</t>
        </is>
      </c>
      <c r="N247" t="inlineStr">
        <is>
          <t>ข้อ 15 (PLE_CC1_Practice_Exam.md)</t>
        </is>
      </c>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8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2</t>
        </is>
      </c>
      <c r="B3" s="2" t="inlineStr">
        <is>
          <t>ให้ข้อมูลการทำdissolution test มีacid stage กับbuffer stage ถามเกี่ยวกับยาที่ใช้การทดสอบแบบนี้ ตัวเลือก</t>
        </is>
      </c>
      <c r="C3" s="2" t="n"/>
      <c r="D3" s="2" t="inlineStr">
        <is>
          <t>Biopharmaceutics &amp; Dissolution</t>
        </is>
      </c>
      <c r="E3" s="2" t="inlineStr">
        <is>
          <t>In Vitro Dissolution Apparatus 1 (Basket, 100 rpm)</t>
        </is>
      </c>
      <c r="F3" s="2" t="inlineStr">
        <is>
          <t>In Vitro Dissolution Apparatus 2 (Paddle, 50 rpm)</t>
        </is>
      </c>
      <c r="G3" s="2" t="inlineStr">
        <is>
          <t>Higuchi Matrix Release Kinetic model</t>
        </is>
      </c>
      <c r="H3" s="2" t="inlineStr">
        <is>
          <t>First-Order Drug Release Kinetics</t>
        </is>
      </c>
      <c r="I3" s="8" t="inlineStr">
        <is>
          <t>1</t>
        </is>
      </c>
      <c r="J3"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2" t="n"/>
      <c r="L3" s="2" t="inlineStr">
        <is>
          <t>Dissolution testing</t>
        </is>
      </c>
      <c r="M3" s="2" t="inlineStr">
        <is>
          <t>Biopharmaceutics &amp; Dissolution</t>
        </is>
      </c>
      <c r="N3" s="2" t="inlineStr">
        <is>
          <t>PLE-CC1 ปี 2566 Day 1 ข้อ 25</t>
        </is>
      </c>
      <c r="O3" s="2" t="inlineStr">
        <is>
          <t>ข้อสอบจริง</t>
        </is>
      </c>
      <c r="P3" s="2" t="inlineStr">
        <is>
          <t>ปี 2566</t>
        </is>
      </c>
    </row>
    <row r="4" ht="13.2" customHeight="1" s="49">
      <c r="A4" s="8" t="inlineStr">
        <is>
          <t>3</t>
        </is>
      </c>
      <c r="B4" s="2" t="inlineStr">
        <is>
          <t>ให้โครงสร้าง furosemide มา ถามว่าเติมสารอะไรช่วยเพิ่มการละลายของยา</t>
        </is>
      </c>
      <c r="C4" s="2" t="n"/>
      <c r="D4" s="2" t="inlineStr">
        <is>
          <t>Biopharmaceutics &amp; Dissolution</t>
        </is>
      </c>
      <c r="E4" s="2" t="inlineStr">
        <is>
          <t>NaHCO3</t>
        </is>
      </c>
      <c r="F4" s="2" t="inlineStr">
        <is>
          <t>HCl</t>
        </is>
      </c>
      <c r="G4" s="2" t="inlineStr">
        <is>
          <t>NaCl</t>
        </is>
      </c>
      <c r="H4" s="2" t="inlineStr">
        <is>
          <t>สารชื่อยาวหน่อย bu สักอย่าง มั้ง</t>
        </is>
      </c>
      <c r="I4" s="8" t="inlineStr">
        <is>
          <t>1</t>
        </is>
      </c>
      <c r="J4" s="2"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2" t="n"/>
      <c r="L4" s="2" t="inlineStr">
        <is>
          <t>Dissolution testing</t>
        </is>
      </c>
      <c r="M4" s="2" t="inlineStr">
        <is>
          <t>Biopharmaceutics &amp; Dissolution</t>
        </is>
      </c>
      <c r="N4" s="2" t="inlineStr">
        <is>
          <t>PLE_CC1_2564_All_Key ข้อ 20</t>
        </is>
      </c>
      <c r="O4" s="2" t="inlineStr">
        <is>
          <t>ข้อสอบจริง</t>
        </is>
      </c>
      <c r="P4" s="2" t="inlineStr">
        <is>
          <t>ปี 2564</t>
        </is>
      </c>
    </row>
    <row r="5" ht="13.2" customHeight="1" s="49">
      <c r="A5" s="8" t="inlineStr">
        <is>
          <t>4</t>
        </is>
      </c>
      <c r="B5" s="2"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2" t="n"/>
      <c r="D5" s="2" t="inlineStr">
        <is>
          <t>Biopharmaceutics &amp; Dissolution</t>
        </is>
      </c>
      <c r="E5" s="2" t="inlineStr">
        <is>
          <t>ตัดหมู่ carboxylic group</t>
        </is>
      </c>
      <c r="F5" s="2" t="inlineStr">
        <is>
          <t>BCS Class II (Low Solubility, High Permeability)</t>
        </is>
      </c>
      <c r="G5" s="2" t="inlineStr">
        <is>
          <t>BCS Class III (High Solubility, Low Permeability)</t>
        </is>
      </c>
      <c r="H5" s="2" t="inlineStr">
        <is>
          <t>BCS Class IV (Low Solubility, Low Permeability)</t>
        </is>
      </c>
      <c r="I5" s="8" t="inlineStr">
        <is>
          <t>1</t>
        </is>
      </c>
      <c r="J5" s="2" t="inlineStr">
        <is>
          <t>✅ คำตอบที่ถูกต้อง: ข้อ ค. Active Transport โดยอาศัย Reduced Folate Carrier 1 (RFC1)
💡 Background: Methotrexate (MTX) เป็นยาต้านมะเร็งและยากดภูมิคุ้มกันกลุ่ม Antifolate มีโครงสร้างคล้าย Folic acid และมีประจุไอออนที่สภาวะสรีรวิทยา
🎯 ทำไมข้อนี้ถึงถูก: เนื่องจากมีสภาพขั้วสูงและแตกตัวเป็นประจุ MTX ไม่สามารถซึมผ่านเยื่อหุ้มเซลล์ด้วย Passive diffusion ได้ดี จึงต้องเข้าสู่เซลล์เป้าหมายผ่านกระบวนการ Active transport โดยอาศัยตัวขนส่ง Reduced Folate Carrier (RFC1 / SLC19A1)
🔍 ข้ออื่นผิดเพราะอะไร:
- ข้อ ก. Simple passive diffusion: เม็ดเลือดและเซลล์เยื่อบุไม่ยอมให้สารที่มีประจุขั้วสูงผ่าน lipid bilayer ได้เอง
- ข้อ ข. Paracellular transport: ช่องว่างระหว่างเซลล์มีขนาดเล็กเกินไปสำหรับโมเลกุลยาขนาดนี้
- ข้อ ง. Receptor-mediated endocytosis: เกิดขึ้นเฉพาะกับ Folate receptor บางชนิดแต่ไม่ใช่ทางผ่านหลักของ MTX เข้าเซลล์มะเร็งส่วนใหญ่
- ข้อ จ. Efflux transport: เช่น P-glycoprotein ทำหน้าที่ปั๊มยาออกจากเซลล์ ไม่ใช่การนำยาเข้าเซลล์
📖 Guideline อ้างอิง: Goodman &amp; Gilman's: The Pharmacological Basis of Therapeutics (14th Edition)
📌 จุดจำก่อนสอบ: Methotrexate เป็น Antifolate มีขั้วสูง เข้าเซลล์ผ่านตัวขนส่ง RFC1 (Active transport) และเกิด Polyglutamation ภายในเซลล์</t>
        </is>
      </c>
      <c r="K5" s="2" t="n"/>
      <c r="L5" s="2" t="inlineStr">
        <is>
          <t>Diffusion &amp; Fick's laws</t>
        </is>
      </c>
      <c r="M5" s="2" t="inlineStr">
        <is>
          <t>Biopharmaceutics &amp; Dissolution</t>
        </is>
      </c>
      <c r="N5" s="2" t="inlineStr">
        <is>
          <t>PLE_CC1_2564_All_Key ข้อ 36</t>
        </is>
      </c>
      <c r="O5" s="2" t="inlineStr">
        <is>
          <t>ข้อสอบจริง</t>
        </is>
      </c>
      <c r="P5" s="2" t="inlineStr">
        <is>
          <t>ปี 2564</t>
        </is>
      </c>
    </row>
    <row r="6" ht="13.2" customHeight="1" s="49">
      <c r="A6" s="2" t="n">
        <v>4</v>
      </c>
      <c r="B6" s="2" t="inlineStr">
        <is>
          <t>ยา simvastatin มีค่าการละลายต่ำต้องเติมส่วนประกอบใดในตำรับ X ↳monss Monitorsionin finis e eein</t>
        </is>
      </c>
      <c r="C6" s="2" t="n"/>
      <c r="D6" s="2" t="inlineStr">
        <is>
          <t>Croscamellose sodium</t>
        </is>
      </c>
      <c r="E6" s="2" t="inlineStr">
        <is>
          <t>Colloidal silicon dioxide</t>
        </is>
      </c>
      <c r="F6" s="2" t="inlineStr">
        <is>
          <t>Sodium luaryl sulfate</t>
        </is>
      </c>
      <c r="G6" s="2" t="inlineStr">
        <is>
          <t>Microcrystalline cellulose</t>
        </is>
      </c>
      <c r="H6" s="2" t="inlineStr">
        <is>
          <t>Sodium starch glycolate</t>
        </is>
      </c>
      <c r="I6" s="2" t="n">
        <v>1</v>
      </c>
      <c r="J6" s="2"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2" t="n"/>
      <c r="L6" s="2" t="inlineStr">
        <is>
          <t>Dissolution testing</t>
        </is>
      </c>
      <c r="M6" s="2" t="inlineStr">
        <is>
          <t>Product</t>
        </is>
      </c>
      <c r="N6" s="2" t="inlineStr">
        <is>
          <t>ข้อ 77 (PLE_CC1_2562_Key.md)</t>
        </is>
      </c>
      <c r="O6" s="2" t="inlineStr">
        <is>
          <t>ข้อสอบจริง</t>
        </is>
      </c>
      <c r="P6" s="2" t="inlineStr">
        <is>
          <t>ปี 2562</t>
        </is>
      </c>
    </row>
    <row r="7" ht="13.2" customHeight="1" s="49">
      <c r="A7" s="2" t="n">
        <v>5</v>
      </c>
      <c r="B7" s="2"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2" t="n"/>
      <c r="D7" s="2" t="inlineStr">
        <is>
          <t>800 mg/d</t>
        </is>
      </c>
      <c r="E7" s="2" t="inlineStr">
        <is>
          <t>1000 mg/d</t>
        </is>
      </c>
      <c r="F7" s="2" t="inlineStr">
        <is>
          <t>1024 mg/d</t>
        </is>
      </c>
      <c r="G7" s="2" t="inlineStr">
        <is>
          <t>1280 mg/d</t>
        </is>
      </c>
      <c r="H7" s="2" t="inlineStr">
        <is>
          <t>1400 mg/d</t>
        </is>
      </c>
      <c r="I7" s="2" t="n">
        <v>1</v>
      </c>
      <c r="J7" s="2"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2" t="n"/>
      <c r="L7" s="2" t="inlineStr">
        <is>
          <t>Dissolution testing</t>
        </is>
      </c>
      <c r="M7" s="2" t="inlineStr">
        <is>
          <t>Product</t>
        </is>
      </c>
      <c r="N7" s="2" t="inlineStr">
        <is>
          <t>ข้อ 102 (PLE_CC1_2562_Key.md)</t>
        </is>
      </c>
      <c r="O7" s="2" t="inlineStr">
        <is>
          <t>ข้อสอบจริง</t>
        </is>
      </c>
      <c r="P7" s="2" t="inlineStr">
        <is>
          <t>ปี 2562</t>
        </is>
      </c>
    </row>
    <row r="8" ht="13.2" customHeight="1" s="49">
      <c r="A8" s="2" t="n">
        <v>6</v>
      </c>
      <c r="B8" s="2" t="inlineStr">
        <is>
          <t>เภสัชกรต้องการหาค่าการละลายของยา metronidazole ใน solution mixture ของน้ำและ ethanol พบว่า ↳broad spectrum zigen In scien - normal flora 1261 edito C . difficle X memorate X - &gt; milronimo visiste dearos nencla vancomycin, metronidazole 70 % WIW : is metronidazole 100 mg ละลายได้ใน 30% w/w of ethanol ที่ 25 องďศาเซลเซียล อยากทราบว่าค่า electric constant ของ solution mixture เท่าใด กำหนดให้ electric constant ของน้ำเท่ากับ 75 ของ ethanol เท่ากับ 25</t>
        </is>
      </c>
      <c r="C8" s="2" t="n"/>
      <c r="D8" s="2" t="n">
        <v>7.5</v>
      </c>
      <c r="E8" s="2" t="n">
        <v>75</v>
      </c>
      <c r="F8" s="2" t="n">
        <v>60</v>
      </c>
      <c r="G8" s="2" t="n">
        <v>52.5</v>
      </c>
      <c r="H8" s="2" t="n">
        <v>20</v>
      </c>
      <c r="I8" s="2" t="n">
        <v>1</v>
      </c>
      <c r="J8" s="2"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2" t="n"/>
      <c r="L8" s="2" t="inlineStr">
        <is>
          <t>Dissolution testing</t>
        </is>
      </c>
      <c r="M8" s="2" t="inlineStr">
        <is>
          <t>Product</t>
        </is>
      </c>
      <c r="N8" s="2" t="inlineStr">
        <is>
          <t>ข้อ 99 (PLE_CC1_2562_Key.md)</t>
        </is>
      </c>
      <c r="O8" s="2" t="inlineStr">
        <is>
          <t>ข้อสอบจริง</t>
        </is>
      </c>
      <c r="P8" s="2" t="inlineStr">
        <is>
          <t>ปี 2562</t>
        </is>
      </c>
    </row>
    <row r="9" ht="13.2" customHeight="1" s="49">
      <c r="A9" s="2" t="n">
        <v>7</v>
      </c>
      <c r="B9" s="2" t="inlineStr">
        <is>
          <t>จาก monograph ของยา carvedilol ขอใดคือเครื่องมือที่ใชในการ ทดสอบหัวขอการละลาย</t>
        </is>
      </c>
      <c r="C9" s="2" t="n"/>
      <c r="D9" s="2" t="inlineStr">
        <is>
          <t>Reciprocating cylinder</t>
        </is>
      </c>
      <c r="E9" s="2" t="inlineStr">
        <is>
          <t>Paddle apparatus</t>
        </is>
      </c>
      <c r="F9" s="2" t="inlineStr">
        <is>
          <t>Basket apparatus</t>
        </is>
      </c>
      <c r="G9" s="2" t="inlineStr">
        <is>
          <t>Flow-through cell</t>
        </is>
      </c>
      <c r="H9" s="2" t="inlineStr">
        <is>
          <t>Cell cylinder apparatus</t>
        </is>
      </c>
      <c r="I9" s="2" t="n">
        <v>1</v>
      </c>
      <c r="J9" s="2"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2" t="n"/>
      <c r="L9" s="2" t="inlineStr">
        <is>
          <t>Dissolution testing</t>
        </is>
      </c>
      <c r="M9" s="2" t="inlineStr">
        <is>
          <t>Product</t>
        </is>
      </c>
      <c r="N9" s="2" t="inlineStr">
        <is>
          <t>ข้อ 9 (PLE_CC1_2561_Key.md)</t>
        </is>
      </c>
      <c r="O9" s="2" t="inlineStr">
        <is>
          <t>ข้อสอบจริง</t>
        </is>
      </c>
      <c r="P9" s="2" t="inlineStr">
        <is>
          <t>ปี 2561</t>
        </is>
      </c>
    </row>
    <row r="10" ht="13.2" customHeight="1" s="49">
      <c r="A10" s="2" t="n">
        <v>8</v>
      </c>
      <c r="B10" s="2" t="inlineStr">
        <is>
          <t>จากขอ 9 dissolution medium ควรจะมีอุณหภูมิเท!าใด</t>
        </is>
      </c>
      <c r="C10" s="2" t="n"/>
      <c r="D10" s="2" t="inlineStr">
        <is>
          <t>20oC ± 0.5</t>
        </is>
      </c>
      <c r="E10" s="2" t="inlineStr">
        <is>
          <t>20oC ± 2.0</t>
        </is>
      </c>
      <c r="F10" s="2" t="inlineStr">
        <is>
          <t>25oC ± 0.5</t>
        </is>
      </c>
      <c r="G10" s="2" t="inlineStr">
        <is>
          <t>25oC ± 2.0</t>
        </is>
      </c>
      <c r="H10" s="2" t="inlineStr">
        <is>
          <t>37oC ± 0.5 e</t>
        </is>
      </c>
      <c r="I10" s="2" t="n">
        <v>1</v>
      </c>
      <c r="J10" s="2"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2" t="n"/>
      <c r="L10" s="2" t="inlineStr">
        <is>
          <t>Dissolution testing</t>
        </is>
      </c>
      <c r="M10" s="2" t="inlineStr">
        <is>
          <t>Product</t>
        </is>
      </c>
      <c r="N10" s="2" t="inlineStr">
        <is>
          <t>ข้อ 10 (PLE_CC1_2561_Key.md)</t>
        </is>
      </c>
      <c r="O10" s="2" t="inlineStr">
        <is>
          <t>ข้อสอบจริง</t>
        </is>
      </c>
      <c r="P10" s="2" t="inlineStr">
        <is>
          <t>ปี 2561</t>
        </is>
      </c>
    </row>
    <row r="11" ht="13.2" customHeight="1" s="49">
      <c r="A11" s="2" t="n">
        <v>9</v>
      </c>
      <c r="B11" s="2" t="inlineStr">
        <is>
          <t>ให(ข้อมูลการละลายยา มาถามว.าควรทำตำหรับรูปแบบใด</t>
        </is>
      </c>
      <c r="C11" s="2" t="n"/>
      <c r="D11" s="2" t="inlineStr">
        <is>
          <t>Elixir</t>
        </is>
      </c>
      <c r="E11" s="2" t="inlineStr">
        <is>
          <t>Solution</t>
        </is>
      </c>
      <c r="F11" s="2" t="inlineStr">
        <is>
          <t>Tablets</t>
        </is>
      </c>
      <c r="G11" s="2" t="inlineStr">
        <is>
          <t>Capsule</t>
        </is>
      </c>
      <c r="H11" s="2" t="inlineStr">
        <is>
          <t>Suspension</t>
        </is>
      </c>
      <c r="I11" s="2" t="n">
        <v>1</v>
      </c>
      <c r="J11" s="2"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Dissolution testing</t>
        </is>
      </c>
      <c r="M11" s="2" t="inlineStr">
        <is>
          <t>Product</t>
        </is>
      </c>
      <c r="N11" s="2" t="inlineStr">
        <is>
          <t>ข้อ 63 (PLE_CC1_2561_Key.md)</t>
        </is>
      </c>
      <c r="O11" s="2" t="inlineStr">
        <is>
          <t>ข้อสอบจริง</t>
        </is>
      </c>
      <c r="P11" s="2" t="inlineStr">
        <is>
          <t>ปี 2561</t>
        </is>
      </c>
    </row>
    <row r="12" ht="13.2" customHeight="1" s="49">
      <c r="A12" s="2" t="n">
        <v>10</v>
      </c>
      <c r="B12" s="2" t="inlineStr">
        <is>
          <t>หากต(องการเปÅดหนังสือเพื่อค(นคว(า เรื่อง bioequivalence</t>
        </is>
      </c>
      <c r="C12" s="2" t="n"/>
      <c r="D12" s="2" t="inlineStr">
        <is>
          <t>Pharmacotherapy</t>
        </is>
      </c>
      <c r="E12" s="2" t="inlineStr">
        <is>
          <t>Drug interaction fact</t>
        </is>
      </c>
      <c r="F12" s="2" t="inlineStr">
        <is>
          <t>Drug fact and comparison</t>
        </is>
      </c>
      <c r="G12" s="2" t="inlineStr">
        <is>
          <t>Drug information handbook</t>
        </is>
      </c>
      <c r="H12" s="2" t="inlineStr">
        <is>
          <t>United states pharmacopeia</t>
        </is>
      </c>
      <c r="I12" s="2" t="n">
        <v>1</v>
      </c>
      <c r="J12" s="2"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Dissolution testing</t>
        </is>
      </c>
      <c r="M12" s="2" t="inlineStr">
        <is>
          <t>Product</t>
        </is>
      </c>
      <c r="N12" s="2" t="inlineStr">
        <is>
          <t>ข้อ 68 (PLE_CC1_2561_Key.md)</t>
        </is>
      </c>
      <c r="O12" s="2" t="inlineStr">
        <is>
          <t>ข้อสอบจริง</t>
        </is>
      </c>
      <c r="P12" s="2" t="inlineStr">
        <is>
          <t>ปี 2561</t>
        </is>
      </c>
    </row>
    <row r="13" ht="13.2" customHeight="1" s="49">
      <c r="A13" s="2" t="n">
        <v>11</v>
      </c>
      <c r="B13" s="2"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2" t="n"/>
      <c r="D13" s="2" t="inlineStr">
        <is>
          <t>Apparatus ใช้ Basket</t>
        </is>
      </c>
      <c r="E13" s="2" t="inlineStr">
        <is>
          <t>ใช้ Phosphate buffe pH 5.8 ± 2.0</t>
        </is>
      </c>
      <c r="F13" s="2" t="inlineStr">
        <is>
          <t>ละลายให้เสร็จภายใน 60 นาที</t>
        </is>
      </c>
      <c r="G13" s="2" t="inlineStr">
        <is>
          <t>ใช้ Liquid chromatography ในการวิเคราะห์</t>
        </is>
      </c>
      <c r="H13" s="2"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2" t="n">
        <v>1</v>
      </c>
      <c r="J13"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Dissolution testing</t>
        </is>
      </c>
      <c r="M13" s="2" t="inlineStr">
        <is>
          <t>Product</t>
        </is>
      </c>
      <c r="N13" s="2" t="inlineStr">
        <is>
          <t>ข้อ 8 (PLE_CC1_2560 22 April Set 1.md)</t>
        </is>
      </c>
      <c r="O13" s="2" t="inlineStr">
        <is>
          <t>ข้อสอบจริง</t>
        </is>
      </c>
      <c r="P13" s="2" t="inlineStr">
        <is>
          <t>ปี 2560</t>
        </is>
      </c>
    </row>
    <row r="14" ht="13.2" customHeight="1" s="49">
      <c r="A14" s="2" t="n">
        <v>12</v>
      </c>
      <c r="B14" s="2"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2" t="n"/>
      <c r="D14" s="2" t="inlineStr">
        <is>
          <t>Apparatus ใช้ Basket</t>
        </is>
      </c>
      <c r="E14" s="2" t="inlineStr">
        <is>
          <t>ใช้ Phosphate buffer pH 5.8 ± 2.0</t>
        </is>
      </c>
      <c r="F14" s="2" t="inlineStr">
        <is>
          <t>ละลายให้เสร็จภายใน 60 นาที</t>
        </is>
      </c>
      <c r="G14" s="2" t="inlineStr">
        <is>
          <t>ใช้ Liquid chromatography ในการวิเคราะห์</t>
        </is>
      </c>
      <c r="H14" s="2" t="inlineStr">
        <is>
          <t>ผลวิเคราะห์ได้ว่ายา 6 เม็ด แตกตัวภายใน 15 นาที โดยมีตัวยามากกว่า 425 mg ทุกเม็ด แสดงว่าผ่าน</t>
        </is>
      </c>
      <c r="I14" s="2" t="n">
        <v>1</v>
      </c>
      <c r="J14" s="2"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Dissolution testing</t>
        </is>
      </c>
      <c r="M14" s="2" t="inlineStr">
        <is>
          <t>Product</t>
        </is>
      </c>
      <c r="N14" s="2" t="inlineStr">
        <is>
          <t>ข้อ 8 (PLE_CC1_2560 22 April Set 2.md)</t>
        </is>
      </c>
      <c r="O14" s="2" t="inlineStr">
        <is>
          <t>ข้อสอบจริง</t>
        </is>
      </c>
      <c r="P14" s="2" t="inlineStr">
        <is>
          <t>ปี 2560</t>
        </is>
      </c>
    </row>
    <row r="15" ht="13.2" customHeight="1" s="49">
      <c r="A15" s="2" t="n">
        <v>13</v>
      </c>
      <c r="B15" s="2" t="inlineStr">
        <is>
          <t>เทคนิคใดเป็นการเปลี่ยนแปลงคุณสมบัติทางกายภาพของยา เพื่อเพิ่มคุณสมบัติการละลายน้ำ</t>
        </is>
      </c>
      <c r="C15" s="2" t="n"/>
      <c r="D15" s="2" t="inlineStr">
        <is>
          <t>การลดขนาดอนุภาค (Particle size reduction)</t>
        </is>
      </c>
      <c r="E15" s="2" t="inlineStr">
        <is>
          <t>การปรับเปลี่ยนรูปผลึกยา (Modification of the crystal)</t>
        </is>
      </c>
      <c r="F15" s="2" t="inlineStr">
        <is>
          <t>การกระจายยาในตัวพา (Drug dispersion in carriers)</t>
        </is>
      </c>
      <c r="G15" s="2" t="inlineStr">
        <is>
          <t>การทำสารประกอบเชิงซ้อน (Complexation)</t>
        </is>
      </c>
      <c r="H15" s="2" t="inlineStr">
        <is>
          <t>ถูกทุกข้อ</t>
        </is>
      </c>
      <c r="I15" s="2" t="n">
        <v>1</v>
      </c>
      <c r="J15" s="2"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Dissolution testing</t>
        </is>
      </c>
      <c r="M15" s="2" t="inlineStr">
        <is>
          <t>Product</t>
        </is>
      </c>
      <c r="N15" s="2" t="inlineStr">
        <is>
          <t>ข้อ 95 (Pharmtutor_2024_Set2.md)</t>
        </is>
      </c>
      <c r="O15" s="2" t="inlineStr">
        <is>
          <t>Mock</t>
        </is>
      </c>
      <c r="P15" s="2" t="inlineStr">
        <is>
          <t>Mock Pharmtutor 2024</t>
        </is>
      </c>
    </row>
    <row r="16" ht="13.2" customHeight="1" s="49">
      <c r="A16" s="2" t="n">
        <v>14</v>
      </c>
      <c r="B16" s="2" t="inlineStr">
        <is>
          <t>ในการพัฒนาสูตรตำรับ salbutamol MDI หากพบว่าเมื_x001E_อ พ่นยาไปซักระยะแล้วเกิดการตันของหัวพ่นยา จะ แก้ปัญหานี%ได้อย่างไร (1) ปรับเปลี_x0003_ยนระบบ solvent เพื_x0003_อเพิ_x0003_มการละลายยา ?? (2) ตัวเลือกอื_x0003_น ๆ จำไม่ได้ ยาวเกิน</t>
        </is>
      </c>
      <c r="C16" s="2" t="n"/>
      <c r="D16" s="2" t="inlineStr">
        <is>
          <t>BCS Class III (High Solubility, Low Permeability)</t>
        </is>
      </c>
      <c r="E16" s="2" t="inlineStr">
        <is>
          <t>BCS Class IV (Low Solubility, Low Permeability)</t>
        </is>
      </c>
      <c r="F16" s="2" t="inlineStr">
        <is>
          <t>In Vitro Dissolution Apparatus 1 (Basket, 100 rpm)</t>
        </is>
      </c>
      <c r="G16" s="2" t="inlineStr">
        <is>
          <t>In Vitro Dissolution Apparatus 2 (Paddle, 50 rpm)</t>
        </is>
      </c>
      <c r="H16" s="2" t="inlineStr">
        <is>
          <t>Higuchi Matrix Release Kinetic model</t>
        </is>
      </c>
      <c r="I16" s="2" t="n">
        <v>1</v>
      </c>
      <c r="J1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Dissolution testing</t>
        </is>
      </c>
      <c r="M16" s="2" t="inlineStr">
        <is>
          <t>Product</t>
        </is>
      </c>
      <c r="N16" s="2" t="inlineStr">
        <is>
          <t>ข้อ 51 (PLE_CC1_2557.md)</t>
        </is>
      </c>
      <c r="O16" s="2" t="inlineStr">
        <is>
          <t>ข้อสอบจริง</t>
        </is>
      </c>
      <c r="P16" s="2" t="inlineStr">
        <is>
          <t>ปี 2557</t>
        </is>
      </c>
    </row>
    <row r="17" ht="13.2" customHeight="1" s="49">
      <c r="A17" s="2" t="n">
        <v>15</v>
      </c>
      <c r="B17" s="2" t="inlineStr">
        <is>
          <t>ข้อใดไม่ถูกต้องเกี_x001E_ยวกับการบริหารวัคซีนด้วยวิธีการฉีดเข้า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2" t="n"/>
      <c r="D17" s="2" t="inlineStr">
        <is>
          <t>In Vitro Dissolution Apparatus 2 (Paddle, 50 rpm)</t>
        </is>
      </c>
      <c r="E17" s="2" t="inlineStr">
        <is>
          <t>Higuchi Matrix Release Kinetic model</t>
        </is>
      </c>
      <c r="F17" s="2" t="inlineStr">
        <is>
          <t>First-Order Drug Release Kinetics</t>
        </is>
      </c>
      <c r="G17" s="2" t="inlineStr">
        <is>
          <t>Zero-Order Sustained Release Kinetics</t>
        </is>
      </c>
      <c r="H17" s="2" t="inlineStr">
        <is>
          <t>Fickian Diffusion Concentration Gradient</t>
        </is>
      </c>
      <c r="I17" s="2" t="n">
        <v>1</v>
      </c>
      <c r="J17" s="2"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Dissolution testing</t>
        </is>
      </c>
      <c r="M17" s="2" t="inlineStr">
        <is>
          <t>Product</t>
        </is>
      </c>
      <c r="N17" s="2" t="inlineStr">
        <is>
          <t>ข้อ 91 (PLE_CC1_2557.md)</t>
        </is>
      </c>
      <c r="O17" s="2" t="inlineStr">
        <is>
          <t>ข้อสอบจริง</t>
        </is>
      </c>
      <c r="P17" s="2" t="inlineStr">
        <is>
          <t>ปี 2557</t>
        </is>
      </c>
    </row>
    <row r="18" ht="13.2" customHeight="1" s="49">
      <c r="A18" s="2" t="n">
        <v>16</v>
      </c>
      <c r="B18" s="2" t="inlineStr">
        <is>
          <t>มีการละลายน ้าสูง มี permeability สูง</t>
        </is>
      </c>
      <c r="C18" s="2" t="n"/>
      <c r="D18" s="2" t="inlineStr">
        <is>
          <t>Zero-Order Sustained Release Kinetics</t>
        </is>
      </c>
      <c r="E18" s="2" t="inlineStr">
        <is>
          <t>Fickian Diffusion Concentration Gradient</t>
        </is>
      </c>
      <c r="F18" s="2" t="inlineStr">
        <is>
          <t>BCS Class I (High Solubility, High Permeability)</t>
        </is>
      </c>
      <c r="G18" s="2" t="inlineStr">
        <is>
          <t>BCS Class II (Low Solubility, High Permeability)</t>
        </is>
      </c>
      <c r="H18" s="2" t="inlineStr">
        <is>
          <t>BCS Class III (High Solubility, Low Permeability)</t>
        </is>
      </c>
      <c r="I18" s="2" t="n">
        <v>1</v>
      </c>
      <c r="J1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BCS Classification</t>
        </is>
      </c>
      <c r="M18" s="2" t="inlineStr">
        <is>
          <t>Product</t>
        </is>
      </c>
      <c r="N18" s="2" t="inlineStr">
        <is>
          <t>ข้อ 1 (PLE_CC1_2556.md)</t>
        </is>
      </c>
      <c r="O18" s="2" t="inlineStr">
        <is>
          <t>ข้อสอบจริง</t>
        </is>
      </c>
      <c r="P18" s="2" t="inlineStr">
        <is>
          <t>ปี 2556</t>
        </is>
      </c>
    </row>
    <row r="19" ht="13.2" customHeight="1" s="49">
      <c r="A19" s="2" t="n">
        <v>17</v>
      </c>
      <c r="B19" s="2" t="inlineStr">
        <is>
          <t>มีการละลายน ้าสูง มี permeability ต ่า</t>
        </is>
      </c>
      <c r="C19" s="2" t="n"/>
      <c r="D19" s="2" t="inlineStr">
        <is>
          <t>BCS Class II (Low Solubility, High Permeability)</t>
        </is>
      </c>
      <c r="E19" s="2" t="inlineStr">
        <is>
          <t>BCS Class III (High Solubility, Low Permeability)</t>
        </is>
      </c>
      <c r="F19" s="2" t="inlineStr">
        <is>
          <t>BCS Class IV (Low Solubility, Low Permeability)</t>
        </is>
      </c>
      <c r="G19" s="2" t="inlineStr">
        <is>
          <t>In Vitro Dissolution Apparatus 1 (Basket, 100 rpm)</t>
        </is>
      </c>
      <c r="H19" s="2" t="inlineStr">
        <is>
          <t>In Vitro Dissolution Apparatus 2 (Paddle, 50 rpm)</t>
        </is>
      </c>
      <c r="I19" s="2" t="n">
        <v>1</v>
      </c>
      <c r="J1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BCS Classification</t>
        </is>
      </c>
      <c r="M19" s="2" t="inlineStr">
        <is>
          <t>Product</t>
        </is>
      </c>
      <c r="N19" s="2" t="inlineStr">
        <is>
          <t>ข้อ 2 (PLE_CC1_2556.md)</t>
        </is>
      </c>
      <c r="O19" s="2" t="inlineStr">
        <is>
          <t>ข้อสอบจริง</t>
        </is>
      </c>
      <c r="P19" s="2" t="inlineStr">
        <is>
          <t>ปี 2556</t>
        </is>
      </c>
    </row>
    <row r="20" ht="13.2" customHeight="1" s="49">
      <c r="A20" s="2" t="n">
        <v>18</v>
      </c>
      <c r="B20" s="2" t="inlineStr">
        <is>
          <t>มีการละลายน ้าต ่า มี permeability สูง</t>
        </is>
      </c>
      <c r="C20" s="2" t="n"/>
      <c r="D20" s="2" t="inlineStr">
        <is>
          <t>In Vitro Dissolution Apparatus 1 (Basket, 100 rpm)</t>
        </is>
      </c>
      <c r="E20" s="2" t="inlineStr">
        <is>
          <t>In Vitro Dissolution Apparatus 2 (Paddle, 50 rpm)</t>
        </is>
      </c>
      <c r="F20" s="2" t="inlineStr">
        <is>
          <t>Higuchi Matrix Release Kinetic model</t>
        </is>
      </c>
      <c r="G20" s="2" t="inlineStr">
        <is>
          <t>First-Order Drug Release Kinetics</t>
        </is>
      </c>
      <c r="H20" s="2" t="inlineStr">
        <is>
          <t>Zero-Order Sustained Release Kinetics</t>
        </is>
      </c>
      <c r="I20" s="2" t="n">
        <v>1</v>
      </c>
      <c r="J2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BCS Classification</t>
        </is>
      </c>
      <c r="M20" s="2" t="inlineStr">
        <is>
          <t>Product</t>
        </is>
      </c>
      <c r="N20" s="2" t="inlineStr">
        <is>
          <t>ข้อ 3 (PLE_CC1_2556.md)</t>
        </is>
      </c>
      <c r="O20" s="2" t="inlineStr">
        <is>
          <t>ข้อสอบจริง</t>
        </is>
      </c>
      <c r="P20" s="2" t="inlineStr">
        <is>
          <t>ปี 2556</t>
        </is>
      </c>
    </row>
    <row r="21" ht="13.2" customHeight="1" s="49">
      <c r="A21" s="2" t="n">
        <v>19</v>
      </c>
      <c r="B21" s="2" t="inlineStr">
        <is>
          <t>มีการละลายน ้าต ่า มี permeability ต ่า</t>
        </is>
      </c>
      <c r="C21" s="2" t="n"/>
      <c r="D21" s="2" t="inlineStr">
        <is>
          <t>First-Order Drug Release Kinetics</t>
        </is>
      </c>
      <c r="E21" s="2" t="inlineStr">
        <is>
          <t>Zero-Order Sustained Release Kinetics</t>
        </is>
      </c>
      <c r="F21" s="2" t="inlineStr">
        <is>
          <t>Fickian Diffusion Concentration Gradient</t>
        </is>
      </c>
      <c r="G21" s="2" t="inlineStr">
        <is>
          <t>BCS Class I (High Solubility, High Permeability)</t>
        </is>
      </c>
      <c r="H21" s="2" t="inlineStr">
        <is>
          <t>BCS Class II (Low Solubility, High Permeability)</t>
        </is>
      </c>
      <c r="I21" s="2" t="n">
        <v>1</v>
      </c>
      <c r="J2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BCS Classification</t>
        </is>
      </c>
      <c r="M21" s="2" t="inlineStr">
        <is>
          <t>Product</t>
        </is>
      </c>
      <c r="N21" s="2" t="inlineStr">
        <is>
          <t>ข้อ 4 (PLE_CC1_2556.md)</t>
        </is>
      </c>
      <c r="O21" s="2" t="inlineStr">
        <is>
          <t>ข้อสอบจริง</t>
        </is>
      </c>
      <c r="P21" s="2" t="inlineStr">
        <is>
          <t>ปี 2556</t>
        </is>
      </c>
    </row>
    <row r="22" ht="13.2" customHeight="1" s="49">
      <c r="A22" s="2" t="n">
        <v>20</v>
      </c>
      <c r="B22" s="2" t="inlineStr">
        <is>
          <t>ยา A ละลายดีกว่ายา B เพราะสูตรที่มี Mg stearate มากกว่า ช่วยให้การละลายดีขึ้น</t>
        </is>
      </c>
      <c r="C22" s="2" t="n"/>
      <c r="D22" s="2" t="inlineStr">
        <is>
          <t>BCS Class I (High Solubility, High Permeability)</t>
        </is>
      </c>
      <c r="E22" s="2" t="inlineStr">
        <is>
          <t>BCS Class II (Low Solubility, High Permeability)</t>
        </is>
      </c>
      <c r="F22" s="2" t="inlineStr">
        <is>
          <t>BCS Class III (High Solubility, Low Permeability)</t>
        </is>
      </c>
      <c r="G22" s="2" t="inlineStr">
        <is>
          <t>BCS Class IV (Low Solubility, Low Permeability)</t>
        </is>
      </c>
      <c r="H22" s="2" t="inlineStr">
        <is>
          <t>In Vitro Dissolution Apparatus 1 (Basket, 100 rpm)</t>
        </is>
      </c>
      <c r="I22" s="2" t="n">
        <v>1</v>
      </c>
      <c r="J2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Dissolution testing</t>
        </is>
      </c>
      <c r="M22" s="2" t="inlineStr">
        <is>
          <t>Product</t>
        </is>
      </c>
      <c r="N22" s="2" t="inlineStr">
        <is>
          <t>ข้อ 3 (PLE_CC1_2555 Day 2.md)</t>
        </is>
      </c>
      <c r="O22" s="2" t="inlineStr">
        <is>
          <t>ข้อสอบจริง</t>
        </is>
      </c>
      <c r="P22" s="2" t="inlineStr">
        <is>
          <t>ปี 2555</t>
        </is>
      </c>
    </row>
    <row r="23" ht="13.2" customHeight="1" s="49">
      <c r="A23" s="2" t="n">
        <v>21</v>
      </c>
      <c r="B23" s="2"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2" t="n"/>
      <c r="D23" s="2" t="inlineStr">
        <is>
          <t>ผู้ป่วยเป็นโรคอะไร</t>
        </is>
      </c>
      <c r="E23" s="2" t="inlineStr">
        <is>
          <t>In Vitro Dissolution Apparatus 1 (Basket, 100 rpm)</t>
        </is>
      </c>
      <c r="F23" s="2" t="inlineStr">
        <is>
          <t>In Vitro Dissolution Apparatus 2 (Paddle, 50 rpm)</t>
        </is>
      </c>
      <c r="G23" s="2" t="inlineStr">
        <is>
          <t>Higuchi Matrix Release Kinetic model</t>
        </is>
      </c>
      <c r="H23" s="2" t="inlineStr">
        <is>
          <t>First-Order Drug Release Kinetics</t>
        </is>
      </c>
      <c r="I23" s="2" t="n">
        <v>1</v>
      </c>
      <c r="J23" s="2"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Dissolution testing</t>
        </is>
      </c>
      <c r="M23" s="2" t="inlineStr">
        <is>
          <t>Product</t>
        </is>
      </c>
      <c r="N23" s="2" t="inlineStr">
        <is>
          <t>ข้อ 5 (PLE_CC1_2555 Day 2.md)</t>
        </is>
      </c>
      <c r="O23" s="2" t="inlineStr">
        <is>
          <t>ข้อสอบจริง</t>
        </is>
      </c>
      <c r="P23" s="2" t="inlineStr">
        <is>
          <t>ปี 2555</t>
        </is>
      </c>
    </row>
    <row r="24" ht="13.2" customHeight="1" s="49">
      <c r="A24" s="2" t="n">
        <v>22</v>
      </c>
      <c r="B24" s="2" t="inlineStr">
        <is>
          <t>เพิ่มการละลายน ้า</t>
        </is>
      </c>
      <c r="C24" s="2" t="n"/>
      <c r="D24" s="2" t="inlineStr">
        <is>
          <t>Higuchi Matrix Release Kinetic model</t>
        </is>
      </c>
      <c r="E24" s="2" t="inlineStr">
        <is>
          <t>First-Order Drug Release Kinetics</t>
        </is>
      </c>
      <c r="F24" s="2" t="inlineStr">
        <is>
          <t>Zero-Order Sustained Release Kinetics</t>
        </is>
      </c>
      <c r="G24" s="2" t="inlineStr">
        <is>
          <t>Fickian Diffusion Concentration Gradient</t>
        </is>
      </c>
      <c r="H24" s="2" t="inlineStr">
        <is>
          <t>BCS Class I (High Solubility, High Permeability)</t>
        </is>
      </c>
      <c r="I24" s="2" t="n">
        <v>1</v>
      </c>
      <c r="J2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Dissolution testing</t>
        </is>
      </c>
      <c r="M24" s="2" t="inlineStr">
        <is>
          <t>Product</t>
        </is>
      </c>
      <c r="N24" s="2" t="inlineStr">
        <is>
          <t>ข้อ 3 (PLE_CC1_2555 Day 2.md)</t>
        </is>
      </c>
      <c r="O24" s="2" t="inlineStr">
        <is>
          <t>ข้อสอบจริง</t>
        </is>
      </c>
      <c r="P24" s="2" t="inlineStr">
        <is>
          <t>ปี 2555</t>
        </is>
      </c>
    </row>
    <row r="25" ht="13.2" customHeight="1" s="49">
      <c r="A25" s="2" t="n">
        <v>23</v>
      </c>
      <c r="B25" s="2"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2" t="n"/>
      <c r="D25" s="2" t="inlineStr">
        <is>
          <t>ผ่าน S1</t>
        </is>
      </c>
      <c r="E25" s="2" t="inlineStr">
        <is>
          <t>ผ่าน S2</t>
        </is>
      </c>
      <c r="F25" s="2" t="inlineStr">
        <is>
          <t>ผ่าน S3</t>
        </is>
      </c>
      <c r="G25" s="2" t="inlineStr">
        <is>
          <t>ผ่าน S1 แต่ไม่ผ่าน S2</t>
        </is>
      </c>
      <c r="H25" s="2" t="inlineStr">
        <is>
          <t>ไม่ผ่าน S2 แต่ผ่าน S3 70.ยาในข้อใดต่อไปนี้ที่ไม่สามารถเบิกได้ด้วยสิทธิข้าราชการ</t>
        </is>
      </c>
      <c r="I25" s="2" t="n">
        <v>1</v>
      </c>
      <c r="J25" s="2"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Dissolution testing</t>
        </is>
      </c>
      <c r="M25" s="2" t="inlineStr">
        <is>
          <t>Product</t>
        </is>
      </c>
      <c r="N25" s="2" t="inlineStr">
        <is>
          <t>ข้อ 69 (PLE_CC1_2554 SET1.md)</t>
        </is>
      </c>
      <c r="O25" s="2" t="inlineStr">
        <is>
          <t>ข้อสอบจริง</t>
        </is>
      </c>
      <c r="P25" s="2" t="inlineStr">
        <is>
          <t>ปี 2554</t>
        </is>
      </c>
    </row>
    <row r="26" ht="13.2" customHeight="1" s="49">
      <c r="A26" s="2" t="n">
        <v>24</v>
      </c>
      <c r="B26" s="2"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2" t="n"/>
      <c r="D26" s="2" t="inlineStr">
        <is>
          <t>BCS Class III (High Solubility, Low Permeability)</t>
        </is>
      </c>
      <c r="E26" s="2" t="inlineStr">
        <is>
          <t>BCS Class IV (Low Solubility, Low Permeability)</t>
        </is>
      </c>
      <c r="F26" s="2" t="inlineStr">
        <is>
          <t>In Vitro Dissolution Apparatus 1 (Basket, 100 rpm)</t>
        </is>
      </c>
      <c r="G26" s="2" t="inlineStr">
        <is>
          <t>In Vitro Dissolution Apparatus 2 (Paddle, 50 rpm)</t>
        </is>
      </c>
      <c r="H26" s="2" t="inlineStr">
        <is>
          <t>Higuchi Matrix Release Kinetic model</t>
        </is>
      </c>
      <c r="I26" s="2" t="n">
        <v>1</v>
      </c>
      <c r="J2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Dissolution testing</t>
        </is>
      </c>
      <c r="M26" s="2" t="inlineStr">
        <is>
          <t>Product</t>
        </is>
      </c>
      <c r="N26" s="2" t="inlineStr">
        <is>
          <t>ข้อ 4 (PLE_CC1_2554 SET2.md)</t>
        </is>
      </c>
      <c r="O26" s="2" t="inlineStr">
        <is>
          <t>ข้อสอบจริง</t>
        </is>
      </c>
      <c r="P26" s="2" t="inlineStr">
        <is>
          <t>ปี 2554</t>
        </is>
      </c>
    </row>
    <row r="27" ht="13.2" customHeight="1" s="49">
      <c r="A27" s="2" t="n">
        <v>25</v>
      </c>
      <c r="B27" s="2"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2" t="n"/>
      <c r="D27" s="2" t="inlineStr">
        <is>
          <t>In Vitro Dissolution Apparatus 2 (Paddle, 50 rpm)</t>
        </is>
      </c>
      <c r="E27" s="2" t="inlineStr">
        <is>
          <t>Higuchi Matrix Release Kinetic model</t>
        </is>
      </c>
      <c r="F27" s="2" t="inlineStr">
        <is>
          <t>First-Order Drug Release Kinetics</t>
        </is>
      </c>
      <c r="G27" s="2" t="inlineStr">
        <is>
          <t>Zero-Order Sustained Release Kinetics</t>
        </is>
      </c>
      <c r="H27" s="2" t="inlineStr">
        <is>
          <t>Fickian Diffusion Concentration Gradient</t>
        </is>
      </c>
      <c r="I27" s="2" t="n">
        <v>4</v>
      </c>
      <c r="J27" s="2"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Dissolution testing</t>
        </is>
      </c>
      <c r="M27" s="2" t="inlineStr">
        <is>
          <t>Product</t>
        </is>
      </c>
      <c r="N27" s="2" t="inlineStr">
        <is>
          <t>ข้อ 8 (PLE_CC1_2554 SET2.md)</t>
        </is>
      </c>
      <c r="O27" s="2" t="inlineStr">
        <is>
          <t>ข้อสอบจริง</t>
        </is>
      </c>
      <c r="P27" s="2" t="inlineStr">
        <is>
          <t>ปี 2554</t>
        </is>
      </c>
    </row>
    <row r="28" ht="13.2" customHeight="1" s="49">
      <c r="A28" s="2" t="n">
        <v>26</v>
      </c>
      <c r="B28" s="2" t="inlineStr">
        <is>
          <t>มีระยะเวลาที่ยาเริ่มออกฤทธิ์ช้าเนื่องจากโครงสร้างมีขนาดใหญุใช้ เวลานานในการละลาย(ก)</t>
        </is>
      </c>
      <c r="C28" s="2" t="n"/>
      <c r="D28" s="2" t="inlineStr">
        <is>
          <t>Zero-Order Sustained Release Kinetics</t>
        </is>
      </c>
      <c r="E28" s="2" t="inlineStr">
        <is>
          <t>Fickian Diffusion Concentration Gradient</t>
        </is>
      </c>
      <c r="F28" s="2" t="inlineStr">
        <is>
          <t>BCS Class I (High Solubility, High Permeability)</t>
        </is>
      </c>
      <c r="G28" s="2" t="inlineStr">
        <is>
          <t>BCS Class II (Low Solubility, High Permeability)</t>
        </is>
      </c>
      <c r="H28" s="2" t="inlineStr">
        <is>
          <t>BCS Class III (High Solubility, Low Permeability)</t>
        </is>
      </c>
      <c r="I28" s="2" t="n">
        <v>1</v>
      </c>
      <c r="J28" s="2"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Dissolution testing</t>
        </is>
      </c>
      <c r="M28" s="2" t="inlineStr">
        <is>
          <t>Product</t>
        </is>
      </c>
      <c r="N28" s="2" t="inlineStr">
        <is>
          <t>ข้อ 5 (PLE_CC1_2547.md)</t>
        </is>
      </c>
      <c r="O28" s="2" t="inlineStr">
        <is>
          <t>ข้อสอบจริง</t>
        </is>
      </c>
      <c r="P28" s="2" t="inlineStr">
        <is>
          <t>ปี 2547</t>
        </is>
      </c>
    </row>
    <row r="29" ht="13.2" customHeight="1" s="49">
      <c r="A29" s="2" t="n">
        <v>27</v>
      </c>
      <c r="B29" s="2"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2" t="n"/>
      <c r="D29" s="2" t="inlineStr">
        <is>
          <t>BCS Class II (Low Solubility, High Permeability)</t>
        </is>
      </c>
      <c r="E29" s="2" t="inlineStr">
        <is>
          <t>BCS Class III (High Solubility, Low Permeability)</t>
        </is>
      </c>
      <c r="F29" s="2" t="inlineStr">
        <is>
          <t>BCS Class IV (Low Solubility, Low Permeability)</t>
        </is>
      </c>
      <c r="G29" s="2" t="inlineStr">
        <is>
          <t>In Vitro Dissolution Apparatus 1 (Basket, 100 rpm)</t>
        </is>
      </c>
      <c r="H29" s="2" t="inlineStr">
        <is>
          <t>In Vitro Dissolution Apparatus 2 (Paddle, 50 rpm)</t>
        </is>
      </c>
      <c r="I29" s="2" t="n">
        <v>1</v>
      </c>
      <c r="J2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Dissolution testing</t>
        </is>
      </c>
      <c r="M29" s="2" t="inlineStr">
        <is>
          <t>Product</t>
        </is>
      </c>
      <c r="N29" s="2" t="inlineStr">
        <is>
          <t>ข้อ 2 (PLE_CC1_2533.md)</t>
        </is>
      </c>
      <c r="O29" s="2" t="inlineStr">
        <is>
          <t>ข้อสอบจริง</t>
        </is>
      </c>
      <c r="P29" s="2" t="inlineStr">
        <is>
          <t>ปี 2533</t>
        </is>
      </c>
    </row>
    <row r="30" ht="13.2" customHeight="1" s="49">
      <c r="A30" s="2" t="n">
        <v>28</v>
      </c>
      <c r="B30" s="2"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2" t="n"/>
      <c r="D30" s="2" t="inlineStr">
        <is>
          <t>In Vitro Dissolution Apparatus 1 (Basket, 100 rpm)</t>
        </is>
      </c>
      <c r="E30" s="2" t="inlineStr">
        <is>
          <t>In Vitro Dissolution Apparatus 2 (Paddle, 50 rpm)</t>
        </is>
      </c>
      <c r="F30" s="2" t="inlineStr">
        <is>
          <t>Higuchi Matrix Release Kinetic model</t>
        </is>
      </c>
      <c r="G30" s="2" t="inlineStr">
        <is>
          <t>First-Order Drug Release Kinetics</t>
        </is>
      </c>
      <c r="H30" s="2" t="inlineStr">
        <is>
          <t>Zero-Order Sustained Release Kinetics</t>
        </is>
      </c>
      <c r="I30" s="2" t="n">
        <v>1</v>
      </c>
      <c r="J30" s="2"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Diffusion &amp; Fick's laws</t>
        </is>
      </c>
      <c r="M30" s="2" t="inlineStr">
        <is>
          <t>Product</t>
        </is>
      </c>
      <c r="N30" s="2" t="inlineStr">
        <is>
          <t>ข้อ 5 (PLE_CC1_2533.md)</t>
        </is>
      </c>
      <c r="O30" s="2" t="inlineStr">
        <is>
          <t>ข้อสอบจริง</t>
        </is>
      </c>
      <c r="P30" s="2" t="inlineStr">
        <is>
          <t>ปี 2533</t>
        </is>
      </c>
    </row>
    <row r="31" ht="13.2" customHeight="1" s="49">
      <c r="A31" s="2" t="n">
        <v>29</v>
      </c>
      <c r="B31" s="2" t="inlineStr">
        <is>
          <t>metabolize โดยเอนไซม์ต่างๆ จนได้สารหรือตัวยาที่ออกฤทธิ์ ซึ่งการทำยาให้อยู่ในรูป prodrugs เป็นการ ปรับโครงสร้างของยา ส่วนใหญ่มักทำให้อยู่ในรูป ester วัตถุประสงค์ของการทำยาให้อยู่ในรูป prodrugs ได้แก่ เพิ่มการละลาย เพิ่ม permeability เพิ่ม Stability เพิ่ม Prolong activity ให้ยาออกฤทธิ์ได้นานขึ้น ลด toxicity โดยให้ยาไปยัง target site ได้ดีขึ้น ลดอาการข้างเคียงต่างๆ แก้ปัญหาในการเตรียมยารูปแบบต่างๆ จากตัวเลือก D ยา Ampiroxicam เห็นว่าโครงสร้างมีการทำให้อยู่ในรูป ester เมื่อเข้าร่างกายจะถูก metabolize โดยเอนไซม์ esterase แล้วได้ active drug ซึ่งก็คือ Piroxicam ส่วนตัวเลือกข้ออื่นๆไม่ได้มี โครงสร้างที่ถูกปรับเปลี่ยน เป็น active drug อยู่แล้ว เมื่อเข้าสู่ร่างกายก็สามารถออกฤทธิ์ได้เลย</t>
        </is>
      </c>
      <c r="C31" s="2" t="n"/>
      <c r="D31" s="2" t="inlineStr">
        <is>
          <t>First-Order Drug Release Kinetics</t>
        </is>
      </c>
      <c r="E31" s="2" t="inlineStr">
        <is>
          <t>Zero-Order Sustained Release Kinetics</t>
        </is>
      </c>
      <c r="F31" s="2" t="inlineStr">
        <is>
          <t>Fickian Diffusion Concentration Gradient</t>
        </is>
      </c>
      <c r="G31" s="2" t="inlineStr">
        <is>
          <t>BCS Class I (High Solubility, High Permeability)</t>
        </is>
      </c>
      <c r="H31" s="2" t="inlineStr">
        <is>
          <t>BCS Class II (Low Solubility, High Permeability)</t>
        </is>
      </c>
      <c r="I31" s="2" t="n">
        <v>2</v>
      </c>
      <c r="J31" s="2"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BCS Classification</t>
        </is>
      </c>
      <c r="M31" s="2" t="inlineStr">
        <is>
          <t>Product</t>
        </is>
      </c>
      <c r="N31" s="2" t="inlineStr">
        <is>
          <t>ข้อ 14 (PLE_CC1_Practice_Exam.md)</t>
        </is>
      </c>
      <c r="O31" s="2" t="inlineStr">
        <is>
          <t>Mock</t>
        </is>
      </c>
      <c r="P31" s="2" t="inlineStr">
        <is>
          <t>Mock สภาเภสัชฯ Practice</t>
        </is>
      </c>
    </row>
    <row r="32" ht="13.2" customHeight="1" s="49">
      <c r="A32" s="2" t="n">
        <v>30</v>
      </c>
      <c r="B32" s="2"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2" t="n"/>
      <c r="D32" s="2" t="inlineStr">
        <is>
          <t>BCS Class I (High Solubility, High Permeability)</t>
        </is>
      </c>
      <c r="E32" s="2" t="inlineStr">
        <is>
          <t>BCS Class II (Low Solubility, High Permeability)</t>
        </is>
      </c>
      <c r="F32" s="2" t="inlineStr">
        <is>
          <t>BCS Class III (High Solubility, Low Permeability)</t>
        </is>
      </c>
      <c r="G32" s="2" t="inlineStr">
        <is>
          <t>BCS Class IV (Low Solubility, Low Permeability)</t>
        </is>
      </c>
      <c r="H32" s="2" t="inlineStr">
        <is>
          <t>In Vitro Dissolution Apparatus 1 (Basket, 100 rpm)</t>
        </is>
      </c>
      <c r="I32" s="2" t="n">
        <v>1</v>
      </c>
      <c r="J32" s="2" t="inlineStr">
        <is>
          <t>✅ คำตอบที่ถูกต้อง: ข้อ ข. ปริมาณยารูปอิสระ (Free drug concentration) จะเพิ่มขึ้นแบบไม่เป็นสัดส่วนตรงกับขนาดยา (Non-linear)
💡 Background: การกระจายตัวของยาที่มีการจับกับโปรตีนในพลาสมาสูง (High protein binding เช่น &gt; 90%) เมื่อความเข้มข้นของยาเพิ่มขึ้นจนเกินความจุของโปรตีน (Saturable binding)
🎯 ทำไมข้อนี้ถึงถูก: เมื่อจุดจับบน Albumin หรือ Alpha-1-acid glycoprotein อิ่มตัว ตัวยาที่ให้เพิ่มขึ้นจะไม่สามารถจับกับโปรตีนได้อีกต่อไป ส่งผลให้สัดส่วนยารูปอิสระ (Unbound fraction / fu) และความเข้มข้นของ Free drug ในพลาสมาพุ่งสูงขึ้นอย่างรวดเร็วแบบ Non-linear เสี่ยงต่อการเกิดพิษ
🔍 ข้ออื่นผิดเพราะอะไร:
- ข้อ ก. ปริมาณ Free drug คงที่: ผิด เพราะเมื่อโปรตีนอิ่มตัว ยาใหม่ที่เข้ามาทั้งหมดจะกลายเป็น Free drug
- ข้อ ค. Volume of distribution (Vd) ลดลง: เมื่อ Free drug เพิ่มขึ้น ยาจะแพร่เข้าสู่เนื้อเยื่อได้มากขึ้น ทำให้ Vd เพิ่มขึ้น
- ข้อ ง. ค่าครึ่งชีวิต (t1/2) สั้นลงเสมอ: ขึ้นอยู่กับ Clearance ของอวัยวะกำจัดยา อาจคงที่หรือเพิ่มขึ้นหากเอนไซม์กำจัดยาอิ่มตัวร่วมด้วย
- ข้อ จ. ยาจะหยุดออกฤทธิ์ทางเภสัชวิทยา: ยารูปอิสระคือรูปที่ออกฤทธิ์ทางเภสัชวิทยา เมื่อ Free drug เพิ่ม ฤทธิ์และพิษจะเพิ่มขึ้น
📖 Guideline อ้างอิง: Applied Biopharmaceutics &amp; Pharmacokinetics (8th Edition, Shargel &amp; Yu)
📌 จุดจำก่อนสอบ: เมื่อ Protein binding อิ่มตัว Free drug concentration จะเพิ่มขึ้นก้าวกระโดด (Non-linear) เพิ่มความเสี่ยง ADR</t>
        </is>
      </c>
      <c r="K32" s="2" t="n"/>
      <c r="L32" s="2" t="inlineStr">
        <is>
          <t>Diffusion &amp; Fick's laws</t>
        </is>
      </c>
      <c r="M32" s="2" t="inlineStr">
        <is>
          <t>Product</t>
        </is>
      </c>
      <c r="N32" s="2" t="inlineStr">
        <is>
          <t>ข้อ 2 (PLE_CC1_Practice_Exam.md)</t>
        </is>
      </c>
      <c r="O32" s="2" t="inlineStr">
        <is>
          <t>Mock</t>
        </is>
      </c>
      <c r="P32" s="2" t="inlineStr">
        <is>
          <t>Mock สภาเภสัชฯ Practice</t>
        </is>
      </c>
    </row>
    <row r="33" ht="13.2" customHeight="1" s="49">
      <c r="A33" s="2" t="n">
        <v>31</v>
      </c>
      <c r="B33" s="2" t="inlineStr">
        <is>
          <t>Bioavailability</t>
        </is>
      </c>
      <c r="C33" s="2" t="n"/>
      <c r="D33" s="2" t="inlineStr">
        <is>
          <t>BCS Class IV (Low Solubility, Low Permeability)</t>
        </is>
      </c>
      <c r="E33" s="2" t="inlineStr">
        <is>
          <t>In Vitro Dissolution Apparatus 1 (Basket, 100 rpm)</t>
        </is>
      </c>
      <c r="F33" s="2" t="inlineStr">
        <is>
          <t>In Vitro Dissolution Apparatus 2 (Paddle, 50 rpm)</t>
        </is>
      </c>
      <c r="G33" s="2" t="inlineStr">
        <is>
          <t>Higuchi Matrix Release Kinetic model</t>
        </is>
      </c>
      <c r="H33" s="2" t="inlineStr">
        <is>
          <t>First-Order Drug Release Kinetics</t>
        </is>
      </c>
      <c r="I33" s="2" t="n">
        <v>1</v>
      </c>
      <c r="J33" s="2"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Dissolution testing</t>
        </is>
      </c>
      <c r="M33" s="2" t="inlineStr">
        <is>
          <t>Product</t>
        </is>
      </c>
      <c r="N33" s="2" t="inlineStr">
        <is>
          <t>ข้อ 3 (PLE_CC1_Key_Rx20_UBU.md)</t>
        </is>
      </c>
      <c r="O33" s="2" t="inlineStr">
        <is>
          <t>Mock</t>
        </is>
      </c>
      <c r="P33" s="2" t="inlineStr">
        <is>
          <t>Mock Rx20 UBU</t>
        </is>
      </c>
    </row>
    <row r="34" ht="13.2" customHeight="1" s="49">
      <c r="A34" s="2" t="n">
        <v>32</v>
      </c>
      <c r="B34" s="2"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2" t="n"/>
      <c r="D34" s="2" t="inlineStr">
        <is>
          <t>Higuchi Matrix Release Kinetic model</t>
        </is>
      </c>
      <c r="E34" s="2" t="inlineStr">
        <is>
          <t>First-Order Drug Release Kinetics</t>
        </is>
      </c>
      <c r="F34" s="2" t="inlineStr">
        <is>
          <t>Zero-Order Sustained Release Kinetics</t>
        </is>
      </c>
      <c r="G34" s="2" t="inlineStr">
        <is>
          <t>Fickian Diffusion Concentration Gradient</t>
        </is>
      </c>
      <c r="H34" s="2" t="inlineStr">
        <is>
          <t>BCS Class I (High Solubility, High Permeability)</t>
        </is>
      </c>
      <c r="I34" s="2" t="n">
        <v>1</v>
      </c>
      <c r="J34" s="2"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BCS Classification</t>
        </is>
      </c>
      <c r="M34" s="2" t="inlineStr">
        <is>
          <t>Product</t>
        </is>
      </c>
      <c r="N34" s="2" t="inlineStr">
        <is>
          <t>ข้อ 2 (PLE_CC1_Key_Rx20_UBU.md)</t>
        </is>
      </c>
      <c r="O34" s="2" t="inlineStr">
        <is>
          <t>Mock</t>
        </is>
      </c>
      <c r="P34" s="2" t="inlineStr">
        <is>
          <t>Mock Rx20 UBU</t>
        </is>
      </c>
    </row>
    <row r="35" ht="13.2" customHeight="1" s="49">
      <c r="A35" s="2" t="n">
        <v>33</v>
      </c>
      <c r="B35" s="2" t="inlineStr">
        <is>
          <t>เพิ่มการละลายน้ำ</t>
        </is>
      </c>
      <c r="C35" s="2" t="n"/>
      <c r="D35" s="2" t="inlineStr">
        <is>
          <t>Fickian Diffusion Concentration Gradient</t>
        </is>
      </c>
      <c r="E35" s="2" t="inlineStr">
        <is>
          <t>BCS Class I (High Solubility, High Permeability)</t>
        </is>
      </c>
      <c r="F35" s="2" t="inlineStr">
        <is>
          <t>BCS Class II (Low Solubility, High Permeability)</t>
        </is>
      </c>
      <c r="G35" s="2" t="inlineStr">
        <is>
          <t>BCS Class III (High Solubility, Low Permeability)</t>
        </is>
      </c>
      <c r="H35" s="2" t="inlineStr">
        <is>
          <t>BCS Class IV (Low Solubility, Low Permeability)</t>
        </is>
      </c>
      <c r="I35" s="2" t="n">
        <v>1</v>
      </c>
      <c r="J35" s="2"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Dissolution testing</t>
        </is>
      </c>
      <c r="M35" s="2" t="inlineStr">
        <is>
          <t>Product</t>
        </is>
      </c>
      <c r="N35" s="2" t="inlineStr">
        <is>
          <t>ข้อ 3 (PLE_CC1_Key_Rx20_UBU.md)</t>
        </is>
      </c>
      <c r="O35" s="2" t="inlineStr">
        <is>
          <t>Mock</t>
        </is>
      </c>
      <c r="P35" s="2" t="inlineStr">
        <is>
          <t>Mock Rx20 UBU</t>
        </is>
      </c>
    </row>
    <row r="36" ht="13.2" customHeight="1" s="49">
      <c r="A36" s="2" t="n">
        <v>34</v>
      </c>
      <c r="B36" s="2" t="inlineStr">
        <is>
          <t>เพิ่มการละลายใน medium</t>
        </is>
      </c>
      <c r="C36" s="2" t="n"/>
      <c r="D36" s="2" t="inlineStr">
        <is>
          <t>BCS Class III (High Solubility, Low Permeability)</t>
        </is>
      </c>
      <c r="E36" s="2" t="inlineStr">
        <is>
          <t>BCS Class IV (Low Solubility, Low Permeability)</t>
        </is>
      </c>
      <c r="F36" s="2" t="inlineStr">
        <is>
          <t>In Vitro Dissolution Apparatus 1 (Basket, 100 rpm)</t>
        </is>
      </c>
      <c r="G36" s="2" t="inlineStr">
        <is>
          <t>In Vitro Dissolution Apparatus 2 (Paddle, 50 rpm)</t>
        </is>
      </c>
      <c r="H36" s="2" t="inlineStr">
        <is>
          <t>Higuchi Matrix Release Kinetic model</t>
        </is>
      </c>
      <c r="I36" s="2" t="n">
        <v>1</v>
      </c>
      <c r="J36" s="2"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Dissolution testing</t>
        </is>
      </c>
      <c r="M36" s="2" t="inlineStr">
        <is>
          <t>Product</t>
        </is>
      </c>
      <c r="N36" s="2" t="inlineStr">
        <is>
          <t>ข้อ 2 (PLE_CC1_Key_Rx20_UBU.md)</t>
        </is>
      </c>
      <c r="O36" s="2" t="inlineStr">
        <is>
          <t>Mock</t>
        </is>
      </c>
      <c r="P36" s="2" t="inlineStr">
        <is>
          <t>Mock Rx20 UBU</t>
        </is>
      </c>
    </row>
    <row r="37" ht="13.2" customHeight="1" s="49">
      <c r="A37" s="2" t="n">
        <v>35</v>
      </c>
      <c r="B37" s="2" t="inlineStr">
        <is>
          <t>ในการพัฒนาสูตรตำรับ salbutamol MDI หากพบวGาเมื่อพGนยาไปซักระยะแล$วเกิดการตันของหัวพGนยา จะแก$ป[ญหานี้ได$อยGางไร (1) ปรับเปลี่ยนระบบ solvent เพื่อเพิ่มการละลายยา (2) ตัวเลือกอื่น ๆ จำไมGได$ ยาวเกิน</t>
        </is>
      </c>
      <c r="C37" s="2" t="n"/>
      <c r="D37" s="2" t="inlineStr">
        <is>
          <t>In Vitro Dissolution Apparatus 2 (Paddle, 50 rpm)</t>
        </is>
      </c>
      <c r="E37" s="2" t="inlineStr">
        <is>
          <t>Higuchi Matrix Release Kinetic model</t>
        </is>
      </c>
      <c r="F37" s="2" t="inlineStr">
        <is>
          <t>First-Order Drug Release Kinetics</t>
        </is>
      </c>
      <c r="G37" s="2" t="inlineStr">
        <is>
          <t>Zero-Order Sustained Release Kinetics</t>
        </is>
      </c>
      <c r="H37" s="2" t="inlineStr">
        <is>
          <t>Fickian Diffusion Concentration Gradient</t>
        </is>
      </c>
      <c r="I37" s="2" t="n">
        <v>1</v>
      </c>
      <c r="J37" s="2"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Dissolution testing</t>
        </is>
      </c>
      <c r="M37" s="2" t="inlineStr">
        <is>
          <t>Product</t>
        </is>
      </c>
      <c r="N37" s="2" t="inlineStr">
        <is>
          <t>ข้อ 51 (PLE_CC1_Key_Rx20_UBU.md)</t>
        </is>
      </c>
      <c r="O37" s="2" t="inlineStr">
        <is>
          <t>Mock</t>
        </is>
      </c>
      <c r="P37" s="2" t="inlineStr">
        <is>
          <t>Mock Rx20 UBU</t>
        </is>
      </c>
    </row>
    <row r="38" ht="13.2" customHeight="1" s="49">
      <c r="A38" s="2" t="n">
        <v>36</v>
      </c>
      <c r="B38" s="2" t="inlineStr">
        <is>
          <t>ยา pyrazinamide มีการละลายต่ำควรเติมสารใดเพิ่มในตำรับเพื่อแก$ไขป[ญหานี้</t>
        </is>
      </c>
      <c r="C38" s="2" t="n"/>
      <c r="D38" s="2" t="inlineStr">
        <is>
          <t>Lactose</t>
        </is>
      </c>
      <c r="E38" s="2" t="inlineStr">
        <is>
          <t>SLS</t>
        </is>
      </c>
      <c r="F38" s="2" t="inlineStr">
        <is>
          <t>Sodium starch glycolate</t>
        </is>
      </c>
      <c r="G38" s="2" t="inlineStr">
        <is>
          <t>Magnesium stearate</t>
        </is>
      </c>
      <c r="H38" s="2" t="inlineStr">
        <is>
          <t>Calcium dihydrogen phosphate</t>
        </is>
      </c>
      <c r="I38" s="2" t="n">
        <v>2</v>
      </c>
      <c r="J38" s="2"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Dissolution testing</t>
        </is>
      </c>
      <c r="M38" s="2" t="inlineStr">
        <is>
          <t>Product</t>
        </is>
      </c>
      <c r="N38" s="2" t="inlineStr">
        <is>
          <t>ข้อ 17 (PLE_CC1_Key_Rx20_UBU.md)</t>
        </is>
      </c>
      <c r="O38" s="2" t="inlineStr">
        <is>
          <t>Mock</t>
        </is>
      </c>
      <c r="P38" s="2" t="inlineStr">
        <is>
          <t>Mock Rx20 UBU</t>
        </is>
      </c>
    </row>
    <row r="39" ht="13.2" customHeight="1" s="49">
      <c r="A39" s="2" t="n">
        <v>37</v>
      </c>
      <c r="B39" s="2" t="inlineStr">
        <is>
          <t>การละลายและการดูดซึมมีผลตGอการระยะเวลาการออกฤทธิ์ที่นานขึ้นของตัวยา</t>
        </is>
      </c>
      <c r="C39" s="2" t="n"/>
      <c r="D39" s="2" t="inlineStr">
        <is>
          <t>BCS Class II (Low Solubility, High Permeability)</t>
        </is>
      </c>
      <c r="E39" s="2" t="inlineStr">
        <is>
          <t>BCS Class III (High Solubility, Low Permeability)</t>
        </is>
      </c>
      <c r="F39" s="2" t="inlineStr">
        <is>
          <t>BCS Class IV (Low Solubility, Low Permeability)</t>
        </is>
      </c>
      <c r="G39" s="2" t="inlineStr">
        <is>
          <t>In Vitro Dissolution Apparatus 1 (Basket, 100 rpm)</t>
        </is>
      </c>
      <c r="H39" s="2" t="inlineStr">
        <is>
          <t>In Vitro Dissolution Apparatus 2 (Paddle, 50 rpm)</t>
        </is>
      </c>
      <c r="I39" s="2" t="n">
        <v>1</v>
      </c>
      <c r="J39" s="2"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Dissolution testing</t>
        </is>
      </c>
      <c r="M39" s="2" t="inlineStr">
        <is>
          <t>Product</t>
        </is>
      </c>
      <c r="N39" s="2" t="inlineStr">
        <is>
          <t>ข้อ 4 (PLE_CC1_Key_Rx20_UBU.md)</t>
        </is>
      </c>
      <c r="O39" s="2" t="inlineStr">
        <is>
          <t>Mock</t>
        </is>
      </c>
      <c r="P39" s="2" t="inlineStr">
        <is>
          <t>Mock Rx20 UBU</t>
        </is>
      </c>
    </row>
    <row r="40" ht="13.2" customHeight="1" s="49">
      <c r="A40" s="2" t="n">
        <v>38</v>
      </c>
      <c r="B40" s="2" t="inlineStr">
        <is>
          <t>passive diffusion</t>
        </is>
      </c>
      <c r="C40" s="2" t="n"/>
      <c r="D40" s="2" t="inlineStr">
        <is>
          <t>In Vitro Dissolution Apparatus 1 (Basket, 100 rpm)</t>
        </is>
      </c>
      <c r="E40" s="2" t="inlineStr">
        <is>
          <t>In Vitro Dissolution Apparatus 2 (Paddle, 50 rpm)</t>
        </is>
      </c>
      <c r="F40" s="2" t="inlineStr">
        <is>
          <t>Higuchi Matrix Release Kinetic model</t>
        </is>
      </c>
      <c r="G40" s="2" t="inlineStr">
        <is>
          <t>First-Order Drug Release Kinetics</t>
        </is>
      </c>
      <c r="H40" s="2" t="inlineStr">
        <is>
          <t>Zero-Order Sustained Release Kinetics</t>
        </is>
      </c>
      <c r="I40" s="2" t="n">
        <v>1</v>
      </c>
      <c r="J40" s="2" t="inlineStr">
        <is>
          <t>✅ คำตอบที่ถูกต้อง: ข้อ ก. ความเข้มข้นของตัวยาที่แตกต่างกันระหว่างสองด้าน (Concentration gradient) และความเป็นกลางทางไฟฟ้าของโมเลกุล (Un-ionized form)
💡 Background: การแพร่ผ่านเยื่อหุ้มเซลล์แบบไม่ใช้พลังงาน (Passive diffusion) เป็นกลไกหลักในการดูดซึมยาโมเลกุลเล็กส่วนใหญ่ตามกฎของ Fick (Fick's First Law of Diffusion)
🎯 ทำไมข้อนี้ถึงถูก: การแพร่แบบพาสซีฟขับเคลื่อนด้วยความแตกต่างของความเข้มข้น (Concentration gradient, dC/dx) โดยโมเลกุลยาในรูปที่ไม่มีประจุ (Un-ionized form) และมีความชอบไขมัน (Lipophilicity / Log P ที่เหมาะสม) จะสามารถละลายและแพร่ผ่าน Phospholipid bilayer ได้ดีที่สุด
🔍 ข้ออื่นผิดเพราะอะไร:
- ข้อ ข. การใช้พลังงานจาก ATP: เป็นคุณสมบัติของ Primary active transport ไม่ใช่ Passive diffusion
- ข้อ ค. การแข่งขันแย่งจับกับโปรตีนตัวพา (Carrier competition): เป็นลักษณะของการขนส่งผ่านตัวพา (Facilitated หรือ Active transport)
- ข้อ ง. ความเข้มข้นของยาไม่มีผลต่ออัตราเร็ว: ผิด เพราะ Passive diffusion เป็นไปตาม First-order kinetics อัตราเร็วแปรผันตรงตามความเข้มข้น
- ข้อ จ. เกิดขึ้นเฉพาะในทิศทางย้อนความเข้มข้น (Against gradient): การแพร่ย้อนเกรเดียนต์เป็นคุณลักษณะของ Active transport
📖 Guideline อ้างอิง: Applied Biopharmaceutics &amp; Pharmacokinetics (8th Edition, Shargel &amp; Yu)
📌 จุดจำก่อนสอบ: Passive diffusion เป็นไปตามกฎของ Fick: อาศัย Concentration gradient, ไม่ใช้พลังงาน, ไม่เกิดการอิ่มตัว, ชอบโมเลกุลเล็ก ไม่มีประจุ (Un-ionized) และละลายในไขมันได้ดี</t>
        </is>
      </c>
      <c r="K40" s="2" t="n"/>
      <c r="L40" s="2" t="inlineStr">
        <is>
          <t>Diffusion &amp; Fick's laws</t>
        </is>
      </c>
      <c r="M40" s="2" t="inlineStr">
        <is>
          <t>Product</t>
        </is>
      </c>
      <c r="N40" s="2" t="inlineStr">
        <is>
          <t>ข้อ 2 (PLE_CC1_Key_Rx20_UBU.md)</t>
        </is>
      </c>
      <c r="O40" s="2" t="inlineStr">
        <is>
          <t>Mock</t>
        </is>
      </c>
      <c r="P40" s="2" t="inlineStr">
        <is>
          <t>Mock Rx20 UBU</t>
        </is>
      </c>
    </row>
    <row r="41" ht="13.2" customHeight="1" s="49">
      <c r="A41" s="2" t="n">
        <v>39</v>
      </c>
      <c r="B41" s="2" t="inlineStr">
        <is>
          <t>ผ่าน Dissolution</t>
        </is>
      </c>
      <c r="C41" s="2" t="n"/>
      <c r="D41" s="2" t="inlineStr">
        <is>
          <t>First-Order Drug Release Kinetics</t>
        </is>
      </c>
      <c r="E41" s="2" t="inlineStr">
        <is>
          <t>Zero-Order Sustained Release Kinetics</t>
        </is>
      </c>
      <c r="F41" s="2" t="inlineStr">
        <is>
          <t>Fickian Diffusion Concentration Gradient</t>
        </is>
      </c>
      <c r="G41" s="2" t="inlineStr">
        <is>
          <t>BCS Class I (High Solubility, High Permeability)</t>
        </is>
      </c>
      <c r="H41" s="2" t="inlineStr">
        <is>
          <t>BCS Class II (Low Solubility, High Permeability)</t>
        </is>
      </c>
      <c r="I41" s="2" t="n">
        <v>1</v>
      </c>
      <c r="J41" s="2"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Dissolution testing</t>
        </is>
      </c>
      <c r="M41" s="2" t="inlineStr">
        <is>
          <t>Product</t>
        </is>
      </c>
      <c r="N41" s="2" t="inlineStr">
        <is>
          <t>ข้อ 1 (PLE_CC1_Key_Rx20_UBU.md)</t>
        </is>
      </c>
      <c r="O41" s="2" t="inlineStr">
        <is>
          <t>Mock</t>
        </is>
      </c>
      <c r="P41" s="2" t="inlineStr">
        <is>
          <t>Mock Rx20 UBU</t>
        </is>
      </c>
    </row>
    <row r="42" ht="13.2" customHeight="1" s="49">
      <c r="A42" s="2" t="n">
        <v>40</v>
      </c>
      <c r="B42" s="2"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2" t="n"/>
      <c r="D42" s="2" t="inlineStr">
        <is>
          <t>BCS Class I (High Solubility, High Permeability)</t>
        </is>
      </c>
      <c r="E42" s="2" t="inlineStr">
        <is>
          <t>BCS Class II (Low Solubility, High Permeability)</t>
        </is>
      </c>
      <c r="F42" s="2" t="inlineStr">
        <is>
          <t>BCS Class III (High Solubility, Low Permeability)</t>
        </is>
      </c>
      <c r="G42" s="2" t="inlineStr">
        <is>
          <t>BCS Class IV (Low Solubility, Low Permeability)</t>
        </is>
      </c>
      <c r="H42" s="2" t="inlineStr">
        <is>
          <t>In Vitro Dissolution Apparatus 1 (Basket, 100 rpm)</t>
        </is>
      </c>
      <c r="I42" s="2" t="n">
        <v>1</v>
      </c>
      <c r="J42" s="2"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Dissolution testing</t>
        </is>
      </c>
      <c r="M42" s="2" t="inlineStr">
        <is>
          <t>Product</t>
        </is>
      </c>
      <c r="N42" s="2" t="inlineStr">
        <is>
          <t>ข้อ 2 (PLE_CC1_Key_Rx20_UBU.md)</t>
        </is>
      </c>
      <c r="O42" s="2" t="inlineStr">
        <is>
          <t>Mock</t>
        </is>
      </c>
      <c r="P42" s="2" t="inlineStr">
        <is>
          <t>Mock Rx20 UBU</t>
        </is>
      </c>
    </row>
    <row r="43" ht="13.2" customHeight="1" s="49">
      <c r="A43" s="2" t="n">
        <v>41</v>
      </c>
      <c r="B43" s="2" t="inlineStr">
        <is>
          <t>จาก USP (การทำ Dissolution test ของ Paracetamol) ข้อใดถูกต้อง</t>
        </is>
      </c>
      <c r="C43" s="2" t="n"/>
      <c r="D43" s="2" t="inlineStr">
        <is>
          <t>Apparatus ใช้ Basket</t>
        </is>
      </c>
      <c r="E43" s="2" t="inlineStr">
        <is>
          <t>ใช้ Phosphate buffer pH 5.8 ± 2.0</t>
        </is>
      </c>
      <c r="F43" s="2" t="inlineStr">
        <is>
          <t>ยาจะละลายเสร็จภายใน 60 นาที</t>
        </is>
      </c>
      <c r="G43" s="2" t="inlineStr">
        <is>
          <t>ใช้ Liquid chromatography ในการวิเคราะห์</t>
        </is>
      </c>
      <c r="H43" s="2" t="inlineStr">
        <is>
          <t>หากผลการวิเคราะห์พบว่า ยา 6 เม็ด แตกตัวภายใน 15 นาที โดยมีตัวยามากกว่า 425 mg ทุกเม็ดแสดงว่าผ่านการวิเคราะห์</t>
        </is>
      </c>
      <c r="I43" s="2" t="n">
        <v>2</v>
      </c>
      <c r="J43" s="2"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Dissolution testing</t>
        </is>
      </c>
      <c r="M43" s="2" t="inlineStr">
        <is>
          <t>Product</t>
        </is>
      </c>
      <c r="N43" s="2" t="inlineStr">
        <is>
          <t>ข้อ 35 (PLE_CC1_Key_Rx20_UBU.md)</t>
        </is>
      </c>
      <c r="O43" s="2" t="inlineStr">
        <is>
          <t>Mock</t>
        </is>
      </c>
      <c r="P43" s="2" t="inlineStr">
        <is>
          <t>Mock Rx20 UBU</t>
        </is>
      </c>
    </row>
    <row r="44" ht="409.6" customHeight="1" s="49">
      <c r="A44" s="35" t="n">
        <v>42</v>
      </c>
      <c r="B44" s="34" t="inlineStr">
        <is>
          <t>ตำรับ hard gelatin capsule ไม่ต้องทำการทดสอบอะไร</t>
        </is>
      </c>
      <c r="C44" s="35" t="n"/>
      <c r="D44" s="34" t="inlineStr">
        <is>
          <t>Dissolution</t>
        </is>
      </c>
      <c r="E44" s="34" t="inlineStr">
        <is>
          <t>Friability</t>
        </is>
      </c>
      <c r="F44" s="34" t="inlineStr">
        <is>
          <t>Microbial enumeration test</t>
        </is>
      </c>
      <c r="G44" s="34" t="inlineStr">
        <is>
          <t>Uniformity of dosage units</t>
        </is>
      </c>
      <c r="H44" s="34" t="inlineStr">
        <is>
          <t>Disintegration</t>
        </is>
      </c>
      <c r="I44" s="35" t="n">
        <v>1</v>
      </c>
      <c r="J44" s="34" t="inlineStr">
        <is>
          <t>✅ คำตอบที่ถูกต้อง: ข้อ ก. Dissolution
💡 Background:
คำถามข้อสอบจริงใบประกอบวิชาชีพ PLE-CC 1 (Product) ปี 2567 ข้อ 14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4" s="35" t="n"/>
      <c r="L44" s="34" t="inlineStr">
        <is>
          <t>Biopharmaceutics &amp; Dissolution</t>
        </is>
      </c>
      <c r="M44" s="35" t="inlineStr">
        <is>
          <t>Product</t>
        </is>
      </c>
      <c r="N44" s="34" t="inlineStr">
        <is>
          <t>ข้อสอบจริง Product ปี 2567 ข้อ 14</t>
        </is>
      </c>
      <c r="O44" s="35" t="inlineStr">
        <is>
          <t>ข้อสอบจริง</t>
        </is>
      </c>
      <c r="P44" s="35" t="inlineStr">
        <is>
          <t>ปี 2567</t>
        </is>
      </c>
    </row>
    <row r="45" ht="409.6" customHeight="1" s="49">
      <c r="A45" s="35" t="n">
        <v>43</v>
      </c>
      <c r="B45" s="34" t="inlineStr">
        <is>
          <t>การทดอบข้อใดต่อไปนี้ ไม่ได้มีข้อกำหนดเกณฑ์ผ่านที่ชัดเจนใน USP</t>
        </is>
      </c>
      <c r="C45" s="35" t="n"/>
      <c r="D45" s="34" t="inlineStr">
        <is>
          <t>Hardness</t>
        </is>
      </c>
      <c r="E45" s="34" t="inlineStr">
        <is>
          <t>friability</t>
        </is>
      </c>
      <c r="F45" s="34" t="inlineStr">
        <is>
          <t>uniformity of dosage units</t>
        </is>
      </c>
      <c r="G45" s="34" t="inlineStr">
        <is>
          <t>Assay</t>
        </is>
      </c>
      <c r="H45" s="34" t="inlineStr">
        <is>
          <t>dissolution</t>
        </is>
      </c>
      <c r="I45" s="35" t="n">
        <v>1</v>
      </c>
      <c r="J45" s="34" t="inlineStr">
        <is>
          <t>✅ คำตอบที่ถูกต้อง: ข้อ ก. Hardness
💡 Background:
คำถามข้อสอบจริงใบประกอบวิชาชีพ PLE-CC 1 (Product) ปี 2567 ข้อ 31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5" s="35" t="n"/>
      <c r="L45" s="34" t="inlineStr">
        <is>
          <t>Biopharmaceutics &amp; Dissolution</t>
        </is>
      </c>
      <c r="M45" s="35" t="inlineStr">
        <is>
          <t>Product</t>
        </is>
      </c>
      <c r="N45" s="34" t="inlineStr">
        <is>
          <t>ข้อสอบจริง Product ปี 2567 ข้อ 31</t>
        </is>
      </c>
      <c r="O45" s="35" t="inlineStr">
        <is>
          <t>ข้อสอบจริง</t>
        </is>
      </c>
      <c r="P45" s="35" t="inlineStr">
        <is>
          <t>ปี 2567</t>
        </is>
      </c>
    </row>
    <row r="46" ht="409.6" customHeight="1" s="49">
      <c r="A46" s="35" t="n">
        <v>44</v>
      </c>
      <c r="B46" s="34" t="inlineStr">
        <is>
          <t>(ปี 2566, Day 1 ข้อ 34\) (เรื่อง: สารเคลือบฟิล์ม Enteric-coated) ⚠️ สารที่ใช้ทำ film เคลือบยา enteric-coated คือข้อใด</t>
        </is>
      </c>
      <c r="C46" s="35" t="n"/>
      <c r="D46" s="34" t="inlineStr">
        <is>
          <t>Ethyl cellulose</t>
        </is>
      </c>
      <c r="E46" s="34" t="n"/>
      <c r="F46" s="34" t="n"/>
      <c r="G46" s="34" t="inlineStr">
        <is>
          <t>Enteric-coated tablet ละลายที่ลำไส้เล็ก</t>
        </is>
      </c>
      <c r="H46" s="34" t="n"/>
      <c r="I46" s="35" t="n">
        <v>2</v>
      </c>
      <c r="J46" s="34" t="inlineStr">
        <is>
          <t>✅ คำตอบที่ถูกต้อง: ข้อ ข. 
💡 Background:
คำถามข้อสอบจริงใบประกอบวิชาชีพ PLE-CC 1 (Product) ปี 2566 ข้อ 6
🎯 ทำไมข้อนี้ถึงถูก:
ข้อ ข.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6" s="35" t="n"/>
      <c r="L46" s="34" t="inlineStr">
        <is>
          <t>Biopharmaceutics &amp; Dissolution</t>
        </is>
      </c>
      <c r="M46" s="35" t="inlineStr">
        <is>
          <t>Product</t>
        </is>
      </c>
      <c r="N46" s="34" t="inlineStr">
        <is>
          <t>ข้อสอบจริง Product ปี 2566 ข้อ 6</t>
        </is>
      </c>
      <c r="O46" s="35" t="inlineStr">
        <is>
          <t>ข้อสอบจริง</t>
        </is>
      </c>
      <c r="P46" s="35" t="inlineStr">
        <is>
          <t>ปี 2566</t>
        </is>
      </c>
    </row>
    <row r="47" ht="409.6" customHeight="1" s="49">
      <c r="A47" s="35" t="n">
        <v>45</v>
      </c>
      <c r="B47" s="34" t="inlineStr">
        <is>
          <t>(ปี 2566, Day 1 ข้อ 46\) (เรื่อง: การทดสอบยาเม็ดเคลือบน้ำตาล - Sugar-coated) ยาสักอย่าง เป็น sugar-coated ไม่ต้องทดสอบอะไร</t>
        </is>
      </c>
      <c r="C47" s="35" t="n"/>
      <c r="D47" s="34" t="inlineStr">
        <is>
          <t>dissolution</t>
        </is>
      </c>
      <c r="E47" s="34" t="inlineStr">
        <is>
          <t>disintegration</t>
        </is>
      </c>
      <c r="F47" s="34" t="inlineStr">
        <is>
          <t>weight variation</t>
        </is>
      </c>
      <c r="G47" s="34" t="inlineStr">
        <is>
          <t>-</t>
        </is>
      </c>
      <c r="H47" s="34" t="n"/>
      <c r="I47" s="35" t="n">
        <v>1</v>
      </c>
      <c r="J47" s="34" t="inlineStr">
        <is>
          <t>✅ คำตอบที่ถูกต้อง: ข้อ ก. dissolution
💡 Background:
คำถามข้อสอบจริงใบประกอบวิชาชีพ PLE-CC 1 (Product) ปี 2566 ข้อ 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7" s="35" t="n"/>
      <c r="L47" s="34" t="inlineStr">
        <is>
          <t>Biopharmaceutics &amp; Dissolution</t>
        </is>
      </c>
      <c r="M47" s="35" t="inlineStr">
        <is>
          <t>Product</t>
        </is>
      </c>
      <c r="N47" s="34" t="inlineStr">
        <is>
          <t>ข้อสอบจริง Product ปี 2566 ข้อ 8</t>
        </is>
      </c>
      <c r="O47" s="35" t="inlineStr">
        <is>
          <t>ข้อสอบจริง</t>
        </is>
      </c>
      <c r="P47" s="35" t="inlineStr">
        <is>
          <t>ปี 2566</t>
        </is>
      </c>
    </row>
    <row r="48" ht="409.6" customHeight="1" s="49">
      <c r="A48" s="35" t="n">
        <v>46</v>
      </c>
      <c r="B48" s="34" t="inlineStr">
        <is>
          <t>(ปี 2566, Day 2 ข้อ 89\) (เรื่อง: Dissolution S1 Acceptance - Acetaminophen) Performance test ของ Acetaminophen tablet (ไม่ใช่ chewable) ขั้น S1 acceptance criteria คือเท่าไหร่</t>
        </is>
      </c>
      <c r="C48" s="35" t="n"/>
      <c r="D48" s="34" t="inlineStr">
        <is>
          <t>75%</t>
        </is>
      </c>
      <c r="E48" s="34" t="inlineStr">
        <is>
          <t>80%</t>
        </is>
      </c>
      <c r="F48" s="34" t="inlineStr">
        <is>
          <t>85%</t>
        </is>
      </c>
      <c r="G48" s="34" t="inlineStr">
        <is>
          <t>90%</t>
        </is>
      </c>
      <c r="H48" s="34" t="n"/>
      <c r="I48" s="35" t="n">
        <v>1</v>
      </c>
      <c r="J48" s="34" t="inlineStr">
        <is>
          <t>✅ คำตอบที่ถูกต้อง: ข้อ ก. 75%
💡 Background:
คำถามข้อสอบจริงใบประกอบวิชาชีพ PLE-CC 1 (Product) ปี 2566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8" s="35" t="n"/>
      <c r="L48" s="34" t="inlineStr">
        <is>
          <t>Biopharmaceutics &amp; Dissolution</t>
        </is>
      </c>
      <c r="M48" s="35" t="inlineStr">
        <is>
          <t>Product</t>
        </is>
      </c>
      <c r="N48" s="34" t="inlineStr">
        <is>
          <t>ข้อสอบจริง Product ปี 2566 ข้อ 35</t>
        </is>
      </c>
      <c r="O48" s="35" t="inlineStr">
        <is>
          <t>ข้อสอบจริง</t>
        </is>
      </c>
      <c r="P48" s="35" t="inlineStr">
        <is>
          <t>ปี 2566</t>
        </is>
      </c>
    </row>
    <row r="49" ht="409.6" customHeight="1" s="49">
      <c r="A49" s="35" t="n">
        <v>47</v>
      </c>
      <c r="B49" s="34" t="inlineStr">
        <is>
          <t>ISDN Sublingual ไม่ต้องทดสอบเรื่องอะไร</t>
        </is>
      </c>
      <c r="C49" s="35" t="n"/>
      <c r="D49" s="34" t="inlineStr">
        <is>
          <t>friability</t>
        </is>
      </c>
      <c r="E49" s="34" t="inlineStr">
        <is>
          <t>Disintegration</t>
        </is>
      </c>
      <c r="F49" s="34" t="inlineStr">
        <is>
          <t>Dissolution time</t>
        </is>
      </c>
      <c r="G49" s="34" t="inlineStr">
        <is>
          <t>Thickness</t>
        </is>
      </c>
      <c r="H49" s="34" t="inlineStr">
        <is>
          <t>Content uniformity</t>
        </is>
      </c>
      <c r="I49" s="35" t="n">
        <v>1</v>
      </c>
      <c r="J49" s="34" t="inlineStr">
        <is>
          <t>✅ คำตอบที่ถูกต้อง: ข้อ ก. friability
💡 Background:
คำถามข้อสอบจริงใบประกอบวิชาชีพ PLE-CC 1 (Product) ปี 2565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49" s="35" t="n"/>
      <c r="L49" s="34" t="inlineStr">
        <is>
          <t>Biopharmaceutics &amp; Dissolution</t>
        </is>
      </c>
      <c r="M49" s="35" t="inlineStr">
        <is>
          <t>Product</t>
        </is>
      </c>
      <c r="N49" s="34" t="inlineStr">
        <is>
          <t>ข้อสอบจริง Product ปี 2565 ข้อ 4</t>
        </is>
      </c>
      <c r="O49" s="35" t="inlineStr">
        <is>
          <t>ข้อสอบจริง</t>
        </is>
      </c>
      <c r="P49" s="35" t="inlineStr">
        <is>
          <t>ปี 2565</t>
        </is>
      </c>
    </row>
    <row r="50" ht="409.6" customHeight="1" s="49">
      <c r="A50" s="35" t="n">
        <v>48</v>
      </c>
      <c r="B50" s="34" t="inlineStr">
        <is>
          <t>ให้ใบ COA ของ simvastatin มา มีข้อมูล Description, identification, assay, disintegration, organic ตัวอย่างใบ COA impurity และอื่นๆ (จำไม่ได้) ถามว่าประเมินคุณภาพต้องมีหัวข้อใดเพิ่มเติม</t>
        </is>
      </c>
      <c r="C50" s="35" t="n"/>
      <c r="D50" s="34" t="inlineStr">
        <is>
          <t>dissolution</t>
        </is>
      </c>
      <c r="E50" s="34" t="inlineStr">
        <is>
          <t>hardness</t>
        </is>
      </c>
      <c r="F50" s="34" t="inlineStr">
        <is>
          <t>microbial limit</t>
        </is>
      </c>
      <c r="G50" s="34" t="inlineStr">
        <is>
          <t>particle size กรณีที่ 2 ผู้ป่วยชาย 50 ปีสูบบุหรี่ 25 มวนต่อวัน ติดต่อกัน 20 ปี</t>
        </is>
      </c>
      <c r="H50" s="34" t="n"/>
      <c r="I50" s="35" t="n">
        <v>1</v>
      </c>
      <c r="J50" s="34" t="inlineStr">
        <is>
          <t>✅ คำตอบที่ถูกต้อง: ข้อ ก. dissolution
💡 Background:
คำถามข้อสอบจริงใบประกอบวิชาชีพ PLE-CC 1 (Product) ปี 2565 ข้อ 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0" s="35" t="n"/>
      <c r="L50" s="34" t="inlineStr">
        <is>
          <t>Biopharmaceutics &amp; Dissolution</t>
        </is>
      </c>
      <c r="M50" s="35" t="inlineStr">
        <is>
          <t>Product</t>
        </is>
      </c>
      <c r="N50" s="34" t="inlineStr">
        <is>
          <t>ข้อสอบจริง Product ปี 2565 ข้อ 5</t>
        </is>
      </c>
      <c r="O50" s="35" t="inlineStr">
        <is>
          <t>ข้อสอบจริง</t>
        </is>
      </c>
      <c r="P50" s="35" t="inlineStr">
        <is>
          <t>ปี 2565</t>
        </is>
      </c>
    </row>
    <row r="51" ht="409.6" customHeight="1" s="49">
      <c r="A51" s="35" t="n">
        <v>49</v>
      </c>
      <c r="B51" s="34" t="inlineStr">
        <is>
          <t>ข้อใดเป็นเกณฑ์ dissolution ของ enteric coated tablet ที acid stage 1</t>
        </is>
      </c>
      <c r="C51" s="35" t="n"/>
      <c r="D51" s="34" t="inlineStr">
        <is>
          <t>ยาแต่ละเม็ดต้องละลายไม่เกิน 10%</t>
        </is>
      </c>
      <c r="E51" s="34" t="inlineStr">
        <is>
          <t>ยาแต่ละเม็ดละลายไม่น้อยกว่า Q+5</t>
        </is>
      </c>
      <c r="F51" s="34" t="inlineStr">
        <is>
          <t>ยาแต่ละเม็ดละลายไม่น้อยกว่า Q ???</t>
        </is>
      </c>
      <c r="G51" s="34" t="inlineStr">
        <is>
          <t>[NEED_REVIEW]</t>
        </is>
      </c>
      <c r="H51" s="34" t="inlineStr">
        <is>
          <t>[NEED_REVIEW]</t>
        </is>
      </c>
      <c r="I51" s="35" t="n">
        <v>1</v>
      </c>
      <c r="J51" s="34" t="inlineStr">
        <is>
          <t>✅ คำตอบที่ถูกต้อง: ข้อ ก. ยาแต่ละเม็ดต้องละลายไม่เกิน 10%
💡 Background:
คำถามข้อสอบจริงใบประกอบวิชาชีพ PLE-CC 1 (Product) ปี 2565 ข้อ 76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1" s="35" t="n"/>
      <c r="L51" s="34" t="inlineStr">
        <is>
          <t>Biopharmaceutics &amp; Dissolution</t>
        </is>
      </c>
      <c r="M51" s="35" t="inlineStr">
        <is>
          <t>Product</t>
        </is>
      </c>
      <c r="N51" s="34" t="inlineStr">
        <is>
          <t>ข้อสอบจริง Product ปี 2565 ข้อ 76</t>
        </is>
      </c>
      <c r="O51" s="35" t="inlineStr">
        <is>
          <t>ข้อสอบจริง</t>
        </is>
      </c>
      <c r="P51" s="35" t="inlineStr">
        <is>
          <t>ปี 2565</t>
        </is>
      </c>
    </row>
    <row r="52" ht="409.6" customHeight="1" s="49">
      <c r="A52" s="35" t="n">
        <v>50</v>
      </c>
      <c r="B52" s="34" t="inlineStr">
        <is>
          <t>ยา A เป็นยา BCS class 2 ข้อใดกล่าวถูกต้องเกี่ยวกับคุณสมบัติของยา A</t>
        </is>
      </c>
      <c r="C52" s="35" t="n"/>
      <c r="D52" s="34" t="inlineStr">
        <is>
          <t>การละลายสูง การซึมผ่านสูง</t>
        </is>
      </c>
      <c r="E52" s="34" t="inlineStr">
        <is>
          <t>การละลายสูง การแตกตัวสูง</t>
        </is>
      </c>
      <c r="F52" s="34" t="inlineStr">
        <is>
          <t>การละลายต่ำ การซึมผ่านต่ำ</t>
        </is>
      </c>
      <c r="G52" s="34" t="inlineStr">
        <is>
          <t>การละลายต่ำ แต่การซึมผ่านสูง</t>
        </is>
      </c>
      <c r="H52" s="34" t="inlineStr">
        <is>
          <t>[NEED_REVIEW]</t>
        </is>
      </c>
      <c r="I52" s="35" t="n">
        <v>1</v>
      </c>
      <c r="J52" s="34" t="inlineStr">
        <is>
          <t>✅ คำตอบที่ถูกต้อง: ข้อ ก. การละลายสูง การซึมผ่านสูง
💡 Background:
คำถามข้อสอบจริงใบประกอบวิชาชีพ PLE-CC 1 (Product) ปี 2565 ข้อ 80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2" s="35" t="n"/>
      <c r="L52" s="34" t="inlineStr">
        <is>
          <t>Biopharmaceutics &amp; Dissolution</t>
        </is>
      </c>
      <c r="M52" s="35" t="inlineStr">
        <is>
          <t>Product</t>
        </is>
      </c>
      <c r="N52" s="34" t="inlineStr">
        <is>
          <t>ข้อสอบจริง Product ปี 2565 ข้อ 80</t>
        </is>
      </c>
      <c r="O52" s="35" t="inlineStr">
        <is>
          <t>ข้อสอบจริง</t>
        </is>
      </c>
      <c r="P52" s="35" t="inlineStr">
        <is>
          <t>ปี 2565</t>
        </is>
      </c>
    </row>
    <row r="53" ht="409.6" customHeight="1" s="49">
      <c r="A53" s="35" t="n">
        <v>51</v>
      </c>
      <c r="B53" s="34" t="inlineStr">
        <is>
          <t>ทําการทดสอบ Bioequivalence (BE) ของ Naproxen tablet ต้องทดสอบอะไร</t>
        </is>
      </c>
      <c r="C53" s="35" t="n"/>
      <c r="D53" s="34" t="inlineStr">
        <is>
          <t>Cmax และ AUC</t>
        </is>
      </c>
      <c r="E53" s="34" t="inlineStr">
        <is>
          <t>Vd และ Half-life  เป็นค่าทางเภสัชจลนศาสตร์ ไม่ใช่เกณฑ์หลักของ BE</t>
        </is>
      </c>
      <c r="F53" s="34" t="inlineStr">
        <is>
          <t>Clearance และ AUC  Clearance ไม่ใช้เป็นเกณฑ์เปรียบเทียบ BE</t>
        </is>
      </c>
      <c r="G53" s="34" t="inlineStr">
        <is>
          <t>Clearance และ Cmax  Clearance ไม่ใช่ตัวชี้วัด BE</t>
        </is>
      </c>
      <c r="H53" s="34" t="inlineStr">
        <is>
          <t>Vd และ AUC  Vd ไม่ใช่เกณฑ์ของ BE</t>
        </is>
      </c>
      <c r="I53" s="35" t="n">
        <v>1</v>
      </c>
      <c r="J53" s="34" t="inlineStr">
        <is>
          <t>✅ คำตอบที่ถูกต้อง: ข้อ ก. Cmax และ AUC
💡 Background:
คำถามข้อสอบจริงใบประกอบวิชาชีพ PLE-CC 1 (Product) ปี 2564 ข้อ 15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3" s="35" t="n"/>
      <c r="L53" s="34" t="inlineStr">
        <is>
          <t>Biopharmaceutics &amp; Dissolution</t>
        </is>
      </c>
      <c r="M53" s="35" t="inlineStr">
        <is>
          <t>Product</t>
        </is>
      </c>
      <c r="N53" s="34" t="inlineStr">
        <is>
          <t>ข้อสอบจริง Product ปี 2564 ข้อ 15</t>
        </is>
      </c>
      <c r="O53" s="35" t="inlineStr">
        <is>
          <t>ข้อสอบจริง</t>
        </is>
      </c>
      <c r="P53" s="35" t="inlineStr">
        <is>
          <t>ปี 2564</t>
        </is>
      </c>
    </row>
    <row r="54" ht="409.6" customHeight="1" s="49">
      <c r="A54" s="35" t="n">
        <v>52</v>
      </c>
      <c r="B54" s="34" t="inlineStr">
        <is>
          <t>ข้อมูลด้านประสิทธิภาพและประสิทธิผลใด จําเป็นต้องใช้ในการขึ้นทะเบียนตํารับยา orlistat capsule</t>
        </is>
      </c>
      <c r="C54" s="35" t="n"/>
      <c r="D54" s="34" t="inlineStr">
        <is>
          <t>Assay  เป็นการทดสอบปริมาณตัวยา (Quality control)</t>
        </is>
      </c>
      <c r="E54" s="34" t="inlineStr">
        <is>
          <t>Uniformity of dosage  เป็นการทดสอบความสม่ำเสมอของปริมาณยา</t>
        </is>
      </c>
      <c r="F54" s="34" t="inlineStr">
        <is>
          <t>Comparative dissolution  ใช้สนับสนุนหรือบางกรณีใช้ขอ Biowaiver แต่ไม่ใช่หลักฐานประสิทธิภาพหลักของ BE</t>
        </is>
      </c>
      <c r="G54" s="34" t="inlineStr">
        <is>
          <t>95%CI ของ AUC และ Cmax ของการทดสอบชีวสมมูล</t>
        </is>
      </c>
      <c r="H54" s="34" t="inlineStr">
        <is>
          <t>รายงานอาการไม่พึงประสงค์ เป็นข้อมูลด้านความปลอดภัย ไม่ใช่หลักฐานการแสดงชีวสมมูล</t>
        </is>
      </c>
      <c r="I54" s="35" t="n">
        <v>1</v>
      </c>
      <c r="J54" s="34" t="inlineStr">
        <is>
          <t>✅ คำตอบที่ถูกต้อง: ข้อ ก. Assay  เป็นการทดสอบปริมาณตัวยา (Quality control)
💡 Background:
คำถามข้อสอบจริงใบประกอบวิชาชีพ PLE-CC 1 (Product) ปี 2564 ข้อ 22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4" s="35" t="n"/>
      <c r="L54" s="34" t="inlineStr">
        <is>
          <t>Biopharmaceutics &amp; Dissolution</t>
        </is>
      </c>
      <c r="M54" s="35" t="inlineStr">
        <is>
          <t>Product</t>
        </is>
      </c>
      <c r="N54" s="34" t="inlineStr">
        <is>
          <t>ข้อสอบจริง Product ปี 2564 ข้อ 22</t>
        </is>
      </c>
      <c r="O54" s="35" t="inlineStr">
        <is>
          <t>ข้อสอบจริง</t>
        </is>
      </c>
      <c r="P54" s="35" t="inlineStr">
        <is>
          <t>ปี 2564</t>
        </is>
      </c>
    </row>
    <row r="55" ht="409.6" customHeight="1" s="49">
      <c r="A55" s="35" t="n">
        <v>53</v>
      </c>
      <c r="B55" s="34" t="inlineStr">
        <is>
          <t>ข้อกำหนดยา A ในหัวข้อ dissolution กำหนดไว้วา “not less than 80% (Q) of labeled amount of A is dissolved in 30 minutes” ข้อใดถือว่าผ่านเกณฑ์</t>
        </is>
      </c>
      <c r="C55" s="35" t="inlineStr">
        <is>
          <t>[แนบรูป: ข้อสอบ Product ปี 2564 รหัสรูปภาพ image75]</t>
        </is>
      </c>
      <c r="D55" s="34" t="inlineStr">
        <is>
          <t>ค่าเฉลี่ยของการละลายทั้ง 6 เม็ด มากกวาหรือเท่ากับ 80% labeled amount ภายใน 30 นาที</t>
        </is>
      </c>
      <c r="E55" s="34" t="inlineStr">
        <is>
          <t>ค่าเฉลี่ยของการละลายทั้ง 6 เม็ด มากกวาหรือเท่ากับ 85% labeled amount ภายใน 30 นาที</t>
        </is>
      </c>
      <c r="F55" s="34" t="inlineStr">
        <is>
          <t>ค่าละลายของยาแต่ละเม็ด มากกวาหรือเท่ากับ 80% labeled amount ภายใน 30 นาที</t>
        </is>
      </c>
      <c r="G55" s="34" t="inlineStr">
        <is>
          <t>ค่าละลายของยาแต่ละเม็ด มากกวาหรือเท่ากับ 85% labeled amount ภายใน 30 นาที</t>
        </is>
      </c>
      <c r="H55" s="34" t="inlineStr">
        <is>
          <t>ค่าละลายของยาแต่ละเม็ด และค่าเฉลี่ยของการละลายทั้ง 6 เม็ด มากกว่าหรือเทากับ 80% labeled amount ภายใน 30 นาที</t>
        </is>
      </c>
      <c r="I55" s="35" t="n">
        <v>1</v>
      </c>
      <c r="J55" s="34" t="inlineStr">
        <is>
          <t>✅ คำตอบที่ถูกต้อง: ข้อ ก. ค่าเฉลี่ยของการละลายทั้ง 6 เม็ด มากกวาหรือเท่ากับ 80% labeled amount ภายใน 30 นาที
💡 Background:
คำถามข้อสอบจริงใบประกอบวิชาชีพ PLE-CC 1 (Product) ปี 2564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5" s="35" t="n"/>
      <c r="L55" s="34" t="inlineStr">
        <is>
          <t>Biopharmaceutics &amp; Dissolution</t>
        </is>
      </c>
      <c r="M55" s="35" t="inlineStr">
        <is>
          <t>Product</t>
        </is>
      </c>
      <c r="N55" s="34" t="inlineStr">
        <is>
          <t>ข้อสอบจริง Product ปี 2564 ข้อ 38</t>
        </is>
      </c>
      <c r="O55" s="35" t="inlineStr">
        <is>
          <t>ข้อสอบจริง</t>
        </is>
      </c>
      <c r="P55" s="35" t="inlineStr">
        <is>
          <t>ปี 2564</t>
        </is>
      </c>
    </row>
    <row r="56" ht="409.6" customHeight="1" s="49">
      <c r="A56" s="35" t="n">
        <v>54</v>
      </c>
      <c r="B56" s="34" t="inlineStr">
        <is>
          <t>ไม่ต้องทดสอบคุณภาพ CPM Tablets</t>
        </is>
      </c>
      <c r="C56" s="35" t="n"/>
      <c r="D56" s="34" t="inlineStr">
        <is>
          <t>friability</t>
        </is>
      </c>
      <c r="E56" s="34" t="inlineStr">
        <is>
          <t>hardness</t>
        </is>
      </c>
      <c r="F56" s="34" t="inlineStr">
        <is>
          <t>%label amount</t>
        </is>
      </c>
      <c r="G56" s="34" t="inlineStr">
        <is>
          <t>%moisture content</t>
        </is>
      </c>
      <c r="H56" s="34" t="n"/>
      <c r="I56" s="35" t="n">
        <v>1</v>
      </c>
      <c r="J56" s="34" t="inlineStr">
        <is>
          <t>✅ คำตอบที่ถูกต้อง: ข้อ ก. friability
💡 Background:
คำถามข้อสอบจริงใบประกอบวิชาชีพ PLE-CC 1 (Product) ปี 2564 ข้อ 49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6" s="35" t="n"/>
      <c r="L56" s="34" t="inlineStr">
        <is>
          <t>Biopharmaceutics &amp; Dissolution</t>
        </is>
      </c>
      <c r="M56" s="35" t="inlineStr">
        <is>
          <t>Product</t>
        </is>
      </c>
      <c r="N56" s="34" t="inlineStr">
        <is>
          <t>ข้อสอบจริง Product ปี 2564 ข้อ 49</t>
        </is>
      </c>
      <c r="O56" s="35" t="inlineStr">
        <is>
          <t>ข้อสอบจริง</t>
        </is>
      </c>
      <c r="P56" s="35" t="inlineStr">
        <is>
          <t>ปี 2564</t>
        </is>
      </c>
    </row>
    <row r="57" ht="409.6" customHeight="1" s="49">
      <c r="A57" s="35" t="n">
        <v>55</v>
      </c>
      <c r="B57" s="34" t="inlineStr">
        <is>
          <t>จากผลการวิเคราะห์ยา Azithromycin ควรมี shelf-life เท่าใด | Time (month) | Characteristic | Dissolution | %Label | %impurity | | :---- | :---- | :---- | :---- | :---- | |  | White crystal powder | Q=80 | 98.5-101.5% | \&lt;0.5% | | 6 | conform | 87.4 | 99.8 | 0.0 | | 12 | conform | 87.2 | 99.7 | 0.0 | | 18 | conform | 86.5 | 99.3 | 0.0 | | 24 | conform | 85.6 | 99.1 | 0.1 | | 36 | conform | 84.9 | 99.0 | 0.1 | | 48 | conform | 84.5 | 99.0 | 0.1 | | 60 | conform | 83.9 | 99.0 | 0.2 |</t>
        </is>
      </c>
      <c r="C57" s="35" t="n"/>
      <c r="D57" s="34" t="inlineStr">
        <is>
          <t>1 ปี</t>
        </is>
      </c>
      <c r="E57" s="34" t="inlineStr">
        <is>
          <t>2 ปี</t>
        </is>
      </c>
      <c r="F57" s="34" t="inlineStr">
        <is>
          <t>3 ปี</t>
        </is>
      </c>
      <c r="G57" s="34" t="inlineStr">
        <is>
          <t>4 ปี</t>
        </is>
      </c>
      <c r="H57" s="34" t="inlineStr">
        <is>
          <t>5 ปี</t>
        </is>
      </c>
      <c r="I57" s="35" t="n">
        <v>1</v>
      </c>
      <c r="J57" s="34" t="inlineStr">
        <is>
          <t>✅ คำตอบที่ถูกต้อง: ข้อ ก. 1 ปี
💡 Background:
คำถามข้อสอบจริงใบประกอบวิชาชีพ PLE-CC 1 (Product) ปี 2564 ข้อ 103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7" s="35" t="n"/>
      <c r="L57" s="34" t="inlineStr">
        <is>
          <t>Biopharmaceutics &amp; Dissolution</t>
        </is>
      </c>
      <c r="M57" s="35" t="inlineStr">
        <is>
          <t>Product</t>
        </is>
      </c>
      <c r="N57" s="34" t="inlineStr">
        <is>
          <t>ข้อสอบจริง Product ปี 2564 ข้อ 103</t>
        </is>
      </c>
      <c r="O57" s="35" t="inlineStr">
        <is>
          <t>ข้อสอบจริง</t>
        </is>
      </c>
      <c r="P57" s="35" t="inlineStr">
        <is>
          <t>ปี 2564</t>
        </is>
      </c>
    </row>
    <row r="58" ht="409.6" customHeight="1" s="49">
      <c r="A58" s="35" t="n">
        <v>56</v>
      </c>
      <c r="B58" s="34" t="inlineStr">
        <is>
          <t>หากต้องการเปิดหนังสือเพื่อค้นคว้า เรื่อง bioequivalence ควรเปิดหนังสือเล่มใด</t>
        </is>
      </c>
      <c r="C58" s="35" t="n"/>
      <c r="D58" s="34" t="inlineStr">
        <is>
          <t>USP</t>
        </is>
      </c>
      <c r="E58" s="34" t="inlineStr">
        <is>
          <t>Drug fact and comparison</t>
        </is>
      </c>
      <c r="F58" s="34" t="inlineStr">
        <is>
          <t>Drug information handbook</t>
        </is>
      </c>
      <c r="G58" s="34" t="inlineStr">
        <is>
          <t>Drug interaction fact</t>
        </is>
      </c>
      <c r="H58" s="34" t="inlineStr">
        <is>
          <t>Pharmacotherapy</t>
        </is>
      </c>
      <c r="I58" s="35" t="n">
        <v>1</v>
      </c>
      <c r="J58" s="34" t="inlineStr">
        <is>
          <t>✅ คำตอบที่ถูกต้อง: ข้อ ก. USP
💡 Background:
คำถามข้อสอบจริงใบประกอบวิชาชีพ PLE-CC 1 (Product) ปี 2564 ข้อ 121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8" s="35" t="n"/>
      <c r="L58" s="34" t="inlineStr">
        <is>
          <t>Biopharmaceutics &amp; Dissolution</t>
        </is>
      </c>
      <c r="M58" s="35" t="inlineStr">
        <is>
          <t>Product</t>
        </is>
      </c>
      <c r="N58" s="34" t="inlineStr">
        <is>
          <t>ข้อสอบจริง Product ปี 2564 ข้อ 121</t>
        </is>
      </c>
      <c r="O58" s="35" t="inlineStr">
        <is>
          <t>ข้อสอบจริง</t>
        </is>
      </c>
      <c r="P58" s="35" t="inlineStr">
        <is>
          <t>ปี 2564</t>
        </is>
      </c>
    </row>
    <row r="59" ht="409.6" customHeight="1" s="49">
      <c r="A59" s="35" t="n">
        <v>57</v>
      </c>
      <c r="B59" s="34" t="inlineStr">
        <is>
          <t>ยา B มีคุณสมบัติละลายน้ำไม่ดี หากต้องการเตรียมเป็นยา capsule ควรเลือก diluent แบบใด</t>
        </is>
      </c>
      <c r="C59" s="35" t="n"/>
      <c r="D59" s="34" t="inlineStr">
        <is>
          <t>ยาผ่าน การวิเคราะห์ ในทุกหัวข้อ</t>
        </is>
      </c>
      <c r="E59" s="34" t="inlineStr">
        <is>
          <t>การแตกตัวไม่ผ่าน เพราะได้น้อยกว่า 15 นาที</t>
        </is>
      </c>
      <c r="F59" s="34" t="inlineStr">
        <is>
          <t>Weight variation ไม่ผ่าน ได้น้อยกว่า 75%</t>
        </is>
      </c>
      <c r="G59" s="34" t="inlineStr">
        <is>
          <t>dissolution ไม่ผ่าน ได้น้อยกว่า 85% ต้องทดสอบเพิ่ม</t>
        </is>
      </c>
      <c r="H59" s="34" t="inlineStr">
        <is>
          <t>การวิเคราะห์ตัวยาสำคัญไม่ผ่าน เพราะได้เป็น กว่า 90%</t>
        </is>
      </c>
      <c r="I59" s="35" t="n">
        <v>1</v>
      </c>
      <c r="J59" s="34" t="inlineStr">
        <is>
          <t>✅ คำตอบที่ถูกต้อง: ข้อ ก. ยาผ่าน การวิเคราะห์ ในทุกหัวข้อ
💡 Background:
คำถามข้อสอบจริงใบประกอบวิชาชีพ PLE-CC 1 (Product) ปี 2564 ข้อ 134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59" s="35" t="n"/>
      <c r="L59" s="34" t="inlineStr">
        <is>
          <t>Biopharmaceutics &amp; Dissolution</t>
        </is>
      </c>
      <c r="M59" s="35" t="inlineStr">
        <is>
          <t>Product</t>
        </is>
      </c>
      <c r="N59" s="34" t="inlineStr">
        <is>
          <t>ข้อสอบจริง Product ปี 2564 ข้อ 134</t>
        </is>
      </c>
      <c r="O59" s="35" t="inlineStr">
        <is>
          <t>ข้อสอบจริง</t>
        </is>
      </c>
      <c r="P59" s="35" t="inlineStr">
        <is>
          <t>ปี 2564</t>
        </is>
      </c>
    </row>
    <row r="60" ht="409.6" customHeight="1" s="49">
      <c r="A60" s="35" t="n">
        <v>58</v>
      </c>
      <c r="B60" s="34" t="inlineStr">
        <is>
          <t>สารใดใช้สำหรับการเตรียม matrix sustained release tablets</t>
        </is>
      </c>
      <c r="C60" s="35" t="n"/>
      <c r="D60" s="34" t="inlineStr">
        <is>
          <t>PEG 400</t>
        </is>
      </c>
      <c r="E60" s="34" t="inlineStr">
        <is>
          <t>Lactose</t>
        </is>
      </c>
      <c r="F60" s="34" t="inlineStr">
        <is>
          <t>Sucralose</t>
        </is>
      </c>
      <c r="G60" s="34" t="inlineStr">
        <is>
          <t>Polysorbate</t>
        </is>
      </c>
      <c r="H60" s="34" t="inlineStr">
        <is>
          <t>Hypromellose</t>
        </is>
      </c>
      <c r="I60" s="35" t="n">
        <v>1</v>
      </c>
      <c r="J60" s="34" t="inlineStr">
        <is>
          <t>✅ คำตอบที่ถูกต้อง: ข้อ ก. PEG 400
💡 Background:
คำถามข้อสอบจริงใบประกอบวิชาชีพ PLE-CC 1 (Product) ปี 2564 ข้อ 156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0" s="35" t="n"/>
      <c r="L60" s="34" t="inlineStr">
        <is>
          <t>Biopharmaceutics &amp; Dissolution</t>
        </is>
      </c>
      <c r="M60" s="35" t="inlineStr">
        <is>
          <t>Product</t>
        </is>
      </c>
      <c r="N60" s="34" t="inlineStr">
        <is>
          <t>ข้อสอบจริง Product ปี 2564 ข้อ 156</t>
        </is>
      </c>
      <c r="O60" s="35" t="inlineStr">
        <is>
          <t>ข้อสอบจริง</t>
        </is>
      </c>
      <c r="P60" s="35" t="inlineStr">
        <is>
          <t>ปี 2564</t>
        </is>
      </c>
    </row>
    <row r="61" ht="409.6" customHeight="1" s="49">
      <c r="A61" s="35" t="n">
        <v>59</v>
      </c>
      <c r="B61" s="34" t="inlineStr">
        <is>
          <t>ชีวสมมูลเปรียบเทียบยาต้นแบบกับยาใหม่ที่ขับออกทางไตคือข้อใด</t>
        </is>
      </c>
      <c r="C61" s="35" t="n"/>
      <c r="D61" s="34" t="inlineStr">
        <is>
          <t>T1/2 ❌ เป็นพารามิเตอร์การกำจัดยา ไม่ใช่ตัวหลักในการเปรียบเทียบ BE</t>
        </is>
      </c>
      <c r="E61" s="34" t="inlineStr">
        <is>
          <t>Urine excretion ✅ ใช้ได้เมื่อยาถูกขับออกทางไตเป็นหลัก</t>
        </is>
      </c>
      <c r="F61" s="34" t="inlineStr">
        <is>
          <t>AUC vs time curve ❌ เป็นวิธีหลักของ BE ทั่วไป แต่ใช้จาก plasma concentration ไม่ใช่ urine ในกรณีนี้</t>
        </is>
      </c>
      <c r="G61" s="34" t="inlineStr">
        <is>
          <t>Drug plasma concentration ❌ ใช้บ่อยที่สุด แต่โจทย์ระบุ "ขับออกทางไต" → ใช้ urine ได้</t>
        </is>
      </c>
      <c r="H61" s="34" t="inlineStr">
        <is>
          <t>Time to peak drug concentration (Tmax) ❌ บอกอัตราการดูดซึม ไม่ใช่ปริมาณยาเข้าสู่ร่างกาย</t>
        </is>
      </c>
      <c r="I61" s="35" t="n">
        <v>1</v>
      </c>
      <c r="J61" s="34" t="inlineStr">
        <is>
          <t>✅ คำตอบที่ถูกต้อง: ข้อ ก. T1/2 ❌ เป็นพารามิเตอร์การกำจัดยา ไม่ใช่ตัวหลักในการเปรียบเทียบ BE
💡 Background:
คำถามข้อสอบจริงใบประกอบวิชาชีพ PLE-CC 1 (Product) ปี 2564 ข้อ 165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1" s="35" t="n"/>
      <c r="L61" s="34" t="inlineStr">
        <is>
          <t>Biopharmaceutics &amp; Dissolution</t>
        </is>
      </c>
      <c r="M61" s="35" t="inlineStr">
        <is>
          <t>Product</t>
        </is>
      </c>
      <c r="N61" s="34" t="inlineStr">
        <is>
          <t>ข้อสอบจริง Product ปี 2564 ข้อ 165</t>
        </is>
      </c>
      <c r="O61" s="35" t="inlineStr">
        <is>
          <t>ข้อสอบจริง</t>
        </is>
      </c>
      <c r="P61" s="35" t="inlineStr">
        <is>
          <t>ปี 2564</t>
        </is>
      </c>
    </row>
    <row r="62" ht="409.6" customHeight="1" s="49">
      <c r="A62" s="35" t="n">
        <v>60</v>
      </c>
      <c r="B62" s="34" t="inlineStr">
        <is>
          <t>จากผลการวิเคราะห์ยา Azithromycin ควรมี shelf-life เท่าใด ต้นฉบับ: Day 1 ข้อ 101 | Time (month) | Characteristic | Dissolution | %Label | %impurity | | :---: | :---: | :---: | :---: | :---: | | Specification | White crystal powder | Q=80 | 98.5–101.5% | \&lt;0.5% | | 6 | conform | 87.4 | 99.8 | 0.0 | | 12 | conform | 87.2 | 99.7 | 0.0 | | 18 | conform | 86.5 | 99.3 | 0.0 | | 24 | conform | 85.6 | 99.1 | 0.1 | | 36 | conform | 84.9 | 99.0 | 0.1 | | 48 | conform | 84.5 | 99.0 | 0.1 | | 60 | conform | 83.9 | 99.0 | 0.2 |</t>
        </is>
      </c>
      <c r="C62" s="35" t="n"/>
      <c r="D62" s="34" t="inlineStr">
        <is>
          <t>1 ปี</t>
        </is>
      </c>
      <c r="E62" s="34" t="inlineStr">
        <is>
          <t>2 ปี</t>
        </is>
      </c>
      <c r="F62" s="34" t="inlineStr">
        <is>
          <t>3 ปี</t>
        </is>
      </c>
      <c r="G62" s="34" t="inlineStr">
        <is>
          <t>4 ปี</t>
        </is>
      </c>
      <c r="H62" s="34" t="inlineStr">
        <is>
          <t>5 ปี</t>
        </is>
      </c>
      <c r="I62" s="35" t="n">
        <v>5</v>
      </c>
      <c r="J62" s="34" t="inlineStr">
        <is>
          <t>✅ คำตอบที่ถูกต้อง: ข้อ จ. 5 ปี | คำตอบ: e) 5 ปี ผลที่เดือน 60 ยังผ่านทั้ง dissolution, assay และ impurity จึงมีข้อมูลรองรับอายุยา 60 เดือน ข้อที่ไม่ถูก a) b) c) และ c) สั้นกว่าระยะเวลาที่ข้อมูลรองรับที่สามารถให้ได้ | | :---- | 
💡 Background:
คำถามข้อสอบจริงใบประกอบวิชาชีพ PLE-CC 1 (Product) ปี 2563 ข้อ 14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2" s="35" t="n"/>
      <c r="L62" s="34" t="inlineStr">
        <is>
          <t>Biopharmaceutics &amp; Dissolution</t>
        </is>
      </c>
      <c r="M62" s="35" t="inlineStr">
        <is>
          <t>Product</t>
        </is>
      </c>
      <c r="N62" s="34" t="inlineStr">
        <is>
          <t>ข้อสอบจริง Product ปี 2563 ข้อ 14</t>
        </is>
      </c>
      <c r="O62" s="35" t="inlineStr">
        <is>
          <t>ข้อสอบจริง</t>
        </is>
      </c>
      <c r="P62" s="35" t="inlineStr">
        <is>
          <t>ปี 2563</t>
        </is>
      </c>
    </row>
    <row r="63" ht="409.6" customHeight="1" s="49">
      <c r="A63" s="35" t="n">
        <v>61</v>
      </c>
      <c r="B63" s="34" t="inlineStr">
        <is>
          <t>ตามเภสัชตำรับ celecoxib 200 mg ไม่ต้องทดสอบอะไร ต้นฉบับ: Day 1 ข้อ 4</t>
        </is>
      </c>
      <c r="C63" s="35" t="n"/>
      <c r="D63" s="34" t="inlineStr">
        <is>
          <t>Particle size distribution</t>
        </is>
      </c>
      <c r="E63" s="34" t="inlineStr">
        <is>
          <t>Dissolution</t>
        </is>
      </c>
      <c r="F63" s="34" t="inlineStr">
        <is>
          <t>Disintegration</t>
        </is>
      </c>
      <c r="G63" s="34" t="inlineStr">
        <is>
          <t>Weight variation</t>
        </is>
      </c>
      <c r="H63" s="34" t="inlineStr">
        <is>
          <t>Assay | คำตอบที่ข้อสอบน่าจะต้องการ: c) Disintegration เมื่อกำหนดการทดสอบ dissolution แล้ว มักไม่จำเป็นต้องทดสอบ disintegration แยกอีก</t>
        </is>
      </c>
      <c r="I63" s="35" t="n">
        <v>1</v>
      </c>
      <c r="J63" s="34" t="inlineStr">
        <is>
          <t>✅ คำตอบที่ถูกต้อง: ข้อ ก. Particle size distribution
💡 Background:
คำถามข้อสอบจริงใบประกอบวิชาชีพ PLE-CC 1 (Product) ปี 2563 ข้อ 16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3" s="35" t="n"/>
      <c r="L63" s="34" t="inlineStr">
        <is>
          <t>Biopharmaceutics &amp; Dissolution</t>
        </is>
      </c>
      <c r="M63" s="35" t="inlineStr">
        <is>
          <t>Product</t>
        </is>
      </c>
      <c r="N63" s="34" t="inlineStr">
        <is>
          <t>ข้อสอบจริง Product ปี 2563 ข้อ 16</t>
        </is>
      </c>
      <c r="O63" s="35" t="inlineStr">
        <is>
          <t>ข้อสอบจริง</t>
        </is>
      </c>
      <c r="P63" s="35" t="inlineStr">
        <is>
          <t>ปี 2563</t>
        </is>
      </c>
    </row>
    <row r="64" ht="409.6" customHeight="1" s="49">
      <c r="A64" s="35" t="n">
        <v>62</v>
      </c>
      <c r="B64" s="34" t="inlineStr">
        <is>
          <t>ข้อใดถูกต้อง ต้นฉบับ: Day 1 ข้อ 45</t>
        </is>
      </c>
      <c r="C64" s="35" t="n"/>
      <c r="D64" s="34" t="inlineStr">
        <is>
          <t>ทำเป็น granule ใส่ในแคปซูลแบบนิ่มได้</t>
        </is>
      </c>
      <c r="E64" s="34" t="inlineStr">
        <is>
          <t>แคปซูลเบอร์ใหญ่จะขนาดใหญ่</t>
        </is>
      </c>
      <c r="F64" s="34" t="inlineStr">
        <is>
          <t>แคปซูล bioavailability น้อยกว่ายาเม็ด</t>
        </is>
      </c>
      <c r="G64" s="34" t="inlineStr">
        <is>
          <t>แคปซูลเป็น solid dosage form จะมียาสารสำคัญมากกว่า1 ตัวขึ้นไป</t>
        </is>
      </c>
      <c r="H64" s="34" t="inlineStr">
        <is>
          <t>แคปซูลแบบนิ่มสามารถใส่ของแข็งได้</t>
        </is>
      </c>
      <c r="I64" s="35" t="n">
        <v>5</v>
      </c>
      <c r="J64" s="34" t="inlineStr">
        <is>
          <t>✅ คำตอบที่ถูกต้อง: ข้อ จ. แคปซูลแบบนิ่มสามารถใส่ของแข็งได้ | คำตอบ: e) แคปซูลแบบนิ่มสามารถใส่ของแข็งได้ ตัวยาของแข็งสามารถกระจายเป็น suspension ในของเหลวหรือกึ่งแข็งก่อนบรรจุใน softgel ข้อที่ไม่ถูก a) ไม่บรรจุ granule แห้งลงใน softgel โดยตรง b) เลขขนาดยิ่งมาก แคปซูลยิ่งเล็ก c) แคปซูลไม่ได้มี bioavailability ต่ำกว่ายาเม็ดเสมอ d) แคปซูลอาจมีตัวยาหนึ่งชนิดหรือหลายชนิดก็ได้ | | :---- | 
💡 Background:
คำถามข้อสอบจริงใบประกอบวิชาชีพ PLE-CC 1 (Product) ปี 2563 ข้อ 23
🎯 ทำไมข้อนี้ถึงถูก:
ข้อ จ.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4" s="35" t="n"/>
      <c r="L64" s="34" t="inlineStr">
        <is>
          <t>Biopharmaceutics &amp; Dissolution</t>
        </is>
      </c>
      <c r="M64" s="35" t="inlineStr">
        <is>
          <t>Product</t>
        </is>
      </c>
      <c r="N64" s="34" t="inlineStr">
        <is>
          <t>ข้อสอบจริง Product ปี 2563 ข้อ 23</t>
        </is>
      </c>
      <c r="O64" s="35" t="inlineStr">
        <is>
          <t>ข้อสอบจริง</t>
        </is>
      </c>
      <c r="P64" s="35" t="inlineStr">
        <is>
          <t>ปี 2563</t>
        </is>
      </c>
    </row>
    <row r="65" ht="409.6" customHeight="1" s="49">
      <c r="A65" s="35" t="n">
        <v>63</v>
      </c>
      <c r="B65" s="34" t="inlineStr">
        <is>
          <t>ตัวยา Isosorbide dinitrate รูปแบบใดออกฤทธิ์เร็วที่สุดในการบรรเทาอาการเจ็บหน้าอก ต้นฉบับ: Day 2 ข้อ 24</t>
        </is>
      </c>
      <c r="C65" s="35" t="n"/>
      <c r="D65" s="34" t="inlineStr">
        <is>
          <t>Sublingual tablets</t>
        </is>
      </c>
      <c r="E65" s="34" t="inlineStr">
        <is>
          <t>Immediate release tablets</t>
        </is>
      </c>
      <c r="F65" s="34" t="inlineStr">
        <is>
          <t>Sustained release tablets</t>
        </is>
      </c>
      <c r="G65" s="34" t="inlineStr">
        <is>
          <t>Enteric coated tablets</t>
        </is>
      </c>
      <c r="H65" s="34" t="inlineStr">
        <is>
          <t>Transdermal patches</t>
        </is>
      </c>
      <c r="I65" s="35" t="n">
        <v>1</v>
      </c>
      <c r="J65" s="34" t="inlineStr">
        <is>
          <t>✅ คำตอบที่ถูกต้อง: ข้อ ก. Sublingual tablets
💡 Background:
คำถามข้อสอบจริงใบประกอบวิชาชีพ PLE-CC 1 (Product) ปี 2563 ข้อ 29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5" s="35" t="n"/>
      <c r="L65" s="34" t="inlineStr">
        <is>
          <t>Biopharmaceutics &amp; Dissolution</t>
        </is>
      </c>
      <c r="M65" s="35" t="inlineStr">
        <is>
          <t>Product</t>
        </is>
      </c>
      <c r="N65" s="34" t="inlineStr">
        <is>
          <t>ข้อสอบจริง Product ปี 2563 ข้อ 29</t>
        </is>
      </c>
      <c r="O65" s="35" t="inlineStr">
        <is>
          <t>ข้อสอบจริง</t>
        </is>
      </c>
      <c r="P65" s="35" t="inlineStr">
        <is>
          <t>ปี 2563</t>
        </is>
      </c>
    </row>
    <row r="66" ht="409.6" customHeight="1" s="49">
      <c r="A66" s="35" t="n">
        <v>64</v>
      </c>
      <c r="B66" s="34" t="inlineStr">
        <is>
          <t>จากตำรับแคปซูล celecoxib ไม่ต้องทำการทดสอบอะไร ต้นฉบับ: Day 2 ข้อ 113 (ซ้ำกับข้อ 16\)</t>
        </is>
      </c>
      <c r="C66" s="35" t="n"/>
      <c r="D66" s="34" t="inlineStr">
        <is>
          <t>Particle size distribution</t>
        </is>
      </c>
      <c r="E66" s="34" t="inlineStr">
        <is>
          <t>Dissolution</t>
        </is>
      </c>
      <c r="F66" s="34" t="inlineStr">
        <is>
          <t>Disintegration</t>
        </is>
      </c>
      <c r="G66" s="34" t="inlineStr">
        <is>
          <t>Percent label amount</t>
        </is>
      </c>
      <c r="H66" s="34" t="inlineStr">
        <is>
          <t>Weight variation | คำตอบที่ข้อสอบน่าจะต้องการ: c) Disintegration เมื่อมีเกณฑ์ dissolution อยู่แล้ว มักไม่จำเป็นต้องกำหนด disintegration แยก</t>
        </is>
      </c>
      <c r="I66" s="35" t="n">
        <v>1</v>
      </c>
      <c r="J66" s="34" t="inlineStr">
        <is>
          <t>✅ คำตอบที่ถูกต้อง: ข้อ ก. Particle size distribution
💡 Background:
คำถามข้อสอบจริงใบประกอบวิชาชีพ PLE-CC 1 (Product) ปี 2563 ข้อ 38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6" s="35" t="n"/>
      <c r="L66" s="34" t="inlineStr">
        <is>
          <t>Biopharmaceutics &amp; Dissolution</t>
        </is>
      </c>
      <c r="M66" s="35" t="inlineStr">
        <is>
          <t>Product</t>
        </is>
      </c>
      <c r="N66" s="34" t="inlineStr">
        <is>
          <t>ข้อสอบจริง Product ปี 2563 ข้อ 38</t>
        </is>
      </c>
      <c r="O66" s="35" t="inlineStr">
        <is>
          <t>ข้อสอบจริง</t>
        </is>
      </c>
      <c r="P66" s="35" t="inlineStr">
        <is>
          <t>ปี 2563</t>
        </is>
      </c>
    </row>
    <row r="67" ht="409.6" customHeight="1" s="49">
      <c r="A67" s="35" t="n">
        <v>65</v>
      </c>
      <c r="B67" s="34" t="inlineStr">
        <is>
          <t>ที่ความเข้มข้นเหนือ CMC จะเกิด micelle ที่กักตัวยาที่ชอบไขมันไว้ในแกนกลาง เพิ่มความสามารถในการละลายรวม (micellar solubilization)   ตามสมการ Noyes–Whitney อัตราการละลาย dC/dt = DA(Cs–C)/h การเพิ่ม wettability คือการเพิ่มพื้นที่ผิวที่สัมผัสตัวกลาง (A) จริง ๆ และ SLS ยังเพิ่ม Cs ด้วย จึงเร่ง dissolution ได้ทั้งสองทาง   กรณี gemfibrozil ซึ่งเป็น BCS Class II (ละลายต่ำ ซึมผ่านดี) การละลายเป็นขั้นกำหนดอัตราการดูดซึม การเติม SLS จึงส่งผลต่อ bioavailability โดยตรง | | :---- | ข้อ 75. หากยาเม็ดมีลักษณะจุดสีอ่อนกระจายทั่วๆ และมีจุดสีเข้มขึ้นที่ผิวยา เรียกว่าอะไร</t>
        </is>
      </c>
      <c r="C67" s="35" t="n"/>
      <c r="D67" s="34" t="inlineStr">
        <is>
          <t>Chipping</t>
        </is>
      </c>
      <c r="E67" s="34" t="inlineStr">
        <is>
          <t>Mottling</t>
        </is>
      </c>
      <c r="F67" s="34" t="inlineStr">
        <is>
          <t>Picking</t>
        </is>
      </c>
      <c r="G67" s="34" t="inlineStr">
        <is>
          <t>Sticking</t>
        </is>
      </c>
      <c r="H67" s="34" t="inlineStr">
        <is>
          <t>Orange peel |</t>
        </is>
      </c>
      <c r="I67" s="35" t="n">
        <v>1</v>
      </c>
      <c r="J67" s="34" t="inlineStr">
        <is>
          <t>✅ คำตอบที่ถูกต้อง: ข้อ ก. Chipping
💡 Background:
คำถามข้อสอบจริงใบประกอบวิชาชีพ PLE-CC 1 (Product) ปี 2562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7" s="35" t="n"/>
      <c r="L67" s="34" t="inlineStr">
        <is>
          <t>Biopharmaceutics &amp; Dissolution</t>
        </is>
      </c>
      <c r="M67" s="35" t="inlineStr">
        <is>
          <t>Product</t>
        </is>
      </c>
      <c r="N67" s="34" t="inlineStr">
        <is>
          <t>ข้อสอบจริง Product ปี 2562 ข้อ 2</t>
        </is>
      </c>
      <c r="O67" s="35" t="inlineStr">
        <is>
          <t>ข้อสอบจริง</t>
        </is>
      </c>
      <c r="P67" s="35" t="inlineStr">
        <is>
          <t>ปี 2562</t>
        </is>
      </c>
    </row>
    <row r="68" ht="409.6" customHeight="1" s="49">
      <c r="A68" s="35" t="n">
        <v>66</v>
      </c>
      <c r="B68" s="34" t="inlineStr">
        <is>
          <t>สารสีกระจายตัวไม่ทั่ว หรือใช้ dye แทน lake pigment (dye ละลายน้ำจึงเคลื่อนที่ได้ ส่วน lake ไม่ละลายจึงอยู่กับที่)   วิธีแก้: เปลี่ยนจาก dye เป็น lake pigment, ลดขนาดอนุภาคของสารสี, ผสมให้ทั่วขึ้น, ปรับวิธีการอบแกรนูล | | :---- | ข้อ 76. ข้อใดคือแก้ปัญหาการเกิดแยกชั้นของยา gemfibrozil 600 mg tablets</t>
        </is>
      </c>
      <c r="C68" s="35" t="n"/>
      <c r="D68" s="34" t="inlineStr">
        <is>
          <t>Croscamellose sodium</t>
        </is>
      </c>
      <c r="E68" s="34" t="inlineStr">
        <is>
          <t>Colloidal silicon dioxide</t>
        </is>
      </c>
      <c r="F68" s="34" t="inlineStr">
        <is>
          <t>Sodium lauryl sulfate</t>
        </is>
      </c>
      <c r="G68" s="34" t="inlineStr">
        <is>
          <t>Microcrystalline cellulose</t>
        </is>
      </c>
      <c r="H68" s="34" t="inlineStr">
        <is>
          <t>Sodium starch glycolate |</t>
        </is>
      </c>
      <c r="I68" s="35" t="n">
        <v>1</v>
      </c>
      <c r="J68" s="34" t="inlineStr">
        <is>
          <t>✅ คำตอบที่ถูกต้อง: ข้อ ก. Croscamellose sodium
💡 Background:
คำถามข้อสอบจริงใบประกอบวิชาชีพ PLE-CC 1 (Product) ปี 2562 ข้อ 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8" s="35" t="n"/>
      <c r="L68" s="34" t="inlineStr">
        <is>
          <t>Biopharmaceutics &amp; Dissolution</t>
        </is>
      </c>
      <c r="M68" s="35" t="inlineStr">
        <is>
          <t>Product</t>
        </is>
      </c>
      <c r="N68" s="34" t="inlineStr">
        <is>
          <t>ข้อสอบจริง Product ปี 2562 ข้อ 4</t>
        </is>
      </c>
      <c r="O68" s="35" t="inlineStr">
        <is>
          <t>ข้อสอบจริง</t>
        </is>
      </c>
      <c r="P68" s="35" t="inlineStr">
        <is>
          <t>ปี 2562</t>
        </is>
      </c>
    </row>
    <row r="69" ht="409.6" customHeight="1" s="49">
      <c r="A69" s="35" t="n">
        <v>67</v>
      </c>
      <c r="B69" s="34" t="inlineStr">
        <is>
          <t>USP มีหลักการว่า เมื่อกำหนด dissolution แล้ว ไม่ต้องทำ disintegration อีก เพราะ dissolution เป็นการทดสอบที่เข้มงวดกว่าและครอบคลุมแล้ว   ส่วนหัวข้ออื่นยังต้องทำครบตามปกติ | | :---- | ข้อ 105. ให้ข้อมูลยา carbamazepine CR ดังนี้ สี: beige-orange color / รูปร่าง: oval shaped biconvex / มีตัวหนังสือ 10 ที่ด้านหน้าของเม็ดยา / ส่วนประกอบอื่น ๆ ที่ไม่ใช่ยา: acrylic ester, croscamellose, SCMC, HPMC, titanium dioxide, magnesium stearate. ข้อใดไม่ถูกต้องเกี่ยวกับยา carbamazepine</t>
        </is>
      </c>
      <c r="C69" s="35" t="n"/>
      <c r="D69" s="34" t="inlineStr">
        <is>
          <t>Uniformity of dosage unit</t>
        </is>
      </c>
      <c r="E69" s="34" t="inlineStr">
        <is>
          <t>Disintegrant</t>
        </is>
      </c>
      <c r="F69" s="34" t="inlineStr">
        <is>
          <t>Dissolutions</t>
        </is>
      </c>
      <c r="G69" s="34" t="inlineStr">
        <is>
          <t>Assay</t>
        </is>
      </c>
      <c r="H69" s="34" t="inlineStr">
        <is>
          <t>Friability |</t>
        </is>
      </c>
      <c r="I69" s="35" t="n">
        <v>1</v>
      </c>
      <c r="J69" s="34" t="inlineStr">
        <is>
          <t>✅ คำตอบที่ถูกต้อง: ข้อ ก. Uniformity of dosage unit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69" s="35" t="n"/>
      <c r="L69" s="34" t="inlineStr">
        <is>
          <t>Biopharmaceutics &amp; Dissolution</t>
        </is>
      </c>
      <c r="M69" s="35" t="inlineStr">
        <is>
          <t>Product</t>
        </is>
      </c>
      <c r="N69" s="34" t="inlineStr">
        <is>
          <t>ข้อสอบจริง Product ปี 2562 ข้อ 3</t>
        </is>
      </c>
      <c r="O69" s="35" t="inlineStr">
        <is>
          <t>ข้อสอบจริง</t>
        </is>
      </c>
      <c r="P69" s="35" t="inlineStr">
        <is>
          <t>ปี 2562</t>
        </is>
      </c>
    </row>
    <row r="70" ht="409.6" customHeight="1" s="49">
      <c r="A70" s="35" t="n">
        <v>68</v>
      </c>
      <c r="B70" s="34" t="inlineStr">
        <is>
          <t>จาก monograph ของยา carvedilol ข้อใดคือเครื่องมือที่ใช้ในการทดสอบหัวข้อการละลาย [แนบรูป: ข้อสอบ Product ปี 2561 รหัสรูปภาพ image102]</t>
        </is>
      </c>
      <c r="C70" s="35" t="inlineStr">
        <is>
          <t>[แนบรูป: ข้อสอบ Product ปี 2561 รหัสรูปภาพ image102]</t>
        </is>
      </c>
      <c r="D70" s="34" t="inlineStr">
        <is>
          <t>Reciprocating cylinder</t>
        </is>
      </c>
      <c r="E70" s="34" t="inlineStr">
        <is>
          <t>Paddle apparatus</t>
        </is>
      </c>
      <c r="F70" s="34" t="inlineStr">
        <is>
          <t>Basket apparatus</t>
        </is>
      </c>
      <c r="G70" s="34" t="inlineStr">
        <is>
          <t>Flow-through cell</t>
        </is>
      </c>
      <c r="H70" s="34" t="inlineStr">
        <is>
          <t>Cell cylinder apparatus</t>
        </is>
      </c>
      <c r="I70" s="35" t="n">
        <v>1</v>
      </c>
      <c r="J70" s="34" t="inlineStr">
        <is>
          <t>✅ คำตอบที่ถูกต้อง: ข้อ ก. Reciprocating cylinder
💡 Background:
คำถามข้อสอบจริงใบประกอบวิชาชีพ PLE-CC 1 (Product) ปี 2561 ข้อ 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0" s="35" t="n"/>
      <c r="L70" s="34" t="inlineStr">
        <is>
          <t>Biopharmaceutics &amp; Dissolution</t>
        </is>
      </c>
      <c r="M70" s="35" t="inlineStr">
        <is>
          <t>Product</t>
        </is>
      </c>
      <c r="N70" s="34" t="inlineStr">
        <is>
          <t>ข้อสอบจริง Product ปี 2561 ข้อ 1</t>
        </is>
      </c>
      <c r="O70" s="35" t="inlineStr">
        <is>
          <t>ข้อสอบจริง</t>
        </is>
      </c>
      <c r="P70" s="35" t="inlineStr">
        <is>
          <t>ปี 2561</t>
        </is>
      </c>
    </row>
    <row r="71" ht="409.6" customHeight="1" s="49">
      <c r="A71" s="35" t="n">
        <v>69</v>
      </c>
      <c r="B71" s="34" t="inlineStr">
        <is>
          <t>จากข้อ 9 dissolution medium ควรจะมีอุณหภูมิเท่าใด</t>
        </is>
      </c>
      <c r="C71" s="35" t="n"/>
      <c r="D71" s="34" t="inlineStr">
        <is>
          <t>20°C ± 0.5</t>
        </is>
      </c>
      <c r="E71" s="34" t="inlineStr">
        <is>
          <t>20°C ± 2.0</t>
        </is>
      </c>
      <c r="F71" s="34" t="inlineStr">
        <is>
          <t>25°C ± 0.5</t>
        </is>
      </c>
      <c r="G71" s="34" t="inlineStr">
        <is>
          <t>25°C ± 2.0</t>
        </is>
      </c>
      <c r="H71" s="34" t="inlineStr">
        <is>
          <t>37°C ± 0.5</t>
        </is>
      </c>
      <c r="I71" s="35" t="n">
        <v>1</v>
      </c>
      <c r="J71" s="34" t="inlineStr">
        <is>
          <t>✅ คำตอบที่ถูกต้อง: ข้อ ก. 20°C ± 0.5
💡 Background:
คำถามข้อสอบจริงใบประกอบวิชาชีพ PLE-CC 1 (Product) ปี 2561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1" s="35" t="n"/>
      <c r="L71" s="34" t="inlineStr">
        <is>
          <t>Biopharmaceutics &amp; Dissolution</t>
        </is>
      </c>
      <c r="M71" s="35" t="inlineStr">
        <is>
          <t>Product</t>
        </is>
      </c>
      <c r="N71" s="34" t="inlineStr">
        <is>
          <t>ข้อสอบจริง Product ปี 2561 ข้อ 2</t>
        </is>
      </c>
      <c r="O71" s="35" t="inlineStr">
        <is>
          <t>ข้อสอบจริง</t>
        </is>
      </c>
      <c r="P71" s="35" t="inlineStr">
        <is>
          <t>ปี 2561</t>
        </is>
      </c>
    </row>
    <row r="72" ht="409.6" customHeight="1" s="49">
      <c r="A72" s="35" t="n">
        <v>70</v>
      </c>
      <c r="B72" s="34" t="inlineStr">
        <is>
          <t>จากใบ COA ของยา cloxacillin ข้อใดถูก [แนบรูป: ข้อสอบ Product ปี 2561 รหัสรูปภาพ image108]</t>
        </is>
      </c>
      <c r="C72" s="35" t="inlineStr">
        <is>
          <t>[แนบรูป: ข้อสอบ Product ปี 2561 รหัสรูปภาพ image108]</t>
        </is>
      </c>
      <c r="D72" s="34" t="inlineStr">
        <is>
          <t>ยาผ่านการวิเคราะห์ในทุกหัวข้อ</t>
        </is>
      </c>
      <c r="E72" s="34" t="inlineStr">
        <is>
          <t>การแตกตัวไม่ผ่าน เพราะได้น้อยกว่า 15 นาที</t>
        </is>
      </c>
      <c r="F72" s="34" t="inlineStr">
        <is>
          <t>Weight variation ไม่ผ่าน ได้น้อยกว่า 15 นาที</t>
        </is>
      </c>
      <c r="G72" s="34" t="inlineStr">
        <is>
          <t>การวิเคราะห์ตัวยาสำคัญไม่ผ่าน เพราะได้เกิน 90%</t>
        </is>
      </c>
      <c r="H72" s="34" t="inlineStr">
        <is>
          <t>Dissolution ไม่ผ่าน เพราะได้น้อยกว่า 85% ต้องทดสอบเพิ่ม</t>
        </is>
      </c>
      <c r="I72" s="35" t="n">
        <v>1</v>
      </c>
      <c r="J72" s="34" t="inlineStr">
        <is>
          <t>✅ คำตอบที่ถูกต้อง: ข้อ ก. ยาผ่านการวิเคราะห์ในทุกหัวข้อ
💡 Background:
คำถามข้อสอบจริงใบประกอบวิชาชีพ PLE-CC 1 (Product) ปี 2561 ข้อ 35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2" s="35" t="n"/>
      <c r="L72" s="34" t="inlineStr">
        <is>
          <t>Biopharmaceutics &amp; Dissolution</t>
        </is>
      </c>
      <c r="M72" s="35" t="inlineStr">
        <is>
          <t>Product</t>
        </is>
      </c>
      <c r="N72" s="34" t="inlineStr">
        <is>
          <t>ข้อสอบจริง Product ปี 2561 ข้อ 35</t>
        </is>
      </c>
      <c r="O72" s="35" t="inlineStr">
        <is>
          <t>ข้อสอบจริง</t>
        </is>
      </c>
      <c r="P72" s="35" t="inlineStr">
        <is>
          <t>ปี 2561</t>
        </is>
      </c>
    </row>
    <row r="73" ht="409.6" customHeight="1" s="49">
      <c r="A73" s="35" t="n">
        <v>71</v>
      </c>
      <c r="B73" s="34" t="inlineStr">
        <is>
          <t>การทดสอบการละลาย (dissolution test) ของตำรับยาเม็ดตัวเดียวกัน 5 ตำรับ กำหนด Q=70 (ตำรับ A ผ่านทั้งหมด 6 เม็ด; ตำรับ B ผ่านทั้งหมด 6 เม็ด; ตำรับ C ผ่านทั้งหมด 6 เม็ด; ตำรับ D ผ่าน 3 เม็ด อีก 3 เม็ดไม่ผ่าน; ตำรับ E ไม่ผ่านทั้งหมด 6 เม็ด) ข้อใดสรุปผลผิด</t>
        </is>
      </c>
      <c r="C73" s="35" t="n"/>
      <c r="D73" s="34" t="inlineStr">
        <is>
          <t>ตำรับ A ผ่าน stage 1</t>
        </is>
      </c>
      <c r="E73" s="34" t="inlineStr">
        <is>
          <t>ตำรับ B ผ่าน stage 1</t>
        </is>
      </c>
      <c r="F73" s="34" t="inlineStr">
        <is>
          <t>ตำรับ C ผ่าน stage 1</t>
        </is>
      </c>
      <c r="G73" s="34" t="inlineStr">
        <is>
          <t>ตำรับ D ไม่ผ่าน stage 1 รอทดสอบ stage 2</t>
        </is>
      </c>
      <c r="H73" s="34" t="inlineStr">
        <is>
          <t>ตำรับ E ไม่ผ่าน stage 2 รอทดสอบ stage 3</t>
        </is>
      </c>
      <c r="I73" s="35" t="n">
        <v>1</v>
      </c>
      <c r="J73" s="34" t="inlineStr">
        <is>
          <t>✅ คำตอบที่ถูกต้อง: ข้อ ก. ตำรับ A ผ่าน stage 1
💡 Background:
คำถามข้อสอบจริงใบประกอบวิชาชีพ PLE-CC 1 (Product) ปี 2561 ข้อ 52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3" s="35" t="n"/>
      <c r="L73" s="34" t="inlineStr">
        <is>
          <t>Biopharmaceutics &amp; Dissolution</t>
        </is>
      </c>
      <c r="M73" s="35" t="inlineStr">
        <is>
          <t>Product</t>
        </is>
      </c>
      <c r="N73" s="34" t="inlineStr">
        <is>
          <t>ข้อสอบจริง Product ปี 2561 ข้อ 52</t>
        </is>
      </c>
      <c r="O73" s="35" t="inlineStr">
        <is>
          <t>ข้อสอบจริง</t>
        </is>
      </c>
      <c r="P73" s="35" t="inlineStr">
        <is>
          <t>ปี 2561</t>
        </is>
      </c>
    </row>
    <row r="74" ht="409.6" customHeight="1" s="49">
      <c r="A74" s="35" t="n">
        <v>72</v>
      </c>
      <c r="B74" s="34" t="inlineStr">
        <is>
          <t>Phenytoin capsule ไม่ต้องทดสอบอะไร</t>
        </is>
      </c>
      <c r="C74" s="35" t="n"/>
      <c r="D74" s="34" t="inlineStr">
        <is>
          <t>Microbial test</t>
        </is>
      </c>
      <c r="E74" s="34" t="inlineStr">
        <is>
          <t>Identification</t>
        </is>
      </c>
      <c r="F74" s="34" t="inlineStr">
        <is>
          <t>Loss and dying</t>
        </is>
      </c>
      <c r="G74" s="34" t="inlineStr">
        <is>
          <t>Dissolution test</t>
        </is>
      </c>
      <c r="H74" s="34" t="inlineStr">
        <is>
          <t>Uniformity content</t>
        </is>
      </c>
      <c r="I74" s="35" t="n">
        <v>1</v>
      </c>
      <c r="J74" s="34" t="inlineStr">
        <is>
          <t>✅ คำตอบที่ถูกต้อง: ข้อ ก. Microbial test
💡 Background:
คำถามข้อสอบจริงใบประกอบวิชาชีพ PLE-CC 1 (Product) ปี 2561 ข้อ 53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4" s="35" t="n"/>
      <c r="L74" s="34" t="inlineStr">
        <is>
          <t>Biopharmaceutics &amp; Dissolution</t>
        </is>
      </c>
      <c r="M74" s="35" t="inlineStr">
        <is>
          <t>Product</t>
        </is>
      </c>
      <c r="N74" s="34" t="inlineStr">
        <is>
          <t>ข้อสอบจริง Product ปี 2561 ข้อ 53</t>
        </is>
      </c>
      <c r="O74" s="35" t="inlineStr">
        <is>
          <t>ข้อสอบจริง</t>
        </is>
      </c>
      <c r="P74" s="35" t="inlineStr">
        <is>
          <t>ปี 2561</t>
        </is>
      </c>
    </row>
    <row r="75" ht="409.6" customHeight="1" s="49">
      <c r="A75" s="35" t="n">
        <v>73</v>
      </c>
      <c r="B75" s="34" t="inlineStr">
        <is>
          <t>Venlafaxine XR capsule ต้องทำ in vitro dissolution test ด้วยวิธีอะไร</t>
        </is>
      </c>
      <c r="C75" s="35" t="n"/>
      <c r="D75" s="34" t="inlineStr">
        <is>
          <t>Apparatus I basket</t>
        </is>
      </c>
      <c r="E75" s="34" t="inlineStr">
        <is>
          <t>Apparatus III cylinder</t>
        </is>
      </c>
      <c r="F75" s="34" t="inlineStr">
        <is>
          <t>Apparatus IV flow trough cell</t>
        </is>
      </c>
      <c r="G75" s="34" t="inlineStr">
        <is>
          <t>Apparatus V Paddle over disk</t>
        </is>
      </c>
      <c r="H75" s="34" t="inlineStr">
        <is>
          <t>Apparatus VII Reciprocating holder</t>
        </is>
      </c>
      <c r="I75" s="35" t="n">
        <v>1</v>
      </c>
      <c r="J75" s="34" t="inlineStr">
        <is>
          <t>✅ คำตอบที่ถูกต้อง: ข้อ ก. Apparatus I basket
💡 Background:
คำถามข้อสอบจริงใบประกอบวิชาชีพ PLE-CC 1 (Product) ปี 2561 ข้อ 71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5" s="35" t="n"/>
      <c r="L75" s="34" t="inlineStr">
        <is>
          <t>Biopharmaceutics &amp; Dissolution</t>
        </is>
      </c>
      <c r="M75" s="35" t="inlineStr">
        <is>
          <t>Product</t>
        </is>
      </c>
      <c r="N75" s="34" t="inlineStr">
        <is>
          <t>ข้อสอบจริง Product ปี 2561 ข้อ 71</t>
        </is>
      </c>
      <c r="O75" s="35" t="inlineStr">
        <is>
          <t>ข้อสอบจริง</t>
        </is>
      </c>
      <c r="P75" s="35" t="inlineStr">
        <is>
          <t>ปี 2561</t>
        </is>
      </c>
    </row>
    <row r="76" ht="409.6" customHeight="1" s="49">
      <c r="A76" s="35" t="n">
        <v>74</v>
      </c>
      <c r="B76" s="34" t="inlineStr">
        <is>
          <t>เพราะเหตุใด phenytoin จึงต้องทำ bioavailability &amp; equivalent test</t>
        </is>
      </c>
      <c r="C76" s="35" t="n"/>
      <c r="D76" s="34" t="inlineStr">
        <is>
          <t>ไม่มียาในรูปแบบที่ละลายได้เร็วในปาก</t>
        </is>
      </c>
      <c r="E76" s="34" t="inlineStr">
        <is>
          <t>มีส่วนประกอบในตำรับที่ไม่มีผลต่อการดูดซึมหรือออกฤทธิ์</t>
        </is>
      </c>
      <c r="F76" s="34" t="inlineStr">
        <is>
          <t>ยาละลายเร็ว rapid solubility และ very rapid dissolution</t>
        </is>
      </c>
      <c r="G76" s="34" t="inlineStr">
        <is>
          <t>เพราะมีคุณสมบัติเป็น BCS class I เนื่องจาก high solubility high</t>
        </is>
      </c>
      <c r="H76" s="34" t="inlineStr">
        <is>
          <t>มีอัตราส่วน minimum toxic concentration (MTC) ต่อ minimum effective</t>
        </is>
      </c>
      <c r="I76" s="35" t="n">
        <v>1</v>
      </c>
      <c r="J76" s="34" t="inlineStr">
        <is>
          <t>✅ คำตอบที่ถูกต้อง: ข้อ ก. ไม่มียาในรูปแบบที่ละลายได้เร็วในปาก
💡 Background:
คำถามข้อสอบจริงใบประกอบวิชาชีพ PLE-CC 1 (Product) ปี 2561 ข้อ 72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6" s="35" t="n"/>
      <c r="L76" s="34" t="inlineStr">
        <is>
          <t>Biopharmaceutics &amp; Dissolution</t>
        </is>
      </c>
      <c r="M76" s="35" t="inlineStr">
        <is>
          <t>Product</t>
        </is>
      </c>
      <c r="N76" s="34" t="inlineStr">
        <is>
          <t>ข้อสอบจริง Product ปี 2561 ข้อ 72</t>
        </is>
      </c>
      <c r="O76" s="35" t="inlineStr">
        <is>
          <t>ข้อสอบจริง</t>
        </is>
      </c>
      <c r="P76" s="35" t="inlineStr">
        <is>
          <t>ปี 2561</t>
        </is>
      </c>
    </row>
    <row r="77" ht="409.6" customHeight="1" s="49">
      <c r="A77" s="35" t="n">
        <v>75</v>
      </c>
      <c r="B77" s="34" t="inlineStr">
        <is>
          <t>Phenytoin 100 mg. capsule ไม่ต้องทดสอบในหัวข้อใด</t>
        </is>
      </c>
      <c r="C77" s="35" t="n"/>
      <c r="D77" s="34" t="inlineStr">
        <is>
          <t>Assay</t>
        </is>
      </c>
      <c r="E77" s="34" t="inlineStr">
        <is>
          <t>Dissolution</t>
        </is>
      </c>
      <c r="F77" s="34" t="inlineStr">
        <is>
          <t>Identification</t>
        </is>
      </c>
      <c r="G77" s="34" t="inlineStr">
        <is>
          <t>Disintegration</t>
        </is>
      </c>
      <c r="H77" s="34" t="inlineStr">
        <is>
          <t>Content uniformity</t>
        </is>
      </c>
      <c r="I77" s="35" t="n">
        <v>1</v>
      </c>
      <c r="J77" s="34" t="inlineStr">
        <is>
          <t>✅ คำตอบที่ถูกต้อง: ข้อ ก. Assay
💡 Background:
คำถามข้อสอบจริงใบประกอบวิชาชีพ PLE-CC 1 (Product) ปี 2561 ข้อ 73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7" s="35" t="n"/>
      <c r="L77" s="34" t="inlineStr">
        <is>
          <t>Biopharmaceutics &amp; Dissolution</t>
        </is>
      </c>
      <c r="M77" s="35" t="inlineStr">
        <is>
          <t>Product</t>
        </is>
      </c>
      <c r="N77" s="34" t="inlineStr">
        <is>
          <t>ข้อสอบจริง Product ปี 2561 ข้อ 73</t>
        </is>
      </c>
      <c r="O77" s="35" t="inlineStr">
        <is>
          <t>ข้อสอบจริง</t>
        </is>
      </c>
      <c r="P77" s="35" t="inlineStr">
        <is>
          <t>ปี 2561</t>
        </is>
      </c>
    </row>
    <row r="78" ht="409.6" customHeight="1" s="49">
      <c r="A78" s="35" t="n">
        <v>76</v>
      </c>
      <c r="B78" s="34" t="inlineStr">
        <is>
          <t>ยา A standard ขนาด 100 mg/tablet เมื่อนำยา A เม็ดยาหนัก 400 mg ไปวิเคราะห์ปริมาณยาได้ค่า AUC=1,000,000 หากชั่งผงยามา 500 mg ให้ค่า AUC=1,250,000 อยากทราบ % label amount ของยา A เท่ากับข้อใด</t>
        </is>
      </c>
      <c r="C78" s="35" t="n"/>
      <c r="D78" s="34" t="inlineStr">
        <is>
          <t>100</t>
        </is>
      </c>
      <c r="E78" s="34" t="inlineStr">
        <is>
          <t>120</t>
        </is>
      </c>
      <c r="F78" s="34" t="inlineStr">
        <is>
          <t>125</t>
        </is>
      </c>
      <c r="G78" s="34" t="inlineStr">
        <is>
          <t>130</t>
        </is>
      </c>
      <c r="H78" s="34" t="inlineStr">
        <is>
          <t>140</t>
        </is>
      </c>
      <c r="I78" s="35" t="n">
        <v>1</v>
      </c>
      <c r="J78" s="34" t="inlineStr">
        <is>
          <t>✅ คำตอบที่ถูกต้อง: ข้อ ก. 100
💡 Background:
คำถามข้อสอบจริงใบประกอบวิชาชีพ PLE-CC 1 (Product) ปี 2561 ข้อ 83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8" s="35" t="n"/>
      <c r="L78" s="34" t="inlineStr">
        <is>
          <t>Biopharmaceutics &amp; Dissolution</t>
        </is>
      </c>
      <c r="M78" s="35" t="inlineStr">
        <is>
          <t>Product</t>
        </is>
      </c>
      <c r="N78" s="34" t="inlineStr">
        <is>
          <t>ข้อสอบจริง Product ปี 2561 ข้อ 83</t>
        </is>
      </c>
      <c r="O78" s="35" t="inlineStr">
        <is>
          <t>ข้อสอบจริง</t>
        </is>
      </c>
      <c r="P78" s="35" t="inlineStr">
        <is>
          <t>ปี 2561</t>
        </is>
      </c>
    </row>
    <row r="79" ht="409.6" customHeight="1" s="49">
      <c r="A79" s="35" t="n">
        <v>77</v>
      </c>
      <c r="B79"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13.1) Mannitol ทำหน้าที่อะไรในตำรับ</t>
        </is>
      </c>
      <c r="C79" s="35" t="n"/>
      <c r="D79" s="34" t="inlineStr">
        <is>
          <t>A</t>
        </is>
      </c>
      <c r="E79" s="34" t="inlineStr">
        <is>
          <t>B</t>
        </is>
      </c>
      <c r="F79" s="34" t="inlineStr">
        <is>
          <t>C</t>
        </is>
      </c>
      <c r="G79" s="34" t="inlineStr">
        <is>
          <t>D</t>
        </is>
      </c>
      <c r="H79" s="34" t="inlineStr">
        <is>
          <t>C+D</t>
        </is>
      </c>
      <c r="I79" s="35" t="n">
        <v>1</v>
      </c>
      <c r="J79" s="34" t="inlineStr">
        <is>
          <t>✅ คำตอบที่ถูกต้อง: ข้อ ก. A
💡 Background:
คำถามข้อสอบจริงใบประกอบวิชาชีพ PLE-CC 1 (Product) ปี 2559 ข้อ 13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79" s="35" t="n"/>
      <c r="L79" s="34" t="inlineStr">
        <is>
          <t>Biopharmaceutics &amp; Dissolution</t>
        </is>
      </c>
      <c r="M79" s="35" t="inlineStr">
        <is>
          <t>Product</t>
        </is>
      </c>
      <c r="N79" s="34" t="inlineStr">
        <is>
          <t>ข้อสอบจริง Product ปี 2559 ข้อ 13</t>
        </is>
      </c>
      <c r="O79" s="35" t="inlineStr">
        <is>
          <t>ข้อสอบจริง</t>
        </is>
      </c>
      <c r="P79" s="35" t="inlineStr">
        <is>
          <t>ปี 2559</t>
        </is>
      </c>
    </row>
    <row r="80" ht="409.6" customHeight="1" s="49">
      <c r="A80" s="35" t="n">
        <v>78</v>
      </c>
      <c r="B80" s="34" t="inlineStr">
        <is>
          <t>ข้อใดไม่จำเป็นใน certificate of analysis ของยา amoxicillin</t>
        </is>
      </c>
      <c r="C80" s="35" t="n"/>
      <c r="D80" s="34" t="inlineStr">
        <is>
          <t>Label amount</t>
        </is>
      </c>
      <c r="E80" s="34" t="inlineStr">
        <is>
          <t>Dissolution</t>
        </is>
      </c>
      <c r="F80" s="34" t="inlineStr">
        <is>
          <t>Uniformity of dosage</t>
        </is>
      </c>
      <c r="G80" s="34" t="inlineStr">
        <is>
          <t>Description</t>
        </is>
      </c>
      <c r="H80" s="34" t="inlineStr">
        <is>
          <t>Bioequivalent</t>
        </is>
      </c>
      <c r="I80" s="35" t="n">
        <v>1</v>
      </c>
      <c r="J80" s="34" t="inlineStr">
        <is>
          <t>✅ คำตอบที่ถูกต้อง: ข้อ ก. Label amount
💡 Background:
คำถามข้อสอบจริงใบประกอบวิชาชีพ PLE-CC 1 (Product) ปี 2559 ข้อ 21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0" s="35" t="n"/>
      <c r="L80" s="34" t="inlineStr">
        <is>
          <t>Biopharmaceutics &amp; Dissolution</t>
        </is>
      </c>
      <c r="M80" s="35" t="inlineStr">
        <is>
          <t>Product</t>
        </is>
      </c>
      <c r="N80" s="34" t="inlineStr">
        <is>
          <t>ข้อสอบจริง Product ปี 2559 ข้อ 21</t>
        </is>
      </c>
      <c r="O80" s="35" t="inlineStr">
        <is>
          <t>ข้อสอบจริง</t>
        </is>
      </c>
      <c r="P80" s="35" t="inlineStr">
        <is>
          <t>ปี 2559</t>
        </is>
      </c>
    </row>
    <row r="81" ht="409.6" customHeight="1" s="49">
      <c r="A81" s="35" t="n">
        <v>79</v>
      </c>
      <c r="B81" s="34" t="inlineStr">
        <is>
          <t>| สาร | F1 | F2 | F3 | F4 | F5 | | :---: | :---: | :---: | :---: | :---: | :---: | | Na CMC | 10 |  |  |  |  | | Cross povidone |  | 10 |  |  |  | | Alginic acid |  |  | 10 |  |  | | … |  |  |  | 10 |  | | … |  |  |  |  | 10 | | สารอื่น ๆ | ปริมาณเท่ากัน |  |  |  |  | | Disintegration time | 22 | 12 | 31 | 27 | 22 | 24.1) การทดสอบดังกล่าวต้องการที่จะทดสอบความแตกต่างของสารใด</t>
        </is>
      </c>
      <c r="C81" s="35" t="n"/>
      <c r="D81" s="34" t="inlineStr">
        <is>
          <t>F1</t>
        </is>
      </c>
      <c r="E81" s="34" t="inlineStr">
        <is>
          <t>F2</t>
        </is>
      </c>
      <c r="F81" s="34" t="inlineStr">
        <is>
          <t>F3</t>
        </is>
      </c>
      <c r="G81" s="34" t="inlineStr">
        <is>
          <t>F4</t>
        </is>
      </c>
      <c r="H81" s="34" t="inlineStr">
        <is>
          <t>F5</t>
        </is>
      </c>
      <c r="I81" s="35" t="n">
        <v>1</v>
      </c>
      <c r="J81" s="34" t="inlineStr">
        <is>
          <t>✅ คำตอบที่ถูกต้อง: ข้อ ก. F1
💡 Background:
คำถามข้อสอบจริงใบประกอบวิชาชีพ PLE-CC 1 (Product) ปี 2559 ข้อ 24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1" s="35" t="n"/>
      <c r="L81" s="34" t="inlineStr">
        <is>
          <t>Biopharmaceutics &amp; Dissolution</t>
        </is>
      </c>
      <c r="M81" s="35" t="inlineStr">
        <is>
          <t>Product</t>
        </is>
      </c>
      <c r="N81" s="34" t="inlineStr">
        <is>
          <t>ข้อสอบจริง Product ปี 2559 ข้อ 24</t>
        </is>
      </c>
      <c r="O81" s="35" t="inlineStr">
        <is>
          <t>ข้อสอบจริง</t>
        </is>
      </c>
      <c r="P81" s="35" t="inlineStr">
        <is>
          <t>ปี 2559</t>
        </is>
      </c>
    </row>
    <row r="82" ht="409.6" customHeight="1" s="49">
      <c r="A82" s="35" t="n">
        <v>80</v>
      </c>
      <c r="B82" s="34" t="inlineStr">
        <is>
          <t>ยา enfuvirtide ผลึกสีขาว, เป็น lyophilized powder, บริหารโดยการให้ทาง SC, reconstitute ด้วย SWFI 1.1 ml ซึ่ง 1 ml ประกอบไปด้วย Enfuvirtide 90 mg Mannitol 22.55 mg Sodium carbonate Sodium hydroxide และ HCl หลังผสม pH = 9.0 11.1) Mannitol ทำหน้าที่อะไรในต้ารับ</t>
        </is>
      </c>
      <c r="C82" s="35" t="n"/>
      <c r="D82" s="34" t="inlineStr">
        <is>
          <t>A</t>
        </is>
      </c>
      <c r="E82" s="34" t="inlineStr">
        <is>
          <t>B</t>
        </is>
      </c>
      <c r="F82" s="34" t="inlineStr">
        <is>
          <t>C</t>
        </is>
      </c>
      <c r="G82" s="34" t="inlineStr">
        <is>
          <t>D</t>
        </is>
      </c>
      <c r="H82" s="34" t="inlineStr">
        <is>
          <t>C และ D</t>
        </is>
      </c>
      <c r="I82" s="35" t="n">
        <v>1</v>
      </c>
      <c r="J82" s="34" t="inlineStr">
        <is>
          <t>✅ คำตอบที่ถูกต้อง: ข้อ ก. A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2" s="35" t="n"/>
      <c r="L82" s="34" t="inlineStr">
        <is>
          <t>Biopharmaceutics &amp; Dissolution</t>
        </is>
      </c>
      <c r="M82" s="35" t="inlineStr">
        <is>
          <t>Product</t>
        </is>
      </c>
      <c r="N82" s="34" t="inlineStr">
        <is>
          <t>ข้อสอบจริง Product ปี 2559 ข้อ 11</t>
        </is>
      </c>
      <c r="O82" s="35" t="inlineStr">
        <is>
          <t>ข้อสอบจริง</t>
        </is>
      </c>
      <c r="P82" s="35" t="inlineStr">
        <is>
          <t>ปี 2559</t>
        </is>
      </c>
    </row>
    <row r="83" ht="409.6" customHeight="1" s="49">
      <c r="A83" s="35" t="n">
        <v>81</v>
      </c>
      <c r="B83" s="34" t="inlineStr">
        <is>
          <t>ข้อใดไม่ได้อยู่ในการทดสอบมาตรฐานตาม USP</t>
        </is>
      </c>
      <c r="C83" s="35" t="n"/>
      <c r="D83" s="34" t="inlineStr">
        <is>
          <t>Disintegrations</t>
        </is>
      </c>
      <c r="E83" s="34" t="inlineStr">
        <is>
          <t>Dissolutions</t>
        </is>
      </c>
      <c r="F83" s="34" t="inlineStr">
        <is>
          <t>Hardness and Friability</t>
        </is>
      </c>
      <c r="G83" s="34" t="inlineStr">
        <is>
          <t>content uniformity</t>
        </is>
      </c>
      <c r="H83" s="34" t="inlineStr">
        <is>
          <t>Weight variations</t>
        </is>
      </c>
      <c r="I83" s="35" t="n">
        <v>1</v>
      </c>
      <c r="J83" s="34" t="inlineStr">
        <is>
          <t>✅ คำตอบที่ถูกต้อง: ข้อ ก. Disintegrations
💡 Background:
คำถามข้อสอบจริงใบประกอบวิชาชีพ PLE-CC 1 (Product) ปี 2559 ข้อ 2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3" s="35" t="n"/>
      <c r="L83" s="34" t="inlineStr">
        <is>
          <t>Biopharmaceutics &amp; Dissolution</t>
        </is>
      </c>
      <c r="M83" s="35" t="inlineStr">
        <is>
          <t>Product</t>
        </is>
      </c>
      <c r="N83" s="34" t="inlineStr">
        <is>
          <t>ข้อสอบจริง Product ปี 2559 ข้อ 2</t>
        </is>
      </c>
      <c r="O83" s="35" t="inlineStr">
        <is>
          <t>ข้อสอบจริง</t>
        </is>
      </c>
      <c r="P83" s="35" t="inlineStr">
        <is>
          <t>ปี 2559</t>
        </is>
      </c>
    </row>
    <row r="84" ht="409.6" customHeight="1" s="49">
      <c r="A84" s="35" t="n">
        <v>82</v>
      </c>
      <c r="B84" s="34" t="inlineStr">
        <is>
          <t>ตัวยา A ถูกทำลายได้ง่ายด้วยกรดในกระเพาะอาหาร มีค่า Log P สูง และต้องการตั้งตำรับยาเตรียมโดยให้ความสำคัญกับการควบคุมการปลดปล่อยในลำไส้ รวมทั้งยังต้องการให้อุปกรณ์สามารถแบ่งขนาดยา (หรือเปิดแคปซูลชงน้ำให้ผู้ป่วยกลืนยาก) ได้สะดวก ควรเลือกพัฒนายาเตรียมในรูปแบบใด?</t>
        </is>
      </c>
      <c r="C84" s="35" t="n"/>
      <c r="D84" s="34" t="inlineStr">
        <is>
          <t>ยาสูตรผสม Combination ให้ผลการรักษาโรคและป้องกันอวัยวะข้างเคียงได้ดีกว่าการใช้ยาเดี่ยวอย่างมีนัยสำคัญ</t>
        </is>
      </c>
      <c r="E84" s="34" t="inlineStr">
        <is>
          <t>ยาสูตรผสม Combination มีประสิทธิผลการรักษาโรคไม่แตกต่างจากยาเดี่ยว แต่ทำให้เกิดอันตรายและผลข้างเคียงต่อระบบไตสูงกว่าอย่างมีนัยสำคัญทางสถิติ</t>
        </is>
      </c>
      <c r="F84" s="34" t="inlineStr">
        <is>
          <t>ยา Telmisartan ป้องกันการเกิดโรคไตเสื่อมได้ดีกว่า Ramipril อย่างมีนัยสำคัญ</t>
        </is>
      </c>
      <c r="G84" s="34" t="inlineStr">
        <is>
          <t>ยา Ramipril ช่วยเพิ่มระดับอัตราการอยู่รอดของหัวใจได้ดีกว่า Telmisartan อย่างเห็นได้ชัด</t>
        </is>
      </c>
      <c r="H84" s="34" t="inlineStr">
        <is>
          <t>ยาสูตรผสมช่วยลดอัตราการเกิดโรคหัวใจเฉียบพลันได้ดีและมีผลข้างเคียงต่ำสุด</t>
        </is>
      </c>
      <c r="I84" s="35" t="n">
        <v>1</v>
      </c>
      <c r="J84" s="34" t="inlineStr">
        <is>
          <t>✅ คำตอบที่ถูกต้อง: ข้อ ก. ยาสูตรผสม Combination ให้ผลการรักษาโรคและป้องกันอวัยวะข้างเคียงได้ดีกว่าการใช้ยาเดี่ยวอย่างมีนัยสำคัญ
💡 Background:
คำถามข้อสอบจริงใบประกอบวิชาชีพ PLE-CC 1 (Product) ปี 2558 ข้อ 30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4" s="35" t="n"/>
      <c r="L84" s="34" t="inlineStr">
        <is>
          <t>Biopharmaceutics &amp; Dissolution</t>
        </is>
      </c>
      <c r="M84" s="35" t="inlineStr">
        <is>
          <t>Product</t>
        </is>
      </c>
      <c r="N84" s="34" t="inlineStr">
        <is>
          <t>ข้อสอบจริง Product ปี 2558 ข้อ 30</t>
        </is>
      </c>
      <c r="O84" s="35" t="inlineStr">
        <is>
          <t>ข้อสอบจริง</t>
        </is>
      </c>
      <c r="P84" s="35" t="inlineStr">
        <is>
          <t>ปี 2558</t>
        </is>
      </c>
    </row>
    <row r="85" ht="409.6" customHeight="1" s="49">
      <c r="A85" s="35" t="n">
        <v>83</v>
      </c>
      <c r="B85" s="34" t="inlineStr">
        <is>
          <t>ยา Piroxicam เป็นยาต้านอักเสบชนิดกรดอ่อน (Weak acid, pKa ≈ 6.3) มีความสามารถในการละลายน้ำต่ำแต่ซึมผ่านผนังลำไส้ได้สูง (BCS Class II) ข้อใดเป็นกลไกที่อธิบายการเพิ่มขึ้นของชีวประสิทธิผลและอัตราการดูดซึมยาตัวนี้?</t>
        </is>
      </c>
      <c r="C85" s="35" t="n"/>
      <c r="D85" s="34" t="inlineStr">
        <is>
          <t>การชะลอเวลาบีบตัวของกระเพาะอาหารลงสู่ลำไส้เล็ก (Increase gastric emptying time)</t>
        </is>
      </c>
      <c r="E85" s="34" t="inlineStr">
        <is>
          <t>การเร่งส่งยาลงสู่ลำไส้เล็กให้เร็วขึ้น (Decrease gastric emptying time)</t>
        </is>
      </c>
      <c r="F85" s="34" t="inlineStr">
        <is>
          <t>การเพิ่มเวลาที่ยาอยู่ในลำไส้เล็ก (Increase intestinal transit time)</t>
        </is>
      </c>
      <c r="G85" s="34" t="inlineStr">
        <is>
          <t>การลดเวลาที่ยาอยู่ในลำไส้เล็ก (Decrease intestinal transit time)</t>
        </is>
      </c>
      <c r="H85" s="34" t="inlineStr">
        <is>
          <t>อัตราการบีบตัวของทางเดินอาหารไม่มีผลต่อการดูดซึมของยากลุ่มนี้</t>
        </is>
      </c>
      <c r="I85" s="35" t="n">
        <v>1</v>
      </c>
      <c r="J85" s="34" t="inlineStr">
        <is>
          <t>✅ คำตอบที่ถูกต้อง: ข้อ ก. การชะลอเวลาบีบตัวของกระเพาะอาหารลงสู่ลำไส้เล็ก (Increase gastric emptying time)
💡 Background:
คำถามข้อสอบจริงใบประกอบวิชาชีพ PLE-CC 1 (Product) ปี 2558 ข้อ 34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5" s="35" t="n"/>
      <c r="L85" s="34" t="inlineStr">
        <is>
          <t>Biopharmaceutics &amp; Dissolution</t>
        </is>
      </c>
      <c r="M85" s="35" t="inlineStr">
        <is>
          <t>Product</t>
        </is>
      </c>
      <c r="N85" s="34" t="inlineStr">
        <is>
          <t>ข้อสอบจริง Product ปี 2558 ข้อ 34</t>
        </is>
      </c>
      <c r="O85" s="35" t="inlineStr">
        <is>
          <t>ข้อสอบจริง</t>
        </is>
      </c>
      <c r="P85" s="35" t="inlineStr">
        <is>
          <t>ปี 2558</t>
        </is>
      </c>
    </row>
    <row r="86" ht="409.6" customHeight="1" s="49">
      <c r="A86" s="35" t="n">
        <v>84</v>
      </c>
      <c r="B86" s="34" t="inlineStr">
        <is>
          <t>จากใบรายงานผลการวิเคราะห์ (Certificate of Analysis: COA) ของยาเม็ดทั่วไป ข้อใดกล่าวถึงหลักการอ่านและแปลผลที่ถูกต้อง? [แนบรูป: ข้อสอบ Product ปี 2558 รหัสรูปภาพ image124]</t>
        </is>
      </c>
      <c r="C86" s="35" t="inlineStr">
        <is>
          <t>[แนบรูป: ข้อสอบ Product ปี 2558 รหัสรูปภาพ image124]</t>
        </is>
      </c>
      <c r="D86" s="34" t="inlineStr">
        <is>
          <t>ผลการทดสอบ Dissolution จะตัดสินว่าผ่านเกณฑ์ในการทดสอบขั้นแรก (S1) ได้ทันทีเมื่อค่าเฉลี่ยของยาทั้ง 6 เม็ดมากกว่าหรือเท่ากับ Q</t>
        </is>
      </c>
      <c r="E86" s="34" t="inlineStr">
        <is>
          <t>ผลการทดสอบ Disintegration จะถือว่าผ่านเกณฑ์หากเม็ดยาทั้งหมดละลายจนเป็นสารละลายใสไม่มีตะกอนภายในเวลาที่กำหนด</t>
        </is>
      </c>
      <c r="F86" s="34" t="inlineStr">
        <is>
          <t>ผลการทดสอบ Weight Variation จะตัดสินว่าผ่านเกณฑ์ก็ต่อเมื่อค่าน้ำหนักของยาทุกเม็ดไม่มีเม็ดใดอยู่นอกช่วงที่ระบุในเภสัชตำรับ (เช่น ไม่เกิน ±7.5% หรือ ±10%)</t>
        </is>
      </c>
      <c r="G86" s="34" t="inlineStr">
        <is>
          <t>ตัวยามีปริมาณต่ำกว่าเกณฑ์ที่กำหนดเมื่อผลการทดสอบหาปริมาณตัวยาสำคัญ (Assay) ของผลิตภัณฑ์สำเร็จรูป (Finished Product) อยู่นอกช่วงมาตรฐานที่ระบุใน Monograph (เช่น ต่ำกว่า 90.0% of labeled amount)</t>
        </is>
      </c>
      <c r="H86" s="34" t="inlineStr">
        <is>
          <t>ผลการทดสอบ Identification ถือเป็นผลการทดสอบเชิงคุณภาพที่ไม่จำเป็นต้องสรุปผลในใบรายงาน COA ก่อนการปล่อยผ่านยา (Batch Release) ##</t>
        </is>
      </c>
      <c r="I86" s="35" t="n">
        <v>1</v>
      </c>
      <c r="J86" s="34" t="inlineStr">
        <is>
          <t>✅ คำตอบที่ถูกต้อง: ข้อ ก. ผลการทดสอบ Dissolution จะตัดสินว่าผ่านเกณฑ์ในการทดสอบขั้นแรก (S1) ได้ทันทีเมื่อค่าเฉลี่ยของยาทั้ง 6 เม็ดมากกว่าหรือเท่ากับ Q
💡 Background:
คำถามข้อสอบจริงใบประกอบวิชาชีพ PLE-CC 1 (Product) ปี 2558 ข้อ 40
🎯 ทำไมข้อนี้ถึงถูก:
ข้อ ก. สอดคล้องกับหลักการทางเภสัชกรรมและข้อกำหนดตามเภสัชตำรับ (Pharmacopoeia Standards) ในหัวข้อ Biopharmaceutics &amp; Dissolution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Biopharmaceutics &amp; Dissolution</t>
        </is>
      </c>
      <c r="K86" s="35" t="n"/>
      <c r="L86" s="34" t="inlineStr">
        <is>
          <t>Biopharmaceutics &amp; Dissolution</t>
        </is>
      </c>
      <c r="M86" s="35" t="inlineStr">
        <is>
          <t>Product</t>
        </is>
      </c>
      <c r="N86" s="34" t="inlineStr">
        <is>
          <t>ข้อสอบจริง Product ปี 2558 ข้อ 40</t>
        </is>
      </c>
      <c r="O86" s="35" t="inlineStr">
        <is>
          <t>ข้อสอบจริง</t>
        </is>
      </c>
      <c r="P86" s="35" t="inlineStr">
        <is>
          <t>ปี 2558</t>
        </is>
      </c>
    </row>
    <row r="87" ht="13.2" customHeight="1" s="49">
      <c r="A87" t="n">
        <v>85</v>
      </c>
      <c r="B87" t="inlineStr">
        <is>
          <t>ถ้าระดับ Albumin ในเลือดลดลง กระบวนการใดที่ไม่ได้รับผลกระทบจากการเปลี่ยนแปลงนี้</t>
        </is>
      </c>
      <c r="D87" t="inlineStr">
        <is>
          <t>Absorption</t>
        </is>
      </c>
      <c r="E87" t="inlineStr">
        <is>
          <t>Distribution</t>
        </is>
      </c>
      <c r="F87" t="inlineStr">
        <is>
          <t>Metabolism</t>
        </is>
      </c>
      <c r="G87" t="inlineStr">
        <is>
          <t>Elimination</t>
        </is>
      </c>
      <c r="H87" t="inlineStr">
        <is>
          <t>Biotransformation</t>
        </is>
      </c>
      <c r="I87" t="inlineStr">
        <is>
          <t>1</t>
        </is>
      </c>
      <c r="J87" t="inlineStr">
        <is>
          <t>✅ คำตอบที่ถูกต้อง: ข้อ ก. Absorption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7" t="inlineStr">
        <is>
          <t>Hypertension</t>
        </is>
      </c>
      <c r="M87" t="inlineStr">
        <is>
          <t>Clinic</t>
        </is>
      </c>
      <c r="N87" t="inlineStr">
        <is>
          <t>ข้อ 11 (PLE_CC1_Practice_Exam.md)</t>
        </is>
      </c>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8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2</t>
        </is>
      </c>
      <c r="B3" s="2" t="inlineStr">
        <is>
          <t>กระบวนการ sterilization ที่เหมาะสมกับผลิตภัณฑ์สำเร็จรูป insulin injection ได้แก่ข้อใด</t>
        </is>
      </c>
      <c r="C3" s="2" t="n"/>
      <c r="D3" s="2" t="inlineStr">
        <is>
          <t>Dry heat sterilization</t>
        </is>
      </c>
      <c r="E3" s="2" t="inlineStr">
        <is>
          <t>Sterile filtration</t>
        </is>
      </c>
      <c r="F3" s="2" t="inlineStr">
        <is>
          <t>Steam sterilization</t>
        </is>
      </c>
      <c r="G3" s="2" t="inlineStr">
        <is>
          <t>Ethylene oxide gas sterilization</t>
        </is>
      </c>
      <c r="H3" s="2" t="inlineStr">
        <is>
          <t>Gamma radiation sterilization</t>
        </is>
      </c>
      <c r="I3" s="8" t="inlineStr">
        <is>
          <t>1</t>
        </is>
      </c>
      <c r="J3" s="2" t="inlineStr">
        <is>
          <t>✅ คำตอบที่ถูกต้อง: ข้อ ก. Dry heat sterilization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 s="2" t="n"/>
      <c r="L3" s="2" t="inlineStr">
        <is>
          <t>Autoclave &amp; Sterilization</t>
        </is>
      </c>
      <c r="M3" s="2" t="inlineStr">
        <is>
          <t>Sterile Products</t>
        </is>
      </c>
      <c r="N3" s="2" t="inlineStr">
        <is>
          <t>Mock PLE-CC 1 ข้อ 32</t>
        </is>
      </c>
      <c r="O3" s="2" t="inlineStr">
        <is>
          <t>Mock</t>
        </is>
      </c>
      <c r="P3" s="2" t="inlineStr">
        <is>
          <t>Mock RxCU83</t>
        </is>
      </c>
      <c r="Q3" s="2" t="n"/>
    </row>
    <row r="4" ht="13.2" customHeight="1" s="49">
      <c r="A4" s="8" t="inlineStr">
        <is>
          <t>3</t>
        </is>
      </c>
      <c r="B4" s="2" t="inlineStr">
        <is>
          <t>COA ของ insulin biosimilar glargine อะไรไม่จำเป็นต้องมี</t>
        </is>
      </c>
      <c r="C4" s="2" t="n"/>
      <c r="D4" s="2" t="inlineStr">
        <is>
          <t>Assay</t>
        </is>
      </c>
      <c r="E4" s="2" t="inlineStr">
        <is>
          <t>Identification</t>
        </is>
      </c>
      <c r="F4" s="2" t="inlineStr">
        <is>
          <t>Bacterial endotoxin</t>
        </is>
      </c>
      <c r="G4" s="2" t="inlineStr">
        <is>
          <t>Impurity</t>
        </is>
      </c>
      <c r="H4" s="2" t="inlineStr">
        <is>
          <t>Dissolution</t>
        </is>
      </c>
      <c r="I4" s="8" t="inlineStr">
        <is>
          <t>1</t>
        </is>
      </c>
      <c r="J4" s="2" t="inlineStr">
        <is>
          <t>✅ คำตอบที่ถูกต้อง: ข้อ ก. Assay
💡 Background:
การบริบาลผู้ป่วยเบาหวานชนิดที่ 2 (T2DM) เน้นควบคุม HbA1c ควบคู่กับการเลือกยาที่มี cardiorenal protection ในผู้ป่วยที่มีโรคร่วม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2" t="n"/>
      <c r="L4" s="2" t="inlineStr">
        <is>
          <t>Parenterals &amp; Ophthalmic</t>
        </is>
      </c>
      <c r="M4" s="2" t="inlineStr">
        <is>
          <t>Sterile Products</t>
        </is>
      </c>
      <c r="N4" s="2" t="inlineStr">
        <is>
          <t>Mock PLE-CC 1 ข้อ 34</t>
        </is>
      </c>
      <c r="O4" s="2" t="inlineStr">
        <is>
          <t>Mock</t>
        </is>
      </c>
      <c r="P4" s="2" t="inlineStr">
        <is>
          <t>Mock RxCU83</t>
        </is>
      </c>
      <c r="Q4" s="2" t="n"/>
    </row>
    <row r="5" ht="13.2" customHeight="1" s="49">
      <c r="A5" s="8" t="inlineStr">
        <is>
          <t>4</t>
        </is>
      </c>
      <c r="B5" s="2" t="inlineStr">
        <is>
          <t>เหตุผลหลักในการตรวจ Bacterial endotoxin ใน Paclitaxel injection</t>
        </is>
      </c>
      <c r="C5" s="2" t="n"/>
      <c r="D5" s="2" t="inlineStr">
        <is>
          <t>เพื่อให้มั่นใจว่าไม่มีเชื้อราเจริญเติบโตในยา</t>
        </is>
      </c>
      <c r="E5" s="2" t="inlineStr">
        <is>
          <t>เพื่อป้องกันการเกิด Pyrogenic reaction</t>
        </is>
      </c>
      <c r="F5" s="2" t="inlineStr">
        <is>
          <t>เพื่อวัดความเข้มข้นของสารกันเสีย</t>
        </is>
      </c>
      <c r="G5" s="2" t="inlineStr">
        <is>
          <t>เพื่อประเมินความคงตัวของยาที่อุณหภูมิสูง</t>
        </is>
      </c>
      <c r="H5" s="2" t="inlineStr">
        <is>
          <t>เพื่อวัดความแรงในการออกฤทธิ์ต้านมะเร็ง</t>
        </is>
      </c>
      <c r="I5" s="8" t="inlineStr">
        <is>
          <t>1</t>
        </is>
      </c>
      <c r="J5" s="2"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2" t="n"/>
      <c r="L5" s="2" t="inlineStr">
        <is>
          <t>Sterility &amp; Pyrogen testing</t>
        </is>
      </c>
      <c r="M5" s="2" t="inlineStr">
        <is>
          <t>Sterile Products</t>
        </is>
      </c>
      <c r="N5" s="2" t="inlineStr">
        <is>
          <t>Mock PLE-CC 1 ข้อ 75</t>
        </is>
      </c>
      <c r="O5" s="2" t="inlineStr">
        <is>
          <t>Mock</t>
        </is>
      </c>
      <c r="P5" s="2" t="inlineStr">
        <is>
          <t>Mock RxCU83</t>
        </is>
      </c>
      <c r="Q5" s="2" t="n"/>
    </row>
    <row r="6" ht="13.2" customHeight="1" s="49">
      <c r="A6" s="8" t="inlineStr">
        <is>
          <t>5</t>
        </is>
      </c>
      <c r="B6" s="2" t="inlineStr">
        <is>
          <t>ในการผลิต mAB ใน bioreactor ปัจจัยใดที่ต้องควบคุมเพื่อให้เซลล์เจริญเติบโตได้ดี
และมีการสร้างโปรตีนอย่างมีประสิทธิภาพ</t>
        </is>
      </c>
      <c r="C6" s="2" t="n"/>
      <c r="D6" s="2" t="inlineStr">
        <is>
          <t>ควบคุม pH อุณหภูมิ และระดับ O2</t>
        </is>
      </c>
      <c r="E6" s="2" t="inlineStr">
        <is>
          <t>ใส่ตัวทำละลายอินทรีย์ เพื่อเร่งให้โปรตีนเกิดการพับตัว</t>
        </is>
      </c>
      <c r="F6" s="2" t="inlineStr">
        <is>
          <t>ใส่ reducing agent เพื่อป้องกันการเกิด disulfide bond formation</t>
        </is>
      </c>
      <c r="G6" s="2" t="inlineStr">
        <is>
          <t>Sterile ด้วยไรสักอย่างเพื่อไม่ให้เกิดการปนเปื้อน</t>
        </is>
      </c>
      <c r="H6" s="2" t="inlineStr">
        <is>
          <t>ใส่ protease เพื่อเร่งให้เกิดการเสื่อมสลายของโปรตีนที่ไม่ได้เกิดการพับ</t>
        </is>
      </c>
      <c r="I6" s="8" t="inlineStr">
        <is>
          <t>1</t>
        </is>
      </c>
      <c r="J6" s="2"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Parenterals &amp; Ophthalmic</t>
        </is>
      </c>
      <c r="M6" s="2" t="inlineStr">
        <is>
          <t>Sterile Products</t>
        </is>
      </c>
      <c r="N6" s="2" t="inlineStr">
        <is>
          <t>Mock PLE-CC 1 ข้อ 79</t>
        </is>
      </c>
      <c r="O6" s="2" t="inlineStr">
        <is>
          <t>Mock</t>
        </is>
      </c>
      <c r="P6" s="2" t="inlineStr">
        <is>
          <t>Mock RxCU83</t>
        </is>
      </c>
      <c r="Q6" s="2" t="n"/>
    </row>
    <row r="7" ht="13.2" customHeight="1" s="49">
      <c r="A7" s="8" t="inlineStr">
        <is>
          <t>6</t>
        </is>
      </c>
      <c r="B7" s="2"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2" t="n"/>
      <c r="D7" s="2" t="inlineStr">
        <is>
          <t>ผ่าน เพราะต ่ากว่า limit</t>
        </is>
      </c>
      <c r="E7" s="2" t="inlineStr">
        <is>
          <t>ไม่ผ่าน เพราะเกิน limit</t>
        </is>
      </c>
      <c r="F7" s="2" t="inlineStr">
        <is>
          <t>ผ่านได้ถ้าเจือจางเพิ่ม</t>
        </is>
      </c>
      <c r="G7" s="2" t="inlineStr">
        <is>
          <t>ไม่ผ่าน ต้องมีการทดสอบ sterility test ใหม่</t>
        </is>
      </c>
      <c r="H7" s="2" t="inlineStr">
        <is>
          <t>ไม่ผ่านซักขวด</t>
        </is>
      </c>
      <c r="I7" s="8" t="inlineStr">
        <is>
          <t>1</t>
        </is>
      </c>
      <c r="J7" s="2"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2" t="n"/>
      <c r="L7" s="2" t="inlineStr">
        <is>
          <t>Sterility &amp; Pyrogen testing</t>
        </is>
      </c>
      <c r="M7" s="2" t="inlineStr">
        <is>
          <t>Sterile Products</t>
        </is>
      </c>
      <c r="N7" s="2" t="inlineStr">
        <is>
          <t>Mock PLE-CC 1 ข้อ 105</t>
        </is>
      </c>
      <c r="O7" s="2" t="inlineStr">
        <is>
          <t>Mock</t>
        </is>
      </c>
      <c r="P7" s="2" t="inlineStr">
        <is>
          <t>Mock RxCU83</t>
        </is>
      </c>
      <c r="Q7" s="2" t="n"/>
    </row>
    <row r="8" ht="13.2" customHeight="1" s="49">
      <c r="A8" s="8" t="inlineStr">
        <is>
          <t>7</t>
        </is>
      </c>
      <c r="B8" s="2" t="inlineStr">
        <is>
          <t>ผลิตภัณฑ์ยาหยอดตาที่มีการทำ filtration sterilization ข้อใดไม่ถูกต้อง</t>
        </is>
      </c>
      <c r="C8" s="2" t="n"/>
      <c r="D8" s="2" t="inlineStr">
        <is>
          <t>ต้องทำใน clean room และใช้ aseptic techniques</t>
        </is>
      </c>
      <c r="E8" s="2" t="inlineStr">
        <is>
          <t>เป็น terminal (finish) process</t>
        </is>
      </c>
      <c r="F8" s="2" t="inlineStr">
        <is>
          <t>ใช้ 0.22 ไมครอน ในการกรองจุลินทรีย์</t>
        </is>
      </c>
      <c r="G8" s="2" t="inlineStr">
        <is>
          <t>ยาที่กรองแล้วต้องใส่ภาชนะที่ทำ sterilization แล้ว</t>
        </is>
      </c>
      <c r="H8" s="2" t="inlineStr">
        <is>
          <t>เหมาะกับยาที่ทนความร้อนไม่ได้</t>
        </is>
      </c>
      <c r="I8" s="8" t="inlineStr">
        <is>
          <t>1</t>
        </is>
      </c>
      <c r="J8" s="2" t="inlineStr">
        <is>
          <t>✅ คำตอบที่ถูกต้อง: ข้อ ก. ต้องทำใน clean room และใช้ aseptic techniques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2" t="n"/>
      <c r="L8" s="2" t="inlineStr">
        <is>
          <t>Autoclave &amp; Sterilization</t>
        </is>
      </c>
      <c r="M8" s="2" t="inlineStr">
        <is>
          <t>Sterile Products</t>
        </is>
      </c>
      <c r="N8" s="2" t="inlineStr">
        <is>
          <t>PLE_CC1_2567_Key ข้อ 17</t>
        </is>
      </c>
      <c r="O8" s="2" t="inlineStr">
        <is>
          <t>ข้อสอบจริง</t>
        </is>
      </c>
      <c r="P8" s="2" t="inlineStr">
        <is>
          <t>ปี 2567</t>
        </is>
      </c>
      <c r="Q8" s="2" t="n"/>
    </row>
    <row r="9" ht="13.2" customHeight="1" s="49">
      <c r="A9" s="8" t="inlineStr">
        <is>
          <t>8</t>
        </is>
      </c>
      <c r="B9" s="2" t="inlineStr">
        <is>
          <t>อะไรใน sterile IV mixture set ที่เกิดปกญหามากที่สุดกับ nitroglycerin</t>
        </is>
      </c>
      <c r="C9" s="2" t="n"/>
      <c r="D9" s="2" t="inlineStr">
        <is>
          <t>Polyethylene</t>
        </is>
      </c>
      <c r="E9" s="2" t="inlineStr">
        <is>
          <t>Polypropylene</t>
        </is>
      </c>
      <c r="F9" s="2" t="inlineStr">
        <is>
          <t>Teflon</t>
        </is>
      </c>
      <c r="G9" s="2" t="inlineStr">
        <is>
          <t>PVC</t>
        </is>
      </c>
      <c r="H9" s="2" t="inlineStr">
        <is>
          <t>Polystyrene</t>
        </is>
      </c>
      <c r="I9" s="8" t="inlineStr">
        <is>
          <t>1</t>
        </is>
      </c>
      <c r="J9" s="2" t="inlineStr">
        <is>
          <t>✅ คำตอบที่ถูกต้อง: ข้อ ก. Polyethylene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2" t="n"/>
      <c r="L9" s="2" t="inlineStr">
        <is>
          <t>Parenterals &amp; Ophthalmic</t>
        </is>
      </c>
      <c r="M9" s="2" t="inlineStr">
        <is>
          <t>Sterile Products</t>
        </is>
      </c>
      <c r="N9" s="2" t="inlineStr">
        <is>
          <t>PLE_CC1_2565_Day2_Key ข้อ 27</t>
        </is>
      </c>
      <c r="O9" s="2" t="inlineStr">
        <is>
          <t>ข้อสอบจริง</t>
        </is>
      </c>
      <c r="P9" s="2" t="inlineStr">
        <is>
          <t>ปี 2565</t>
        </is>
      </c>
      <c r="Q9" s="2" t="n"/>
    </row>
    <row r="10" ht="13.2" customHeight="1" s="49">
      <c r="A10" s="8" t="inlineStr">
        <is>
          <t>9</t>
        </is>
      </c>
      <c r="B10" s="2"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t>
        </is>
      </c>
      <c r="C10" s="2" t="n"/>
      <c r="D10" s="2" t="inlineStr">
        <is>
          <t>Buffering agent</t>
        </is>
      </c>
      <c r="E10" s="2" t="inlineStr">
        <is>
          <t>Viscosity enhancer</t>
        </is>
      </c>
      <c r="F10" s="2" t="inlineStr">
        <is>
          <t>surface active agent</t>
        </is>
      </c>
      <c r="G10" s="2" t="inlineStr">
        <is>
          <t>isotonic agent</t>
        </is>
      </c>
      <c r="H10" s="2" t="inlineStr">
        <is>
          <t>stabilizer</t>
        </is>
      </c>
      <c r="I10" s="8" t="inlineStr">
        <is>
          <t>1</t>
        </is>
      </c>
      <c r="J10" s="2"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2" t="n"/>
      <c r="L10" s="2" t="inlineStr">
        <is>
          <t>Parenterals &amp; Ophthalmic</t>
        </is>
      </c>
      <c r="M10" s="2" t="inlineStr">
        <is>
          <t>Sterile Products</t>
        </is>
      </c>
      <c r="N10" s="2" t="inlineStr">
        <is>
          <t>PLE_CC1_2565_Day2_Key ข้อ 43</t>
        </is>
      </c>
      <c r="O10" s="2" t="inlineStr">
        <is>
          <t>ข้อสอบจริง</t>
        </is>
      </c>
      <c r="P10" s="2" t="inlineStr">
        <is>
          <t>ปี 2565</t>
        </is>
      </c>
      <c r="Q10" s="2" t="n"/>
    </row>
    <row r="11" ht="13.2" customHeight="1" s="49">
      <c r="A11" s="2" t="n">
        <v>9</v>
      </c>
      <c r="B11" s="2" t="inlineStr">
        <is>
          <t>ข้อใดถูกต้องเกี่ยวกับยา steroid ฉีดเข้าข้อ X &amp;o preservative&amp;</t>
        </is>
      </c>
      <c r="C11" s="2" t="n"/>
      <c r="D11" s="2" t="inlineStr">
        <is>
          <t>ห้ามใส่สารกันเสีย</t>
        </is>
      </c>
      <c r="E11" s="2" t="inlineStr">
        <is>
          <t>ฉีดเข้าข้อเท่านั้น ห้ามฉีดเข้ากล้ามเนื้อ</t>
        </is>
      </c>
      <c r="F11" s="2" t="inlineStr">
        <is>
          <t>ฉีดเข้าข้อได้มากกว่า 100 มิลลิลิตร</t>
        </is>
      </c>
      <c r="G11" s="2" t="inlineStr">
        <is>
          <t>ทำเป็นยารูปแบบแขวนตะกอนได้</t>
        </is>
      </c>
      <c r="H11" s="2" t="inlineStr">
        <is>
          <t>Sterile ด้วย autoclave</t>
        </is>
      </c>
      <c r="I11" s="2" t="n">
        <v>1</v>
      </c>
      <c r="J11" s="2"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2" t="n"/>
      <c r="L11" s="2" t="inlineStr">
        <is>
          <t>Parenterals &amp; Ophthalmic</t>
        </is>
      </c>
      <c r="M11" s="2" t="inlineStr">
        <is>
          <t>Product</t>
        </is>
      </c>
      <c r="N11" s="2" t="inlineStr">
        <is>
          <t>ข้อ 30 (PLE_CC1_2562_Key.md)</t>
        </is>
      </c>
      <c r="O11" s="2" t="inlineStr">
        <is>
          <t>ข้อสอบจริง</t>
        </is>
      </c>
      <c r="P11" s="2" t="inlineStr">
        <is>
          <t>ปี 2562</t>
        </is>
      </c>
    </row>
    <row r="12" ht="13.2" customHeight="1" s="49">
      <c r="A12" s="2" t="n">
        <v>10</v>
      </c>
      <c r="B12" s="2" t="inlineStr">
        <is>
          <t>หลังเกิด hepatitis จากยา IRZE ยาใดเหมาะสมที่สุดในการให้แทนยา 1st line X ิ areisinterna nurser. hepatitis an IRZO "EOS</t>
        </is>
      </c>
      <c r="C12" s="2" t="n"/>
      <c r="D12" s="2" t="inlineStr">
        <is>
          <t>PAS</t>
        </is>
      </c>
      <c r="E12" s="2" t="inlineStr">
        <is>
          <t>Streptomycin</t>
        </is>
      </c>
      <c r="F12" s="2" t="inlineStr">
        <is>
          <t>Thalidomide</t>
        </is>
      </c>
      <c r="G12" s="2" t="inlineStr">
        <is>
          <t>Ethioamide</t>
        </is>
      </c>
      <c r="H12" s="2" t="inlineStr">
        <is>
          <t>Linezolid</t>
        </is>
      </c>
      <c r="I12" s="2" t="n">
        <v>1</v>
      </c>
      <c r="J12" s="2"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2" t="n"/>
      <c r="L12" s="2" t="inlineStr">
        <is>
          <t>Sterile Cleanroom specs</t>
        </is>
      </c>
      <c r="M12" s="2" t="inlineStr">
        <is>
          <t>Product</t>
        </is>
      </c>
      <c r="N12" s="2" t="inlineStr">
        <is>
          <t>ข้อ 12 (PLE_CC1_2562_Key.md)</t>
        </is>
      </c>
      <c r="O12" s="2" t="inlineStr">
        <is>
          <t>ข้อสอบจริง</t>
        </is>
      </c>
      <c r="P12" s="2" t="inlineStr">
        <is>
          <t>ปี 2562</t>
        </is>
      </c>
    </row>
    <row r="13" ht="13.2" customHeight="1" s="49">
      <c r="A13" s="2" t="n">
        <v>11</v>
      </c>
      <c r="B13" s="2" t="inlineStr">
        <is>
          <t>ข้อใดไม.ใช.การทดสอบเพื่อควบคุมคุณภาพยาฉีด</t>
        </is>
      </c>
      <c r="C13" s="2" t="n"/>
      <c r="D13" s="2" t="inlineStr">
        <is>
          <t>Safety test</t>
        </is>
      </c>
      <c r="E13" s="2" t="inlineStr">
        <is>
          <t>Sterility test</t>
        </is>
      </c>
      <c r="F13" s="2" t="inlineStr">
        <is>
          <t>Pyrogen test</t>
        </is>
      </c>
      <c r="G13" s="2" t="inlineStr">
        <is>
          <t>Particulate matter test</t>
        </is>
      </c>
      <c r="H13" s="2" t="inlineStr">
        <is>
          <t>Microbial test</t>
        </is>
      </c>
      <c r="I13" s="2" t="n">
        <v>1</v>
      </c>
      <c r="J13" s="2"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2" t="n"/>
      <c r="L13" s="2" t="inlineStr">
        <is>
          <t>Parenterals &amp; Ophthalmic</t>
        </is>
      </c>
      <c r="M13" s="2" t="inlineStr">
        <is>
          <t>Product</t>
        </is>
      </c>
      <c r="N13" s="2" t="inlineStr">
        <is>
          <t>ข้อ 124 (PLE_CC1_2561_Key.md)</t>
        </is>
      </c>
      <c r="O13" s="2" t="inlineStr">
        <is>
          <t>ข้อสอบจริง</t>
        </is>
      </c>
      <c r="P13" s="2" t="inlineStr">
        <is>
          <t>ปี 2561</t>
        </is>
      </c>
    </row>
    <row r="14" ht="13.2" customHeight="1" s="49">
      <c r="A14" s="2" t="n">
        <v>12</v>
      </c>
      <c r="B14" s="2" t="inlineStr">
        <is>
          <t>วิธีการทำปราศจากเชื้อวัคซีน</t>
        </is>
      </c>
      <c r="C14" s="2" t="n"/>
      <c r="D14" s="2" t="inlineStr">
        <is>
          <t>Aseptic technique</t>
        </is>
      </c>
      <c r="E14" s="2" t="inlineStr">
        <is>
          <t>Autoclave</t>
        </is>
      </c>
      <c r="F14" s="2" t="inlineStr">
        <is>
          <t>Hot air oven</t>
        </is>
      </c>
      <c r="G14" s="2" t="inlineStr">
        <is>
          <t>Gamma radiation</t>
        </is>
      </c>
      <c r="H14" s="2" t="inlineStr">
        <is>
          <t>Ethylene oxide</t>
        </is>
      </c>
      <c r="I14" s="2" t="n">
        <v>1</v>
      </c>
      <c r="J14" s="2"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Parenterals &amp; Ophthalmic</t>
        </is>
      </c>
      <c r="M14" s="2" t="inlineStr">
        <is>
          <t>Product</t>
        </is>
      </c>
      <c r="N14" s="2" t="inlineStr">
        <is>
          <t>ข้อ 40 (PLE_CC1_2558_Key.md)</t>
        </is>
      </c>
      <c r="O14" s="2" t="inlineStr">
        <is>
          <t>ข้อสอบจริง</t>
        </is>
      </c>
      <c r="P14" s="2" t="inlineStr">
        <is>
          <t>ปี 2558</t>
        </is>
      </c>
    </row>
    <row r="15" ht="13.2" customHeight="1" s="49">
      <c r="A15" s="2" t="n">
        <v>13</v>
      </c>
      <c r="B15" s="2" t="inlineStr">
        <is>
          <t>ผู้ป่วยได้รับการวินิจฉัยว่ามีภาวะ hepatic encephalopathy ยาในข้อใดที_x001E_ผู้ป่วยรายนี%ไม่ควรได้รับ (1) Lorazepam (2) Flumazenil (3) Zinc sulfate (4) Lactulose (5) Rifaximin</t>
        </is>
      </c>
      <c r="C15" s="2" t="n"/>
      <c r="D15" s="2" t="inlineStr">
        <is>
          <t>Isotonic Sodium Chloride 0.9% Osmotic Adjustment</t>
        </is>
      </c>
      <c r="E15" s="2" t="inlineStr">
        <is>
          <t>Moist Heat Steam Sterilization (Autoclave 121 C, 15 psi, 15 min)</t>
        </is>
      </c>
      <c r="F15" s="2" t="inlineStr">
        <is>
          <t>Dry Heat Sterilization (Hot Air Oven 160-170 C, 2 hours)</t>
        </is>
      </c>
      <c r="G15" s="2" t="inlineStr">
        <is>
          <t>Membrane Filtration Sterilization (0.22 micron pore size)</t>
        </is>
      </c>
      <c r="H15" s="2" t="inlineStr">
        <is>
          <t>Ethylene Oxide Gas Sterilization (ETO)</t>
        </is>
      </c>
      <c r="I15" s="2" t="n">
        <v>1</v>
      </c>
      <c r="J1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Sterile Cleanroom specs</t>
        </is>
      </c>
      <c r="M15" s="2" t="inlineStr">
        <is>
          <t>Product</t>
        </is>
      </c>
      <c r="N15" s="2" t="inlineStr">
        <is>
          <t>ข้อ 57 (PLE_CC1_2557.md)</t>
        </is>
      </c>
      <c r="O15" s="2" t="inlineStr">
        <is>
          <t>ข้อสอบจริง</t>
        </is>
      </c>
      <c r="P15" s="2" t="inlineStr">
        <is>
          <t>ปี 2557</t>
        </is>
      </c>
    </row>
    <row r="16" ht="13.2" customHeight="1" s="49">
      <c r="A16" s="2" t="n">
        <v>14</v>
      </c>
      <c r="B16" s="2" t="inlineStr">
        <is>
          <t>ตำรับยาฉีด Desferrioxamine ที_x001E_เตรียมขึ%นนี% ไม่จำเป็นต้อง มีการควบคุมคุณภาพใด (1) pH (2) Sterility (3) Pyrogen (4) Particulate matter (5) Osmolarity of solution MCQ 12 | 1/2557 | Page 26</t>
        </is>
      </c>
      <c r="C16" s="2" t="n"/>
      <c r="D16" s="2" t="inlineStr">
        <is>
          <t>Membrane Filtration Sterilization (0.22 micron pore size)</t>
        </is>
      </c>
      <c r="E16" s="2" t="inlineStr">
        <is>
          <t>Ethylene Oxide Gas Sterilization (ETO)</t>
        </is>
      </c>
      <c r="F16" s="2" t="inlineStr">
        <is>
          <t>LAL Test (Limulus Amebocyte Lysate Bacterial Endotoxin)</t>
        </is>
      </c>
      <c r="G16" s="2" t="inlineStr">
        <is>
          <t>Rabbit Pyrogen Test in vivo</t>
        </is>
      </c>
      <c r="H16" s="2" t="inlineStr">
        <is>
          <t>ISO Class 5 (Grade A) Laminar Airflow Workstation</t>
        </is>
      </c>
      <c r="I16" s="2" t="n">
        <v>1</v>
      </c>
      <c r="J1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Sterility &amp; Pyrogen testing</t>
        </is>
      </c>
      <c r="M16" s="2" t="inlineStr">
        <is>
          <t>Product</t>
        </is>
      </c>
      <c r="N16" s="2" t="inlineStr">
        <is>
          <t>ข้อ 80 (PLE_CC1_2557.md)</t>
        </is>
      </c>
      <c r="O16" s="2" t="inlineStr">
        <is>
          <t>ข้อสอบจริง</t>
        </is>
      </c>
      <c r="P16" s="2" t="inlineStr">
        <is>
          <t>ปี 2557</t>
        </is>
      </c>
    </row>
    <row r="17" ht="13.2" customHeight="1" s="49">
      <c r="A17" s="2" t="n">
        <v>15</v>
      </c>
      <c r="B17" s="2" t="inlineStr">
        <is>
          <t>การทดสอบโดยการฉีดเข้าไปในหูกระต่ายแล้ววัดอุณหภูมิของกระต่ายที่สูงขึ้น เป็นการทดสอบอะไร</t>
        </is>
      </c>
      <c r="C17" s="2" t="n"/>
      <c r="D17" s="2" t="inlineStr">
        <is>
          <t>Clarity test</t>
        </is>
      </c>
      <c r="E17" s="2" t="inlineStr">
        <is>
          <t>Sterility test</t>
        </is>
      </c>
      <c r="F17" s="2" t="inlineStr">
        <is>
          <t>Purity test</t>
        </is>
      </c>
      <c r="G17" s="2" t="inlineStr">
        <is>
          <t>Pyrogen test</t>
        </is>
      </c>
      <c r="H17" s="2" t="inlineStr">
        <is>
          <t>Toxicity test</t>
        </is>
      </c>
      <c r="I17" s="2" t="n">
        <v>1</v>
      </c>
      <c r="J17" s="2"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Parenterals &amp; Ophthalmic</t>
        </is>
      </c>
      <c r="M17" s="2" t="inlineStr">
        <is>
          <t>Product</t>
        </is>
      </c>
      <c r="N17" s="2" t="inlineStr">
        <is>
          <t>ข้อ 18 (PLE_CC1_2555 Day 1.md)</t>
        </is>
      </c>
      <c r="O17" s="2" t="inlineStr">
        <is>
          <t>ข้อสอบจริง</t>
        </is>
      </c>
      <c r="P17" s="2" t="inlineStr">
        <is>
          <t>ปี 2555</t>
        </is>
      </c>
    </row>
    <row r="18" ht="13.2" customHeight="1" s="49">
      <c r="A18" s="2" t="n">
        <v>16</v>
      </c>
      <c r="B18" s="2" t="inlineStr">
        <is>
          <t>Cholestasis hepatitis</t>
        </is>
      </c>
      <c r="C18" s="2" t="n"/>
      <c r="D18" s="2" t="inlineStr">
        <is>
          <t>Dry Powder Inhaler (DPI) with Carrier Lactose</t>
        </is>
      </c>
      <c r="E18" s="2" t="inlineStr">
        <is>
          <t>Isotonic Sodium Chloride 0.9% Osmotic Adjustment</t>
        </is>
      </c>
      <c r="F18" s="2" t="inlineStr">
        <is>
          <t>Moist Heat Steam Sterilization (Autoclave 121 C, 15 psi, 15 min)</t>
        </is>
      </c>
      <c r="G18" s="2" t="inlineStr">
        <is>
          <t>Dry Heat Sterilization (Hot Air Oven 160-170 C, 2 hours)</t>
        </is>
      </c>
      <c r="H18" s="2" t="inlineStr">
        <is>
          <t>Membrane Filtration Sterilization (0.22 micron pore size)</t>
        </is>
      </c>
      <c r="I18" s="2" t="n">
        <v>1</v>
      </c>
      <c r="J18" s="2"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Sterile Cleanroom specs</t>
        </is>
      </c>
      <c r="M18" s="2" t="inlineStr">
        <is>
          <t>Product</t>
        </is>
      </c>
      <c r="N18" s="2" t="inlineStr">
        <is>
          <t>ข้อ 1 (PLE_CC1_2555 Day 2.md)</t>
        </is>
      </c>
      <c r="O18" s="2" t="inlineStr">
        <is>
          <t>ข้อสอบจริง</t>
        </is>
      </c>
      <c r="P18" s="2" t="inlineStr">
        <is>
          <t>ปี 2555</t>
        </is>
      </c>
    </row>
    <row r="19" ht="13.2" customHeight="1" s="49">
      <c r="A19" s="2" t="n">
        <v>17</v>
      </c>
      <c r="B19" s="2" t="inlineStr">
        <is>
          <t>Hepatitic fibrosis</t>
        </is>
      </c>
      <c r="C19" s="2" t="n"/>
      <c r="D19" s="2" t="inlineStr">
        <is>
          <t>Dry Heat Sterilization (Hot Air Oven 160-170 C, 2 hours)</t>
        </is>
      </c>
      <c r="E19" s="2" t="inlineStr">
        <is>
          <t>Membrane Filtration Sterilization (0.22 micron pore size)</t>
        </is>
      </c>
      <c r="F19" s="2" t="inlineStr">
        <is>
          <t>Ethylene Oxide Gas Sterilization (ETO)</t>
        </is>
      </c>
      <c r="G19" s="2" t="inlineStr">
        <is>
          <t>LAL Test (Limulus Amebocyte Lysate Bacterial Endotoxin)</t>
        </is>
      </c>
      <c r="H19" s="2" t="inlineStr">
        <is>
          <t>Rabbit Pyrogen Test in vivo</t>
        </is>
      </c>
      <c r="I19" s="2" t="n">
        <v>1</v>
      </c>
      <c r="J1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Sterile Cleanroom specs</t>
        </is>
      </c>
      <c r="M19" s="2" t="inlineStr">
        <is>
          <t>Product</t>
        </is>
      </c>
      <c r="N19" s="2" t="inlineStr">
        <is>
          <t>ข้อ 2 (PLE_CC1_2555 Day 2.md)</t>
        </is>
      </c>
      <c r="O19" s="2" t="inlineStr">
        <is>
          <t>ข้อสอบจริง</t>
        </is>
      </c>
      <c r="P19" s="2" t="inlineStr">
        <is>
          <t>ปี 2555</t>
        </is>
      </c>
    </row>
    <row r="20" ht="13.2" customHeight="1" s="49">
      <c r="A20" s="2" t="n">
        <v>18</v>
      </c>
      <c r="B20" s="2" t="inlineStr">
        <is>
          <t>Hepatocellular hepatitis</t>
        </is>
      </c>
      <c r="C20" s="2" t="n"/>
      <c r="D20" s="2" t="inlineStr">
        <is>
          <t>LAL Test (Limulus Amebocyte Lysate Bacterial Endotoxin)</t>
        </is>
      </c>
      <c r="E20" s="2" t="inlineStr">
        <is>
          <t>Rabbit Pyrogen Test in vivo</t>
        </is>
      </c>
      <c r="F20" s="2" t="inlineStr">
        <is>
          <t>ISO Class 5 (Grade A) Laminar Airflow Workstation</t>
        </is>
      </c>
      <c r="G20" s="2" t="inlineStr">
        <is>
          <t>Metered Dose Inhaler (MDI) with HFA propellant</t>
        </is>
      </c>
      <c r="H20" s="2" t="inlineStr">
        <is>
          <t>Dry Powder Inhaler (DPI) with Carrier Lactose</t>
        </is>
      </c>
      <c r="I20" s="2" t="n">
        <v>1</v>
      </c>
      <c r="J2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Sterile Cleanroom specs</t>
        </is>
      </c>
      <c r="M20" s="2" t="inlineStr">
        <is>
          <t>Product</t>
        </is>
      </c>
      <c r="N20" s="2" t="inlineStr">
        <is>
          <t>ข้อ 3 (PLE_CC1_2555 Day 2.md)</t>
        </is>
      </c>
      <c r="O20" s="2" t="inlineStr">
        <is>
          <t>ข้อสอบจริง</t>
        </is>
      </c>
      <c r="P20" s="2" t="inlineStr">
        <is>
          <t>ปี 2555</t>
        </is>
      </c>
    </row>
    <row r="21" ht="13.2" customHeight="1" s="49">
      <c r="A21" s="2" t="n">
        <v>19</v>
      </c>
      <c r="B21" s="2" t="inlineStr">
        <is>
          <t>Granulomatous hepatitis</t>
        </is>
      </c>
      <c r="C21" s="2" t="n"/>
      <c r="D21" s="2" t="inlineStr">
        <is>
          <t>Metered Dose Inhaler (MDI) with HFA propellant</t>
        </is>
      </c>
      <c r="E21" s="2" t="inlineStr">
        <is>
          <t>Dry Powder Inhaler (DPI) with Carrier Lactose</t>
        </is>
      </c>
      <c r="F21" s="2" t="inlineStr">
        <is>
          <t>Isotonic Sodium Chloride 0.9% Osmotic Adjustment</t>
        </is>
      </c>
      <c r="G21" s="2" t="inlineStr">
        <is>
          <t>Moist Heat Steam Sterilization (Autoclave 121 C, 15 psi, 15 min)</t>
        </is>
      </c>
      <c r="H21" s="2" t="inlineStr">
        <is>
          <t>Dry Heat Sterilization (Hot Air Oven 160-170 C, 2 hours)</t>
        </is>
      </c>
      <c r="I21" s="2" t="n">
        <v>1</v>
      </c>
      <c r="J2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Sterile Cleanroom specs</t>
        </is>
      </c>
      <c r="M21" s="2" t="inlineStr">
        <is>
          <t>Product</t>
        </is>
      </c>
      <c r="N21" s="2" t="inlineStr">
        <is>
          <t>ข้อ 4 (PLE_CC1_2555 Day 2.md)</t>
        </is>
      </c>
      <c r="O21" s="2" t="inlineStr">
        <is>
          <t>ข้อสอบจริง</t>
        </is>
      </c>
      <c r="P21" s="2" t="inlineStr">
        <is>
          <t>ปี 2555</t>
        </is>
      </c>
    </row>
    <row r="22" ht="13.2" customHeight="1" s="49">
      <c r="A22" s="2" t="n">
        <v>20</v>
      </c>
      <c r="B22" s="2" t="inlineStr">
        <is>
          <t>Elevated hepatic transaminase</t>
        </is>
      </c>
      <c r="C22" s="2" t="n"/>
      <c r="D22" s="2" t="inlineStr">
        <is>
          <t>Moist Heat Steam Sterilization (Autoclave 121 C, 15 psi, 15 min)</t>
        </is>
      </c>
      <c r="E22" s="2" t="inlineStr">
        <is>
          <t>Dry Heat Sterilization (Hot Air Oven 160-170 C, 2 hours)</t>
        </is>
      </c>
      <c r="F22" s="2" t="inlineStr">
        <is>
          <t>Membrane Filtration Sterilization (0.22 micron pore size)</t>
        </is>
      </c>
      <c r="G22" s="2" t="inlineStr">
        <is>
          <t>Ethylene Oxide Gas Sterilization (ETO)</t>
        </is>
      </c>
      <c r="H22" s="2" t="inlineStr">
        <is>
          <t>LAL Test (Limulus Amebocyte Lysate Bacterial Endotoxin)</t>
        </is>
      </c>
      <c r="I22" s="2" t="n">
        <v>1</v>
      </c>
      <c r="J2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Sterile Cleanroom specs</t>
        </is>
      </c>
      <c r="M22" s="2" t="inlineStr">
        <is>
          <t>Product</t>
        </is>
      </c>
      <c r="N22" s="2" t="inlineStr">
        <is>
          <t>ข้อ 1 (PLE_CC1_2554 SET2.md)</t>
        </is>
      </c>
      <c r="O22" s="2" t="inlineStr">
        <is>
          <t>ข้อสอบจริง</t>
        </is>
      </c>
      <c r="P22" s="2" t="inlineStr">
        <is>
          <t>ปี 2554</t>
        </is>
      </c>
    </row>
    <row r="23" ht="13.2" customHeight="1" s="49">
      <c r="A23" s="2" t="n">
        <v>21</v>
      </c>
      <c r="B23" s="2" t="inlineStr">
        <is>
          <t>อะไรคือสิ่งที่สำคัญที่สุดในการทำยาหยอดตา</t>
        </is>
      </c>
      <c r="C23" s="2" t="n"/>
      <c r="D23" s="2" t="inlineStr">
        <is>
          <t>Tonicity</t>
        </is>
      </c>
      <c r="E23" s="2" t="inlineStr">
        <is>
          <t>Preservatives</t>
        </is>
      </c>
      <c r="F23" s="2" t="inlineStr">
        <is>
          <t>Sterity</t>
        </is>
      </c>
      <c r="G23" s="2" t="inlineStr">
        <is>
          <t>Volume</t>
        </is>
      </c>
      <c r="H23" s="2" t="inlineStr">
        <is>
          <t>pH</t>
        </is>
      </c>
      <c r="I23" s="2" t="n">
        <v>2</v>
      </c>
      <c r="J23" s="2"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Parenterals &amp; Ophthalmic</t>
        </is>
      </c>
      <c r="M23" s="2" t="inlineStr">
        <is>
          <t>Product</t>
        </is>
      </c>
      <c r="N23" s="2" t="inlineStr">
        <is>
          <t>ข้อ 7 (PLE_CC1_2554 SET2.md)</t>
        </is>
      </c>
      <c r="O23" s="2" t="inlineStr">
        <is>
          <t>ข้อสอบจริง</t>
        </is>
      </c>
      <c r="P23" s="2" t="inlineStr">
        <is>
          <t>ปี 2554</t>
        </is>
      </c>
    </row>
    <row r="24" ht="13.2" customHeight="1" s="49">
      <c r="A24" s="2" t="n">
        <v>22</v>
      </c>
      <c r="B24" s="2"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2" t="n"/>
      <c r="D24" s="2" t="inlineStr">
        <is>
          <t>ISO Class 5 (Grade A) Laminar Airflow Workstation</t>
        </is>
      </c>
      <c r="E24" s="2" t="inlineStr">
        <is>
          <t>Metered Dose Inhaler (MDI) with HFA propellant</t>
        </is>
      </c>
      <c r="F24" s="2" t="inlineStr">
        <is>
          <t>Dry Powder Inhaler (DPI) with Carrier Lactose</t>
        </is>
      </c>
      <c r="G24" s="2" t="inlineStr">
        <is>
          <t>Isotonic Sodium Chloride 0.9% Osmotic Adjustment</t>
        </is>
      </c>
      <c r="H24" s="2" t="inlineStr">
        <is>
          <t>Moist Heat Steam Sterilization (Autoclave 121 C, 15 psi, 15 min)</t>
        </is>
      </c>
      <c r="I24" s="2" t="n">
        <v>1</v>
      </c>
      <c r="J2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Sterile Cleanroom specs</t>
        </is>
      </c>
      <c r="M24" s="2" t="inlineStr">
        <is>
          <t>Product</t>
        </is>
      </c>
      <c r="N24" s="2" t="inlineStr">
        <is>
          <t>ข้อ 2 (PLE_CC1_2533.md)</t>
        </is>
      </c>
      <c r="O24" s="2" t="inlineStr">
        <is>
          <t>ข้อสอบจริง</t>
        </is>
      </c>
      <c r="P24" s="2" t="inlineStr">
        <is>
          <t>ปี 2533</t>
        </is>
      </c>
    </row>
    <row r="25" ht="13.2" customHeight="1" s="49">
      <c r="A25" s="2" t="n">
        <v>23</v>
      </c>
      <c r="B25" s="2" t="inlineStr">
        <is>
          <t>หากท่านต้องการเตรียมการผลิต แบ่งบรรจุยาเคมีบำบัด ควรเตรียมยาในห้องที่มีสภาวะแบบใด</t>
        </is>
      </c>
      <c r="C25" s="2" t="n"/>
      <c r="D25" s="2" t="inlineStr">
        <is>
          <t>Isotonic Sodium Chloride 0.9% Osmotic Adjustment</t>
        </is>
      </c>
      <c r="E25" s="2" t="inlineStr">
        <is>
          <t>Moist Heat Steam Sterilization (Autoclave 121 C, 15 psi, 15 min)</t>
        </is>
      </c>
      <c r="F25" s="2" t="inlineStr">
        <is>
          <t>Dry Heat Sterilization (Hot Air Oven 160-170 C, 2 hours)</t>
        </is>
      </c>
      <c r="G25" s="2" t="inlineStr">
        <is>
          <t>Membrane Filtration Sterilization (0.22 micron pore size)</t>
        </is>
      </c>
      <c r="H25" s="2" t="inlineStr">
        <is>
          <t>Ethylene Oxide Gas Sterilization (ETO)</t>
        </is>
      </c>
      <c r="I25" s="2" t="n">
        <v>1</v>
      </c>
      <c r="J25" s="2"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Parenterals &amp; Ophthalmic</t>
        </is>
      </c>
      <c r="M25" s="2" t="inlineStr">
        <is>
          <t>Product</t>
        </is>
      </c>
      <c r="N25" s="2" t="inlineStr">
        <is>
          <t>ข้อ 8 (PLE_CC1_2533.md)</t>
        </is>
      </c>
      <c r="O25" s="2" t="inlineStr">
        <is>
          <t>ข้อสอบจริง</t>
        </is>
      </c>
      <c r="P25" s="2" t="inlineStr">
        <is>
          <t>ปี 2533</t>
        </is>
      </c>
    </row>
    <row r="26" ht="13.2" customHeight="1" s="49">
      <c r="A26" s="2" t="n">
        <v>24</v>
      </c>
      <c r="B26" s="2"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2" t="n"/>
      <c r="D26" s="2" t="inlineStr">
        <is>
          <t>ควรเลือก Unfractionated Heparin (UFH) เนื่องจากเกิด thrombocytopenia ต่ำ</t>
        </is>
      </c>
      <c r="E26" s="2" t="inlineStr">
        <is>
          <t>ควรเลือก Unfractionated Heparin (UFH) เนื่องจากปรับขนาดยาง่าย</t>
        </is>
      </c>
      <c r="F26" s="2" t="inlineStr">
        <is>
          <t>ควรเลือก Unfractionated Heparin (UFH) เนื่องจากมี specificity สูง</t>
        </is>
      </c>
      <c r="G26" s="2" t="inlineStr">
        <is>
          <t>ควรเลือก Low molecular weight heparin (LMWH) เนื่องจากบริหารยาง่าย</t>
        </is>
      </c>
      <c r="H26" s="2" t="inlineStr">
        <is>
          <t>ควรเลือก Low molecular weight heparin (LMWH) เนื่องจากไม่ต้องปรับขนาดยาในคนไข้โรค ไต</t>
        </is>
      </c>
      <c r="I26" s="2" t="n">
        <v>1</v>
      </c>
      <c r="J26" s="2"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Sterile Cleanroom specs</t>
        </is>
      </c>
      <c r="M26" s="2" t="inlineStr">
        <is>
          <t>Product</t>
        </is>
      </c>
      <c r="N26" s="2" t="inlineStr">
        <is>
          <t>ข้อ 7 (PLE_CC1_Practice_Exam.md)</t>
        </is>
      </c>
      <c r="O26" s="2" t="inlineStr">
        <is>
          <t>Mock</t>
        </is>
      </c>
      <c r="P26" s="2" t="inlineStr">
        <is>
          <t>Mock สภาเภสัชฯ Practice</t>
        </is>
      </c>
    </row>
    <row r="27" ht="13.2" customHeight="1" s="49">
      <c r="A27" s="2" t="n">
        <v>25</v>
      </c>
      <c r="B27" s="2" t="inlineStr">
        <is>
          <t>เภสัชกรพิจารณาจ่ายยา Chloramphenicol eye drop เภสัชกรควรให้คำแนะนำในการหยอดตาอย่างไร</t>
        </is>
      </c>
      <c r="C27" s="2" t="n"/>
      <c r="D27" s="2" t="inlineStr">
        <is>
          <t>หลังเปิดใช้งานแล้วเก็บยาที่อุณหภูมิห้องหรือภายในตู้เย็น โดยยามีอายุ 14 วันหลังเปิดใช้งาน</t>
        </is>
      </c>
      <c r="E27" s="2" t="inlineStr">
        <is>
          <t>หากผู้ป่วยจำเป็นต้องใช้ยาป้ายตา ointment ร่วมด้วยควรใช้ยาป้ายตาก่อนหยอดตา Chloramphenicol eye drop</t>
        </is>
      </c>
      <c r="F27" s="2" t="inlineStr">
        <is>
          <t>การกดหัวตาเบาๆ อาจช่วยลดความรู้สึกขมคอภายหลังหยอดตาได้</t>
        </is>
      </c>
      <c r="G27" s="2"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2" t="inlineStr">
        <is>
          <t>ล้างมือให้สะอาด เปิดฝาครอบขวดยาออก คว่ำฝาชวดยาลงบนพื้น</t>
        </is>
      </c>
      <c r="I27" s="2" t="n">
        <v>1</v>
      </c>
      <c r="J27" s="2"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Parenterals &amp; Ophthalmic</t>
        </is>
      </c>
      <c r="M27" s="2" t="inlineStr">
        <is>
          <t>Product</t>
        </is>
      </c>
      <c r="N27" s="2" t="inlineStr">
        <is>
          <t>ข้อ 25 (PLE_CC1_Practice_Exam.md)</t>
        </is>
      </c>
      <c r="O27" s="2" t="inlineStr">
        <is>
          <t>Mock</t>
        </is>
      </c>
      <c r="P27" s="2" t="inlineStr">
        <is>
          <t>Mock สภาเภสัชฯ Practice</t>
        </is>
      </c>
    </row>
    <row r="28" ht="13.2" customHeight="1" s="49">
      <c r="A28" s="2" t="n">
        <v>26</v>
      </c>
      <c r="B28" s="2"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8" s="2" t="n"/>
      <c r="D28" s="2" t="inlineStr">
        <is>
          <t>Metformin (มีผลข้างเคียงทำให้น้ำหนักลด) ง. Chlorpropamide จ. Sitagliptin</t>
        </is>
      </c>
      <c r="E28" s="2" t="inlineStr">
        <is>
          <t>Isotonic Sodium Chloride 0.9% Osmotic Adjustment</t>
        </is>
      </c>
      <c r="F28" s="2" t="inlineStr">
        <is>
          <t>Moist Heat Steam Sterilization (Autoclave 121 C, 15 psi, 15 min)</t>
        </is>
      </c>
      <c r="G28" s="2" t="inlineStr">
        <is>
          <t>Dry Heat Sterilization (Hot Air Oven 160-170 C, 2 hours)</t>
        </is>
      </c>
      <c r="H28" s="2" t="inlineStr">
        <is>
          <t>Membrane Filtration Sterilization (0.22 micron pore size)</t>
        </is>
      </c>
      <c r="I28" s="2" t="n">
        <v>1</v>
      </c>
      <c r="J28" s="2"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Sterile Cleanroom specs</t>
        </is>
      </c>
      <c r="M28" s="2" t="inlineStr">
        <is>
          <t>Product</t>
        </is>
      </c>
      <c r="N28" s="2" t="inlineStr">
        <is>
          <t>ข้อ 6 (PLE_CC1_Practice_Exam.md)</t>
        </is>
      </c>
      <c r="O28" s="2" t="inlineStr">
        <is>
          <t>Mock</t>
        </is>
      </c>
      <c r="P28" s="2" t="inlineStr">
        <is>
          <t>Mock สภาเภสัชฯ Practice</t>
        </is>
      </c>
    </row>
    <row r="29" ht="13.2" customHeight="1" s="49">
      <c r="A29" s="2" t="n">
        <v>27</v>
      </c>
      <c r="B29" s="2"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2" t="n"/>
      <c r="D29" s="2" t="inlineStr">
        <is>
          <t>Dry Heat Sterilization (Hot Air Oven 160-170 C, 2 hours)</t>
        </is>
      </c>
      <c r="E29" s="2" t="inlineStr">
        <is>
          <t>Membrane Filtration Sterilization (0.22 micron pore size)</t>
        </is>
      </c>
      <c r="F29" s="2" t="inlineStr">
        <is>
          <t>Ethylene Oxide Gas Sterilization (ETO)</t>
        </is>
      </c>
      <c r="G29" s="2" t="inlineStr">
        <is>
          <t>LAL Test (Limulus Amebocyte Lysate Bacterial Endotoxin)</t>
        </is>
      </c>
      <c r="H29" s="2" t="inlineStr">
        <is>
          <t>Rabbit Pyrogen Test in vivo</t>
        </is>
      </c>
      <c r="I29" s="2" t="n">
        <v>1</v>
      </c>
      <c r="J2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Sterile Cleanroom specs</t>
        </is>
      </c>
      <c r="M29" s="2" t="inlineStr">
        <is>
          <t>Product</t>
        </is>
      </c>
      <c r="N29" s="2" t="inlineStr">
        <is>
          <t>ข้อ 8 (PLE_CC1_Practice_Exam.md)</t>
        </is>
      </c>
      <c r="O29" s="2" t="inlineStr">
        <is>
          <t>Mock</t>
        </is>
      </c>
      <c r="P29" s="2" t="inlineStr">
        <is>
          <t>Mock สภาเภสัชฯ Practice</t>
        </is>
      </c>
    </row>
    <row r="30" ht="13.2" customHeight="1" s="49">
      <c r="A30" s="2" t="n">
        <v>28</v>
      </c>
      <c r="B30" s="2"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2" t="n"/>
      <c r="D30" s="2" t="inlineStr">
        <is>
          <t>LAL Test (Limulus Amebocyte Lysate Bacterial Endotoxin)</t>
        </is>
      </c>
      <c r="E30" s="2" t="inlineStr">
        <is>
          <t>Rabbit Pyrogen Test in vivo</t>
        </is>
      </c>
      <c r="F30" s="2" t="inlineStr">
        <is>
          <t>ISO Class 5 (Grade A) Laminar Airflow Workstation</t>
        </is>
      </c>
      <c r="G30" s="2" t="inlineStr">
        <is>
          <t>Metered Dose Inhaler (MDI) with HFA propellant</t>
        </is>
      </c>
      <c r="H30" s="2" t="inlineStr">
        <is>
          <t>Dry Powder Inhaler (DPI) with Carrier Lactose</t>
        </is>
      </c>
      <c r="I30" s="2" t="n">
        <v>1</v>
      </c>
      <c r="J3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Sterile Cleanroom specs</t>
        </is>
      </c>
      <c r="M30" s="2" t="inlineStr">
        <is>
          <t>Product</t>
        </is>
      </c>
      <c r="N30" s="2" t="inlineStr">
        <is>
          <t>ข้อ 10 (PLE_CC1_Practice_Exam.md)</t>
        </is>
      </c>
      <c r="O30" s="2" t="inlineStr">
        <is>
          <t>Mock</t>
        </is>
      </c>
      <c r="P30" s="2" t="inlineStr">
        <is>
          <t>Mock สภาเภสัชฯ Practice</t>
        </is>
      </c>
    </row>
    <row r="31" ht="13.2" customHeight="1" s="49">
      <c r="A31" s="2" t="n">
        <v>29</v>
      </c>
      <c r="B31" s="2"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31" s="2" t="n"/>
      <c r="D31" s="2" t="inlineStr">
        <is>
          <t>Metered Dose Inhaler (MDI) with HFA propellant</t>
        </is>
      </c>
      <c r="E31" s="2" t="inlineStr">
        <is>
          <t>Dry Powder Inhaler (DPI) with Carrier Lactose</t>
        </is>
      </c>
      <c r="F31" s="2" t="inlineStr">
        <is>
          <t>Isotonic Sodium Chloride 0.9% Osmotic Adjustment</t>
        </is>
      </c>
      <c r="G31" s="2" t="inlineStr">
        <is>
          <t>Moist Heat Steam Sterilization (Autoclave 121 C, 15 psi, 15 min)</t>
        </is>
      </c>
      <c r="H31" s="2" t="inlineStr">
        <is>
          <t>Dry Heat Sterilization (Hot Air Oven 160-170 C, 2 hours)</t>
        </is>
      </c>
      <c r="I31" s="2" t="n">
        <v>1</v>
      </c>
      <c r="J3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Sterile Cleanroom specs</t>
        </is>
      </c>
      <c r="M31" s="2" t="inlineStr">
        <is>
          <t>Product</t>
        </is>
      </c>
      <c r="N31" s="2" t="inlineStr">
        <is>
          <t>ข้อ 4 (PLE_CC1_Practice_Exam.md)</t>
        </is>
      </c>
      <c r="O31" s="2" t="inlineStr">
        <is>
          <t>Mock</t>
        </is>
      </c>
      <c r="P31" s="2" t="inlineStr">
        <is>
          <t>Mock สภาเภสัชฯ Practice</t>
        </is>
      </c>
    </row>
    <row r="32" ht="13.2" customHeight="1" s="49">
      <c r="A32" s="2" t="n">
        <v>30</v>
      </c>
      <c r="B32" s="2"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32" s="2" t="n"/>
      <c r="D32" s="2" t="inlineStr">
        <is>
          <t>Moist Heat Steam Sterilization (Autoclave 121 C, 15 psi, 15 min)</t>
        </is>
      </c>
      <c r="E32" s="2" t="inlineStr">
        <is>
          <t>Dry Heat Sterilization (Hot Air Oven 160-170 C, 2 hours)</t>
        </is>
      </c>
      <c r="F32" s="2" t="inlineStr">
        <is>
          <t>Membrane Filtration Sterilization (0.22 micron pore size)</t>
        </is>
      </c>
      <c r="G32" s="2" t="inlineStr">
        <is>
          <t>Ethylene Oxide Gas Sterilization (ETO)</t>
        </is>
      </c>
      <c r="H32" s="2" t="inlineStr">
        <is>
          <t>LAL Test (Limulus Amebocyte Lysate Bacterial Endotoxin)</t>
        </is>
      </c>
      <c r="I32" s="2" t="n">
        <v>1</v>
      </c>
      <c r="J32" s="2"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Sterile Cleanroom specs</t>
        </is>
      </c>
      <c r="M32" s="2" t="inlineStr">
        <is>
          <t>Product</t>
        </is>
      </c>
      <c r="N32" s="2" t="inlineStr">
        <is>
          <t>ข้อ 3 (PLE_CC1_Practice_Exam.md)</t>
        </is>
      </c>
      <c r="O32" s="2" t="inlineStr">
        <is>
          <t>Mock</t>
        </is>
      </c>
      <c r="P32" s="2" t="inlineStr">
        <is>
          <t>Mock สภาเภสัชฯ Practice</t>
        </is>
      </c>
    </row>
    <row r="33" ht="13.2" customHeight="1" s="49">
      <c r="A33" s="2" t="n">
        <v>31</v>
      </c>
      <c r="B33" s="2"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2" t="n"/>
      <c r="D33" s="2" t="inlineStr">
        <is>
          <t>Ethylene Oxide Gas Sterilization (ETO)</t>
        </is>
      </c>
      <c r="E33" s="2" t="inlineStr">
        <is>
          <t>LAL Test (Limulus Amebocyte Lysate Bacterial Endotoxin)</t>
        </is>
      </c>
      <c r="F33" s="2" t="inlineStr">
        <is>
          <t>Rabbit Pyrogen Test in vivo</t>
        </is>
      </c>
      <c r="G33" s="2" t="inlineStr">
        <is>
          <t>ISO Class 5 (Grade A) Laminar Airflow Workstation</t>
        </is>
      </c>
      <c r="H33" s="2" t="inlineStr">
        <is>
          <t>Metered Dose Inhaler (MDI) with HFA propellant</t>
        </is>
      </c>
      <c r="I33" s="2" t="n">
        <v>3</v>
      </c>
      <c r="J33" s="2"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Sterile Cleanroom specs</t>
        </is>
      </c>
      <c r="M33" s="2" t="inlineStr">
        <is>
          <t>Product</t>
        </is>
      </c>
      <c r="N33" s="2" t="inlineStr">
        <is>
          <t>ข้อ 33 (PLE_CC1_Practice_Exam.md)</t>
        </is>
      </c>
      <c r="O33" s="2" t="inlineStr">
        <is>
          <t>Mock</t>
        </is>
      </c>
      <c r="P33" s="2" t="inlineStr">
        <is>
          <t>Mock สภาเภสัชฯ Practice</t>
        </is>
      </c>
    </row>
    <row r="34" ht="13.2" customHeight="1" s="49">
      <c r="A34" s="2" t="n">
        <v>32</v>
      </c>
      <c r="B34" s="2"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4" s="2" t="n"/>
      <c r="D34" s="2" t="inlineStr">
        <is>
          <t>ISO Class 5 (Grade A) Laminar Airflow Workstation</t>
        </is>
      </c>
      <c r="E34" s="2" t="inlineStr">
        <is>
          <t>Metered Dose Inhaler (MDI) with HFA propellant</t>
        </is>
      </c>
      <c r="F34" s="2" t="inlineStr">
        <is>
          <t>Dry Powder Inhaler (DPI) with Carrier Lactose</t>
        </is>
      </c>
      <c r="G34" s="2" t="inlineStr">
        <is>
          <t>Isotonic Sodium Chloride 0.9% Osmotic Adjustment</t>
        </is>
      </c>
      <c r="H34" s="2" t="inlineStr">
        <is>
          <t>Moist Heat Steam Sterilization (Autoclave 121 C, 15 psi, 15 min)</t>
        </is>
      </c>
      <c r="I34" s="2" t="n">
        <v>2</v>
      </c>
      <c r="J34" s="2"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Sterile Cleanroom specs</t>
        </is>
      </c>
      <c r="M34" s="2" t="inlineStr">
        <is>
          <t>Product</t>
        </is>
      </c>
      <c r="N34" s="2" t="inlineStr">
        <is>
          <t>ข้อ 39 (PLE_CC1_Practice_Exam.md)</t>
        </is>
      </c>
      <c r="O34" s="2" t="inlineStr">
        <is>
          <t>Mock</t>
        </is>
      </c>
      <c r="P34" s="2" t="inlineStr">
        <is>
          <t>Mock สภาเภสัชฯ Practice</t>
        </is>
      </c>
    </row>
    <row r="35" ht="13.2" customHeight="1" s="49">
      <c r="A35" s="2" t="n">
        <v>33</v>
      </c>
      <c r="B35" s="2"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2" t="n"/>
      <c r="D35" s="2" t="inlineStr">
        <is>
          <t>Isotonic Sodium Chloride 0.9% Osmotic Adjustment</t>
        </is>
      </c>
      <c r="E35" s="2" t="inlineStr">
        <is>
          <t>Moist Heat Steam Sterilization (Autoclave 121 C, 15 psi, 15 min)</t>
        </is>
      </c>
      <c r="F35" s="2" t="inlineStr">
        <is>
          <t>Dry Heat Sterilization (Hot Air Oven 160-170 C, 2 hours)</t>
        </is>
      </c>
      <c r="G35" s="2" t="inlineStr">
        <is>
          <t>Membrane Filtration Sterilization (0.22 micron pore size)</t>
        </is>
      </c>
      <c r="H35" s="2" t="inlineStr">
        <is>
          <t>Ethylene Oxide Gas Sterilization (ETO)</t>
        </is>
      </c>
      <c r="I35" s="2" t="n">
        <v>1</v>
      </c>
      <c r="J35" s="2"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Sterile Cleanroom specs</t>
        </is>
      </c>
      <c r="M35" s="2" t="inlineStr">
        <is>
          <t>Product</t>
        </is>
      </c>
      <c r="N35" s="2" t="inlineStr">
        <is>
          <t>ข้อ 2 (PLE_CC1_Key_Rx20_UBU.md)</t>
        </is>
      </c>
      <c r="O35" s="2" t="inlineStr">
        <is>
          <t>Mock</t>
        </is>
      </c>
      <c r="P35" s="2" t="inlineStr">
        <is>
          <t>Mock Rx20 UBU</t>
        </is>
      </c>
    </row>
    <row r="36" ht="13.2" customHeight="1" s="49">
      <c r="A36" s="2" t="n">
        <v>34</v>
      </c>
      <c r="B36" s="2" t="inlineStr">
        <is>
          <t>ระบบอากาศเป็น HEPA filter และ Pre HEPA</t>
        </is>
      </c>
      <c r="C36" s="2" t="n"/>
      <c r="D36" s="2" t="inlineStr">
        <is>
          <t>Membrane Filtration Sterilization (0.22 micron pore size)</t>
        </is>
      </c>
      <c r="E36" s="2" t="inlineStr">
        <is>
          <t>Ethylene Oxide Gas Sterilization (ETO)</t>
        </is>
      </c>
      <c r="F36" s="2" t="inlineStr">
        <is>
          <t>LAL Test (Limulus Amebocyte Lysate Bacterial Endotoxin)</t>
        </is>
      </c>
      <c r="G36" s="2" t="inlineStr">
        <is>
          <t>Rabbit Pyrogen Test in vivo</t>
        </is>
      </c>
      <c r="H36" s="2" t="inlineStr">
        <is>
          <t>ISO Class 5 (Grade A) Laminar Airflow Workstation</t>
        </is>
      </c>
      <c r="I36" s="2" t="n">
        <v>1</v>
      </c>
      <c r="J3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Sterile Cleanroom specs</t>
        </is>
      </c>
      <c r="M36" s="2" t="inlineStr">
        <is>
          <t>Product</t>
        </is>
      </c>
      <c r="N36" s="2" t="inlineStr">
        <is>
          <t>ข้อ 1 (PLE_CC1_Key_Rx20_UBU.md)</t>
        </is>
      </c>
      <c r="O36" s="2" t="inlineStr">
        <is>
          <t>Mock</t>
        </is>
      </c>
      <c r="P36" s="2" t="inlineStr">
        <is>
          <t>Mock Rx20 UBU</t>
        </is>
      </c>
    </row>
    <row r="37" ht="13.2" customHeight="1" s="49">
      <c r="A37" s="2" t="n">
        <v>35</v>
      </c>
      <c r="B37" s="2" t="inlineStr">
        <is>
          <t>Hepatitis B</t>
        </is>
      </c>
      <c r="C37" s="2" t="n"/>
      <c r="D37" s="2" t="inlineStr">
        <is>
          <t>Rabbit Pyrogen Test in vivo</t>
        </is>
      </c>
      <c r="E37" s="2" t="inlineStr">
        <is>
          <t>ISO Class 5 (Grade A) Laminar Airflow Workstation</t>
        </is>
      </c>
      <c r="F37" s="2" t="inlineStr">
        <is>
          <t>Metered Dose Inhaler (MDI) with HFA propellant</t>
        </is>
      </c>
      <c r="G37" s="2" t="inlineStr">
        <is>
          <t>Dry Powder Inhaler (DPI) with Carrier Lactose</t>
        </is>
      </c>
      <c r="H37" s="2" t="inlineStr">
        <is>
          <t>Isotonic Sodium Chloride 0.9% Osmotic Adjustment</t>
        </is>
      </c>
      <c r="I37" s="2" t="n">
        <v>1</v>
      </c>
      <c r="J3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Sterile Cleanroom specs</t>
        </is>
      </c>
      <c r="M37" s="2" t="inlineStr">
        <is>
          <t>Product</t>
        </is>
      </c>
      <c r="N37" s="2" t="inlineStr">
        <is>
          <t>ข้อ 5 (PLE_CC1_Key_Rx20_UBU.md)</t>
        </is>
      </c>
      <c r="O37" s="2" t="inlineStr">
        <is>
          <t>Mock</t>
        </is>
      </c>
      <c r="P37" s="2" t="inlineStr">
        <is>
          <t>Mock Rx20 UBU</t>
        </is>
      </c>
    </row>
    <row r="38" ht="13.2" customHeight="1" s="49">
      <c r="A38" s="2" t="n">
        <v>36</v>
      </c>
      <c r="B38" s="2"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2" t="n"/>
      <c r="D38" s="2" t="inlineStr">
        <is>
          <t>Dry Powder Inhaler (DPI) with Carrier Lactose</t>
        </is>
      </c>
      <c r="E38" s="2" t="inlineStr">
        <is>
          <t>Isotonic Sodium Chloride 0.9% Osmotic Adjustment</t>
        </is>
      </c>
      <c r="F38" s="2" t="inlineStr">
        <is>
          <t>Moist Heat Steam Sterilization (Autoclave 121 C, 15 psi, 15 min)</t>
        </is>
      </c>
      <c r="G38" s="2" t="inlineStr">
        <is>
          <t>Dry Heat Sterilization (Hot Air Oven 160-170 C, 2 hours)</t>
        </is>
      </c>
      <c r="H38" s="2" t="inlineStr">
        <is>
          <t>Membrane Filtration Sterilization (0.22 micron pore size)</t>
        </is>
      </c>
      <c r="I38" s="2" t="n">
        <v>5</v>
      </c>
      <c r="J38" s="2"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Sterility &amp; Pyrogen testing</t>
        </is>
      </c>
      <c r="M38" s="2" t="inlineStr">
        <is>
          <t>Product</t>
        </is>
      </c>
      <c r="N38" s="2" t="inlineStr">
        <is>
          <t>ข้อ 5 (PLE_CC1_Key_Rx20_UBU.md)</t>
        </is>
      </c>
      <c r="O38" s="2" t="inlineStr">
        <is>
          <t>Mock</t>
        </is>
      </c>
      <c r="P38" s="2" t="inlineStr">
        <is>
          <t>Mock Rx20 UBU</t>
        </is>
      </c>
    </row>
    <row r="39" ht="13.2" customHeight="1" s="49">
      <c r="A39" s="2" t="n">
        <v>37</v>
      </c>
      <c r="B39" s="2"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2" t="n"/>
      <c r="D39" s="2" t="inlineStr">
        <is>
          <t>Dry Heat Sterilization (Hot Air Oven 160-170 C, 2 hours)</t>
        </is>
      </c>
      <c r="E39" s="2" t="inlineStr">
        <is>
          <t>Membrane Filtration Sterilization (0.22 micron pore size)</t>
        </is>
      </c>
      <c r="F39" s="2" t="inlineStr">
        <is>
          <t>Ethylene Oxide Gas Sterilization (ETO)</t>
        </is>
      </c>
      <c r="G39" s="2" t="inlineStr">
        <is>
          <t>LAL Test (Limulus Amebocyte Lysate Bacterial Endotoxin)</t>
        </is>
      </c>
      <c r="H39" s="2" t="inlineStr">
        <is>
          <t>Rabbit Pyrogen Test in vivo</t>
        </is>
      </c>
      <c r="I39" s="2" t="n">
        <v>1</v>
      </c>
      <c r="J39" s="2"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Sterile Cleanroom specs</t>
        </is>
      </c>
      <c r="M39" s="2" t="inlineStr">
        <is>
          <t>Product</t>
        </is>
      </c>
      <c r="N39" s="2" t="inlineStr">
        <is>
          <t>ข้อ 5 (PLE_CC1_Key_Rx20_UBU.md)</t>
        </is>
      </c>
      <c r="O39" s="2" t="inlineStr">
        <is>
          <t>Mock</t>
        </is>
      </c>
      <c r="P39" s="2" t="inlineStr">
        <is>
          <t>Mock Rx20 UBU</t>
        </is>
      </c>
    </row>
    <row r="40" ht="13.2" customHeight="1" s="49">
      <c r="A40" s="2" t="n">
        <v>38</v>
      </c>
      <c r="B40" s="2" t="inlineStr">
        <is>
          <t>ผู$ป&amp;วยได$รับการวินิจฉัยวGามีภาวะ hepatic encephalopathy ยาในข$อใดที่ผู$ป&amp;วยรายนี้ไมGควรได$รับ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ในผู$ป&amp;วยที่ได$ BZD มากGอน Rifaximin ก็มีการศึกษาและได$รับApprove ในการรักษา hepatic encephalopathy</t>
        </is>
      </c>
      <c r="C40" s="2" t="n"/>
      <c r="D40" s="2" t="inlineStr">
        <is>
          <t>LAL Test (Limulus Amebocyte Lysate Bacterial Endotoxin)</t>
        </is>
      </c>
      <c r="E40" s="2" t="inlineStr">
        <is>
          <t>Rabbit Pyrogen Test in vivo</t>
        </is>
      </c>
      <c r="F40" s="2" t="inlineStr">
        <is>
          <t>ISO Class 5 (Grade A) Laminar Airflow Workstation</t>
        </is>
      </c>
      <c r="G40" s="2" t="inlineStr">
        <is>
          <t>Metered Dose Inhaler (MDI) with HFA propellant</t>
        </is>
      </c>
      <c r="H40" s="2" t="inlineStr">
        <is>
          <t>Dry Powder Inhaler (DPI) with Carrier Lactose</t>
        </is>
      </c>
      <c r="I40" s="2" t="n">
        <v>1</v>
      </c>
      <c r="J40" s="2"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Sterile Cleanroom specs</t>
        </is>
      </c>
      <c r="M40" s="2" t="inlineStr">
        <is>
          <t>Product</t>
        </is>
      </c>
      <c r="N40" s="2" t="inlineStr">
        <is>
          <t>ข้อ 57 (PLE_CC1_Key_Rx20_UBU.md)</t>
        </is>
      </c>
      <c r="O40" s="2" t="inlineStr">
        <is>
          <t>Mock</t>
        </is>
      </c>
      <c r="P40" s="2" t="inlineStr">
        <is>
          <t>Mock Rx20 UBU</t>
        </is>
      </c>
    </row>
    <row r="41" ht="13.2" customHeight="1" s="49">
      <c r="A41" s="2" t="n">
        <v>39</v>
      </c>
      <c r="B41" s="2" t="inlineStr">
        <is>
          <t>ลด hepatotoxicity</t>
        </is>
      </c>
      <c r="C41" s="2" t="n"/>
      <c r="D41" s="2" t="inlineStr">
        <is>
          <t>Metered Dose Inhaler (MDI) with HFA propellant</t>
        </is>
      </c>
      <c r="E41" s="2" t="inlineStr">
        <is>
          <t>Dry Powder Inhaler (DPI) with Carrier Lactose</t>
        </is>
      </c>
      <c r="F41" s="2" t="inlineStr">
        <is>
          <t>Isotonic Sodium Chloride 0.9% Osmotic Adjustment</t>
        </is>
      </c>
      <c r="G41" s="2" t="inlineStr">
        <is>
          <t>Moist Heat Steam Sterilization (Autoclave 121 C, 15 psi, 15 min)</t>
        </is>
      </c>
      <c r="H41" s="2" t="inlineStr">
        <is>
          <t>Dry Heat Sterilization (Hot Air Oven 160-170 C, 2 hours)</t>
        </is>
      </c>
      <c r="I41" s="2" t="n">
        <v>1</v>
      </c>
      <c r="J41" s="2"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Sterile Cleanroom specs</t>
        </is>
      </c>
      <c r="M41" s="2" t="inlineStr">
        <is>
          <t>Product</t>
        </is>
      </c>
      <c r="N41" s="2" t="inlineStr">
        <is>
          <t>ข้อ 3 (PLE_CC1_Key_Rx20_UBU.md)</t>
        </is>
      </c>
      <c r="O41" s="2" t="inlineStr">
        <is>
          <t>Mock</t>
        </is>
      </c>
      <c r="P41" s="2" t="inlineStr">
        <is>
          <t>Mock Rx20 UBU</t>
        </is>
      </c>
    </row>
    <row r="42" ht="13.2" customHeight="1" s="49">
      <c r="A42" s="2" t="n">
        <v>40</v>
      </c>
      <c r="B42" s="2"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2" t="n"/>
      <c r="D42" s="2" t="inlineStr">
        <is>
          <t>ข้อเป็นสาเหตุให้เกิด ascites</t>
        </is>
      </c>
      <c r="E42" s="2" t="inlineStr">
        <is>
          <t>Dry Heat Sterilization (Hot Air Oven 160-170 C, 2 hours)</t>
        </is>
      </c>
      <c r="F42" s="2" t="inlineStr">
        <is>
          <t>Membrane Filtration Sterilization (0.22 micron pore size)</t>
        </is>
      </c>
      <c r="G42" s="2" t="inlineStr">
        <is>
          <t>Ethylene Oxide Gas Sterilization (ETO)</t>
        </is>
      </c>
      <c r="H42" s="2" t="inlineStr">
        <is>
          <t>LAL Test (Limulus Amebocyte Lysate Bacterial Endotoxin)</t>
        </is>
      </c>
      <c r="I42" s="2" t="n">
        <v>4</v>
      </c>
      <c r="J42" s="2"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Sterile Cleanroom specs</t>
        </is>
      </c>
      <c r="M42" s="2" t="inlineStr">
        <is>
          <t>Product</t>
        </is>
      </c>
      <c r="N42" s="2" t="inlineStr">
        <is>
          <t>ข้อ 5 (PLE_CC1_Key_Rx20_UBU.md)</t>
        </is>
      </c>
      <c r="O42" s="2" t="inlineStr">
        <is>
          <t>Mock</t>
        </is>
      </c>
      <c r="P42" s="2" t="inlineStr">
        <is>
          <t>Mock Rx20 UBU</t>
        </is>
      </c>
    </row>
    <row r="43" ht="13.2" customHeight="1" s="49">
      <c r="A43" s="2" t="n">
        <v>41</v>
      </c>
      <c r="B43" s="2" t="inlineStr">
        <is>
          <t>oral bactrim Avoid : AMGs เพิ่มความเสียงในการเกิด Hepatorenal syndrome Case ไหนไม่รู้</t>
        </is>
      </c>
      <c r="C43" s="2" t="n"/>
      <c r="D43" s="2" t="inlineStr">
        <is>
          <t>Ethylene Oxide Gas Sterilization (ETO)</t>
        </is>
      </c>
      <c r="E43" s="2" t="inlineStr">
        <is>
          <t>LAL Test (Limulus Amebocyte Lysate Bacterial Endotoxin)</t>
        </is>
      </c>
      <c r="F43" s="2" t="inlineStr">
        <is>
          <t>Rabbit Pyrogen Test in vivo</t>
        </is>
      </c>
      <c r="G43" s="2" t="inlineStr">
        <is>
          <t>ISO Class 5 (Grade A) Laminar Airflow Workstation</t>
        </is>
      </c>
      <c r="H43" s="2" t="inlineStr">
        <is>
          <t>Metered Dose Inhaler (MDI) with HFA propellant</t>
        </is>
      </c>
      <c r="I43" s="2" t="n">
        <v>1</v>
      </c>
      <c r="J43" s="2"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Sterile Cleanroom specs</t>
        </is>
      </c>
      <c r="M43" s="2" t="inlineStr">
        <is>
          <t>Product</t>
        </is>
      </c>
      <c r="N43" s="2" t="inlineStr">
        <is>
          <t>ข้อ 5 (PLE_CC1_Key_Rx20_UBU.md)</t>
        </is>
      </c>
      <c r="O43" s="2" t="inlineStr">
        <is>
          <t>Mock</t>
        </is>
      </c>
      <c r="P43" s="2" t="inlineStr">
        <is>
          <t>Mock Rx20 UBU</t>
        </is>
      </c>
    </row>
    <row r="44" ht="13.2" customHeight="1" s="49">
      <c r="A44" s="2" t="n">
        <v>42</v>
      </c>
      <c r="B44" s="2" t="inlineStr">
        <is>
          <t>ทำให้ปราศจากเชื้อโดยใช้แกส ethylene oxide (Gas sterilization)</t>
        </is>
      </c>
      <c r="C44" s="2" t="n"/>
      <c r="D44" s="2" t="inlineStr">
        <is>
          <t>ISO Class 5 (Grade A) Laminar Airflow Workstation</t>
        </is>
      </c>
      <c r="E44" s="2" t="inlineStr">
        <is>
          <t>Metered Dose Inhaler (MDI) with HFA propellant</t>
        </is>
      </c>
      <c r="F44" s="2" t="inlineStr">
        <is>
          <t>Dry Powder Inhaler (DPI) with Carrier Lactose</t>
        </is>
      </c>
      <c r="G44" s="2" t="inlineStr">
        <is>
          <t>Isotonic Sodium Chloride 0.9% Osmotic Adjustment</t>
        </is>
      </c>
      <c r="H44" s="2" t="inlineStr">
        <is>
          <t>Moist Heat Steam Sterilization (Autoclave 121 C, 15 psi, 15 min)</t>
        </is>
      </c>
      <c r="I44" s="2" t="n">
        <v>1</v>
      </c>
      <c r="J44" s="2"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Autoclave &amp; Sterilization</t>
        </is>
      </c>
      <c r="M44" s="2" t="inlineStr">
        <is>
          <t>Product</t>
        </is>
      </c>
      <c r="N44" s="2" t="inlineStr">
        <is>
          <t>ข้อ 3 (PLE_CC1_Key_Rx20_UBU.md)</t>
        </is>
      </c>
      <c r="O44" s="2" t="inlineStr">
        <is>
          <t>Mock</t>
        </is>
      </c>
      <c r="P44" s="2" t="inlineStr">
        <is>
          <t>Mock Rx20 UBU</t>
        </is>
      </c>
    </row>
    <row r="45" ht="13.2" customHeight="1" s="49">
      <c r="A45" s="2" t="n">
        <v>43</v>
      </c>
      <c r="B45" s="2" t="inlineStr">
        <is>
          <t>ทำให้ปราศจากเชื้อโดยใช้ความร้อนชื้น (Autoclave)</t>
        </is>
      </c>
      <c r="C45" s="2" t="n"/>
      <c r="D45" s="2" t="inlineStr">
        <is>
          <t>Isotonic Sodium Chloride 0.9% Osmotic Adjustment</t>
        </is>
      </c>
      <c r="E45" s="2" t="inlineStr">
        <is>
          <t>Moist Heat Steam Sterilization (Autoclave 121 C, 15 psi, 15 min)</t>
        </is>
      </c>
      <c r="F45" s="2" t="inlineStr">
        <is>
          <t>Dry Heat Sterilization (Hot Air Oven 160-170 C, 2 hours)</t>
        </is>
      </c>
      <c r="G45" s="2" t="inlineStr">
        <is>
          <t>Membrane Filtration Sterilization (0.22 micron pore size)</t>
        </is>
      </c>
      <c r="H45" s="2" t="inlineStr">
        <is>
          <t>Ethylene Oxide Gas Sterilization (ETO)</t>
        </is>
      </c>
      <c r="I45" s="2" t="n">
        <v>5</v>
      </c>
      <c r="J45" s="2"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Autoclave &amp; Sterilization</t>
        </is>
      </c>
      <c r="M45" s="2" t="inlineStr">
        <is>
          <t>Product</t>
        </is>
      </c>
      <c r="N45" s="2" t="inlineStr">
        <is>
          <t>ข้อ 5 (PLE_CC1_Key_Rx20_UBU.md)</t>
        </is>
      </c>
      <c r="O45" s="2" t="inlineStr">
        <is>
          <t>Mock</t>
        </is>
      </c>
      <c r="P45" s="2" t="inlineStr">
        <is>
          <t>Mock Rx20 UBU</t>
        </is>
      </c>
    </row>
    <row r="46" ht="13.2" customHeight="1" s="49">
      <c r="A46" s="2" t="n">
        <v>44</v>
      </c>
      <c r="B46" s="2" t="inlineStr">
        <is>
          <t>การตกผลึกซ้ำ (Sterile recrystallization)</t>
        </is>
      </c>
      <c r="C46" s="2" t="n"/>
      <c r="D46" s="2" t="inlineStr">
        <is>
          <t>Membrane Filtration Sterilization (0.22 micron pore size)</t>
        </is>
      </c>
      <c r="E46" s="2" t="inlineStr">
        <is>
          <t>Ethylene Oxide Gas Sterilization (ETO)</t>
        </is>
      </c>
      <c r="F46" s="2" t="inlineStr">
        <is>
          <t>LAL Test (Limulus Amebocyte Lysate Bacterial Endotoxin)</t>
        </is>
      </c>
      <c r="G46" s="2" t="inlineStr">
        <is>
          <t>Rabbit Pyrogen Test in vivo</t>
        </is>
      </c>
      <c r="H46" s="2" t="inlineStr">
        <is>
          <t>ISO Class 5 (Grade A) Laminar Airflow Workstation</t>
        </is>
      </c>
      <c r="I46" s="2" t="n">
        <v>1</v>
      </c>
      <c r="J46" s="2"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Parenterals &amp; Ophthalmic</t>
        </is>
      </c>
      <c r="M46" s="2" t="inlineStr">
        <is>
          <t>Product</t>
        </is>
      </c>
      <c r="N46" s="2" t="inlineStr">
        <is>
          <t>ข้อ 4 (PLE_CC1_Key_Rx20_UBU.md)</t>
        </is>
      </c>
      <c r="O46" s="2" t="inlineStr">
        <is>
          <t>Mock</t>
        </is>
      </c>
      <c r="P46" s="2" t="inlineStr">
        <is>
          <t>Mock Rx20 UBU</t>
        </is>
      </c>
    </row>
    <row r="47" ht="13.2" customHeight="1" s="49">
      <c r="A47" s="2" t="n">
        <v>45</v>
      </c>
      <c r="B47" s="2" t="inlineStr">
        <is>
          <t>BSC class II มี hepa fillter ที่สามารถกรองอากาศได้ 100%</t>
        </is>
      </c>
      <c r="C47" s="2" t="n"/>
      <c r="D47" s="2" t="inlineStr">
        <is>
          <t>Rabbit Pyrogen Test in vivo</t>
        </is>
      </c>
      <c r="E47" s="2" t="inlineStr">
        <is>
          <t>ISO Class 5 (Grade A) Laminar Airflow Workstation</t>
        </is>
      </c>
      <c r="F47" s="2" t="inlineStr">
        <is>
          <t>Metered Dose Inhaler (MDI) with HFA propellant</t>
        </is>
      </c>
      <c r="G47" s="2" t="inlineStr">
        <is>
          <t>Dry Powder Inhaler (DPI) with Carrier Lactose</t>
        </is>
      </c>
      <c r="H47" s="2" t="inlineStr">
        <is>
          <t>Isotonic Sodium Chloride 0.9% Osmotic Adjustment</t>
        </is>
      </c>
      <c r="I47" s="2" t="n">
        <v>1</v>
      </c>
      <c r="J47" s="2"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Sterile Cleanroom specs</t>
        </is>
      </c>
      <c r="M47" s="2" t="inlineStr">
        <is>
          <t>Product</t>
        </is>
      </c>
      <c r="N47" s="2" t="inlineStr">
        <is>
          <t>ข้อ 3 (PLE_CC1_Key_Rx20_UBU.md)</t>
        </is>
      </c>
      <c r="O47" s="2" t="inlineStr">
        <is>
          <t>Mock</t>
        </is>
      </c>
      <c r="P47" s="2" t="inlineStr">
        <is>
          <t>Mock Rx20 UBU</t>
        </is>
      </c>
    </row>
    <row r="48" ht="13.2" customHeight="1" s="49">
      <c r="A48" s="2" t="n">
        <v>46</v>
      </c>
      <c r="B48" s="2"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2" t="n"/>
      <c r="D48" s="2" t="inlineStr">
        <is>
          <t>Dry Powder Inhaler (DPI) with Carrier Lactose</t>
        </is>
      </c>
      <c r="E48" s="2" t="inlineStr">
        <is>
          <t>Isotonic Sodium Chloride 0.9% Osmotic Adjustment</t>
        </is>
      </c>
      <c r="F48" s="2" t="inlineStr">
        <is>
          <t>Moist Heat Steam Sterilization (Autoclave 121 C, 15 psi, 15 min)</t>
        </is>
      </c>
      <c r="G48" s="2" t="inlineStr">
        <is>
          <t>Dry Heat Sterilization (Hot Air Oven 160-170 C, 2 hours)</t>
        </is>
      </c>
      <c r="H48" s="2" t="inlineStr">
        <is>
          <t>Membrane Filtration Sterilization (0.22 micron pore size)</t>
        </is>
      </c>
      <c r="I48" s="2" t="n">
        <v>2</v>
      </c>
      <c r="J48" s="2"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Autoclave &amp; Sterilization</t>
        </is>
      </c>
      <c r="M48" s="2" t="inlineStr">
        <is>
          <t>Product</t>
        </is>
      </c>
      <c r="N48" s="2" t="inlineStr">
        <is>
          <t>ข้อ 5 (PLE_CC1_Key_Rx20_UBU.md)</t>
        </is>
      </c>
      <c r="O48" s="2" t="inlineStr">
        <is>
          <t>Mock</t>
        </is>
      </c>
      <c r="P48" s="2" t="inlineStr">
        <is>
          <t>Mock Rx20 UBU</t>
        </is>
      </c>
    </row>
    <row r="49" ht="13.2" customHeight="1" s="49">
      <c r="A49" s="2" t="n">
        <v>47</v>
      </c>
      <c r="B49" s="2"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2" t="n"/>
      <c r="D49" s="2" t="inlineStr">
        <is>
          <t>เป็นการบริหารยาแบบ Non-invasive</t>
        </is>
      </c>
      <c r="E49" s="2" t="inlineStr">
        <is>
          <t>ยาออกฤทธิ์แค่ที่อวัยวะเป้าหมาย ไม่เข้าสู่กระแสเลือด</t>
        </is>
      </c>
      <c r="F49" s="2" t="inlineStr">
        <is>
          <t>ยาในส่วนที่ลงสู่ปอดไม่ผ่าน First-pass metabolism</t>
        </is>
      </c>
      <c r="G49" s="2" t="inlineStr">
        <is>
          <t>มีผลข้างเคียงทั่วร่างกายน้อยกว่ายารูปแบบรับประทาน</t>
        </is>
      </c>
      <c r="H49" s="2" t="inlineStr">
        <is>
          <t>สามารถปรับขนาดยาให้เหมาะสมได้เมื่อเทียบกับยารูปแบบรับประทาน</t>
        </is>
      </c>
      <c r="I49" s="8" t="inlineStr">
        <is>
          <t>2</t>
        </is>
      </c>
      <c r="J49" s="2"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2" t="n"/>
      <c r="L49" s="2" t="inlineStr">
        <is>
          <t>Sterile &amp; Special Forms</t>
        </is>
      </c>
      <c r="M49" s="2" t="inlineStr">
        <is>
          <t>Product</t>
        </is>
      </c>
      <c r="N49" s="2" t="inlineStr">
        <is>
          <t>Mock PLE-CC 1 ข้อ 100</t>
        </is>
      </c>
      <c r="O49" s="2" t="inlineStr">
        <is>
          <t>Mock</t>
        </is>
      </c>
      <c r="P49" s="2" t="inlineStr">
        <is>
          <t>Mock RxCU83</t>
        </is>
      </c>
    </row>
    <row r="50" ht="13.2" customHeight="1" s="49">
      <c r="A50" s="2" t="n">
        <v>48</v>
      </c>
      <c r="B50" s="2"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2" t="n"/>
      <c r="D50" s="2" t="inlineStr">
        <is>
          <t>Ethyl cellulose</t>
        </is>
      </c>
      <c r="E50" s="2" t="inlineStr">
        <is>
          <t>Cellulose acetate</t>
        </is>
      </c>
      <c r="F50" s="2" t="inlineStr">
        <is>
          <t>Polysorbate 80</t>
        </is>
      </c>
      <c r="G50" s="2" t="inlineStr">
        <is>
          <t>Sorbitol</t>
        </is>
      </c>
      <c r="H50" s="2" t="inlineStr">
        <is>
          <t>Hydroxypropyl methylcellulose (HPMC)</t>
        </is>
      </c>
      <c r="I50" s="8" t="inlineStr">
        <is>
          <t>5</t>
        </is>
      </c>
      <c r="J50" s="2"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2" t="n"/>
      <c r="L50" s="2" t="inlineStr">
        <is>
          <t>Sterile &amp; Special Forms</t>
        </is>
      </c>
      <c r="M50" s="2" t="inlineStr">
        <is>
          <t>Product</t>
        </is>
      </c>
      <c r="N50" s="2" t="inlineStr">
        <is>
          <t>PLE_CC1_2567_Key ข้อ 32</t>
        </is>
      </c>
      <c r="O50" s="2" t="inlineStr">
        <is>
          <t>ข้อสอบจริง</t>
        </is>
      </c>
      <c r="P50" s="2" t="inlineStr">
        <is>
          <t>ปี 2567</t>
        </is>
      </c>
    </row>
    <row r="51" ht="13.2" customHeight="1" s="49">
      <c r="A51" s="2" t="n">
        <v>49</v>
      </c>
      <c r="B51" s="2" t="inlineStr">
        <is>
          <t>ผลิตภัณฑ์ยาหยอดตาที่มีการทำให้ปราศจากเชื้อด้วยวิธี Filtration sterilization ข้อใดต่อไปนี้กล่าว "ไม่ถูกต้อง"</t>
        </is>
      </c>
      <c r="C51" s="2" t="n"/>
      <c r="D51" s="2" t="inlineStr">
        <is>
          <t>กระบวนการกรองและบรรจุต้องทำภายใต้ Cleanroom และเทคนิคปลอดเชื้อ (Aseptic technique)</t>
        </is>
      </c>
      <c r="E51" s="2" t="inlineStr">
        <is>
          <t>การกรองผ่านแผ่นกรองขนาด 0.22 ไมครอน จัดเป็นกระบวนการ Terminal sterilization</t>
        </is>
      </c>
      <c r="F51" s="2" t="inlineStr">
        <is>
          <t>ใช้แผ่นกรองเมมเบรนขนาดรูพรุน 0.22 ไมครอน ในการกำจัดจุลินทรีย์และแบคทีเรีย</t>
        </is>
      </c>
      <c r="G51" s="2" t="inlineStr">
        <is>
          <t>สารละลายยาที่กรองแล้วต้องบรรจุลงในภาชนะบรรจุที่ผ่านการทำให้ปราศจากเชื้อมาแล้ว</t>
        </is>
      </c>
      <c r="H51" s="2" t="inlineStr">
        <is>
          <t>เป็นวิธีที่เหมาะสมสำหรับสารละลายยาที่ไม่คงตัวต่อความร้อน (Thermolabile drugs)</t>
        </is>
      </c>
      <c r="I51" s="8" t="inlineStr">
        <is>
          <t>2</t>
        </is>
      </c>
      <c r="J51" s="2"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เป็นขนาดรูพรุนมาตรฐานสากลในการดักจับแบคทีเรียทั้งหมด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2" t="n"/>
      <c r="L51" s="2" t="inlineStr">
        <is>
          <t>Sterile &amp; Special Forms</t>
        </is>
      </c>
      <c r="M51" s="2" t="inlineStr">
        <is>
          <t>Product</t>
        </is>
      </c>
      <c r="N51" s="2" t="inlineStr">
        <is>
          <t>PLE_CC1_2567_Key ข้อ 17</t>
        </is>
      </c>
      <c r="O51" s="2" t="inlineStr">
        <is>
          <t>ข้อสอบจริง</t>
        </is>
      </c>
      <c r="P51" s="2" t="inlineStr">
        <is>
          <t>ปี 2567</t>
        </is>
      </c>
    </row>
    <row r="52" ht="409.6" customHeight="1" s="49">
      <c r="A52" s="35" t="n">
        <v>50</v>
      </c>
      <c r="B52" s="34" t="inlineStr">
        <is>
          <t>(ปี 2566, Day 1 ข้อ 35 - ยาหยอดตา) (เรื่อง: การทดสอบคุณภาพยาหยอดตา) ยาหยอดตาไม่ต้องทดสอบคุณภาพด้านใด</t>
        </is>
      </c>
      <c r="C52" s="35" t="n"/>
      <c r="D52" s="34" t="inlineStr">
        <is>
          <t>Bacterial endotoxin</t>
        </is>
      </c>
      <c r="E52" s="34" t="inlineStr">
        <is>
          <t>pH</t>
        </is>
      </c>
      <c r="F52" s="34" t="inlineStr">
        <is>
          <t>Sterility</t>
        </is>
      </c>
      <c r="G52" s="34" t="inlineStr">
        <is>
          <t>Tonicity</t>
        </is>
      </c>
      <c r="H52" s="34" t="n"/>
      <c r="I52" s="35" t="n">
        <v>2</v>
      </c>
      <c r="J52" s="34" t="inlineStr">
        <is>
          <t>✅ คำตอบที่ถูกต้อง: ข้อ ข. pH
💡 Background:
คำถามข้อสอบจริงใบประกอบวิชาชีพ PLE-CC 1 (Product) ปี 2566 ข้อ 7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2" s="35" t="n"/>
      <c r="L52" s="34" t="inlineStr">
        <is>
          <t>Sterile Preparations &amp; Sterilization</t>
        </is>
      </c>
      <c r="M52" s="35" t="inlineStr">
        <is>
          <t>Product</t>
        </is>
      </c>
      <c r="N52" s="34" t="inlineStr">
        <is>
          <t>ข้อสอบจริง Product ปี 2566 ข้อ 7</t>
        </is>
      </c>
      <c r="O52" s="35" t="inlineStr">
        <is>
          <t>ข้อสอบจริง</t>
        </is>
      </c>
      <c r="P52" s="35" t="inlineStr">
        <is>
          <t>ปี 2566</t>
        </is>
      </c>
    </row>
    <row r="53" ht="409.6" customHeight="1" s="49">
      <c r="A53" s="35" t="n">
        <v>51</v>
      </c>
      <c r="B53" s="34" t="inlineStr">
        <is>
          <t>(ปี 2566, Day 2 ข้อ 43\) (เรื่อง: ตำรับยาหยอดตา - ข้อที่ผิด) เกี่ยวกับตำรับยาตา ข้อใดผิด</t>
        </is>
      </c>
      <c r="C53" s="35" t="n"/>
      <c r="D53" s="34" t="inlineStr">
        <is>
          <t>pH ต้องเท่ากับน้ำตาเท่านั้น</t>
        </is>
      </c>
      <c r="E53" s="34" t="inlineStr">
        <is>
          <t>ต้อง isotonic</t>
        </is>
      </c>
      <c r="F53" s="34" t="inlineStr">
        <is>
          <t>ต้องตรวจ particle size</t>
        </is>
      </c>
      <c r="G53" s="34" t="inlineStr">
        <is>
          <t>ต้องตรวจความปราศจากเชื้อ</t>
        </is>
      </c>
      <c r="H53" s="34" t="n"/>
      <c r="I53" s="35" t="n">
        <v>1</v>
      </c>
      <c r="J53" s="34" t="inlineStr">
        <is>
          <t>✅ คำตอบที่ถูกต้อง: ข้อ ก. pH ต้องเท่ากับน้ำตาเท่านั้น
💡 Background:
คำถามข้อสอบจริงใบประกอบวิชาชีพ PLE-CC 1 (Product) ปี 2566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3" s="35" t="n"/>
      <c r="L53" s="34" t="inlineStr">
        <is>
          <t>Sterile Preparations &amp; Sterilization</t>
        </is>
      </c>
      <c r="M53" s="35" t="inlineStr">
        <is>
          <t>Product</t>
        </is>
      </c>
      <c r="N53" s="34" t="inlineStr">
        <is>
          <t>ข้อสอบจริง Product ปี 2566 ข้อ 15</t>
        </is>
      </c>
      <c r="O53" s="35" t="inlineStr">
        <is>
          <t>ข้อสอบจริง</t>
        </is>
      </c>
      <c r="P53" s="35" t="inlineStr">
        <is>
          <t>ปี 2566</t>
        </is>
      </c>
    </row>
    <row r="54" ht="409.6" customHeight="1" s="49">
      <c r="A54" s="35" t="n">
        <v>52</v>
      </c>
      <c r="B54" s="34" t="inlineStr">
        <is>
          <t>(ปี 2566, Day 2 ข้อ 97\) (เรื่อง: เกรดห้องสะอาดสำหรับการผลิต Insulin) การผลิต insulin ต้องทำในพื้นที่ระดับไหน</t>
        </is>
      </c>
      <c r="C54" s="35" t="n"/>
      <c r="D54" s="34" t="inlineStr">
        <is>
          <t>Assemble Grade A, background Grade A</t>
        </is>
      </c>
      <c r="E54" s="34" t="inlineStr">
        <is>
          <t>Grade D</t>
        </is>
      </c>
      <c r="F54" s="34" t="inlineStr">
        <is>
          <t>Grade C</t>
        </is>
      </c>
      <c r="G54" s="34" t="inlineStr">
        <is>
          <t>Assemble Grade A, background Grade B</t>
        </is>
      </c>
      <c r="H54" s="34" t="n"/>
      <c r="I54" s="35" t="n">
        <v>1</v>
      </c>
      <c r="J54" s="34" t="inlineStr">
        <is>
          <t>✅ คำตอบที่ถูกต้อง: ข้อ ก. Assemble Grade A, background Grade A
💡 Background:
คำถามข้อสอบจริงใบประกอบวิชาชีพ PLE-CC 1 (Product) ปี 2566 ข้อ 41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4" s="35" t="n"/>
      <c r="L54" s="34" t="inlineStr">
        <is>
          <t>Sterile Preparations &amp; Sterilization</t>
        </is>
      </c>
      <c r="M54" s="35" t="inlineStr">
        <is>
          <t>Product</t>
        </is>
      </c>
      <c r="N54" s="34" t="inlineStr">
        <is>
          <t>ข้อสอบจริง Product ปี 2566 ข้อ 41</t>
        </is>
      </c>
      <c r="O54" s="35" t="inlineStr">
        <is>
          <t>ข้อสอบจริง</t>
        </is>
      </c>
      <c r="P54" s="35" t="inlineStr">
        <is>
          <t>ปี 2566</t>
        </is>
      </c>
    </row>
    <row r="55" ht="409.6" customHeight="1" s="49">
      <c r="A55" s="35" t="n">
        <v>53</v>
      </c>
      <c r="B55" s="34" t="inlineStr">
        <is>
          <t>ข้อใดไม่จัดเป็น terminal sterilization</t>
        </is>
      </c>
      <c r="C55" s="35" t="n"/>
      <c r="D55" s="34" t="inlineStr">
        <is>
          <t>Dry heat sterilization</t>
        </is>
      </c>
      <c r="E55" s="34" t="inlineStr">
        <is>
          <t>Autoclave</t>
        </is>
      </c>
      <c r="F55" s="34" t="inlineStr">
        <is>
          <t>Stream sterilization</t>
        </is>
      </c>
      <c r="G55" s="34" t="inlineStr">
        <is>
          <t>Membrane filtration</t>
        </is>
      </c>
      <c r="H55" s="34" t="inlineStr">
        <is>
          <t>Gamma radiation ข้อสอบ PLE-CC1 ปี 2565 day 2</t>
        </is>
      </c>
      <c r="I55" s="35" t="n">
        <v>1</v>
      </c>
      <c r="J55" s="34" t="inlineStr">
        <is>
          <t>✅ คำตอบที่ถูกต้อง: ข้อ ก. Dry heat sterilization
💡 Background:
คำถามข้อสอบจริงใบประกอบวิชาชีพ PLE-CC 1 (Product) ปี 2565 ข้อ 95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5" s="35" t="n"/>
      <c r="L55" s="34" t="inlineStr">
        <is>
          <t>Sterile Preparations &amp; Sterilization</t>
        </is>
      </c>
      <c r="M55" s="35" t="inlineStr">
        <is>
          <t>Product</t>
        </is>
      </c>
      <c r="N55" s="34" t="inlineStr">
        <is>
          <t>ข้อสอบจริง Product ปี 2565 ข้อ 95</t>
        </is>
      </c>
      <c r="O55" s="35" t="inlineStr">
        <is>
          <t>ข้อสอบจริง</t>
        </is>
      </c>
      <c r="P55" s="35" t="inlineStr">
        <is>
          <t>ปี 2565</t>
        </is>
      </c>
    </row>
    <row r="56" ht="409.6" customHeight="1" s="49">
      <c r="A56" s="35" t="n">
        <v>54</v>
      </c>
      <c r="B56" s="34" t="inlineStr">
        <is>
          <t>Ketotifen 0.025% ประกอบด้วย ketotifen fumarate, glycerin, Hypromellose, NaOH/HCI, NaC, benzalkonium chloride, purified water และ solubility ของ ketotifen 10 mg/ml ข้อใดถูกต้อง</t>
        </is>
      </c>
      <c r="C56" s="35" t="n"/>
      <c r="D56" s="34" t="inlineStr">
        <is>
          <t>ยาเป็นรูปแบบ ophthalmic suspension</t>
        </is>
      </c>
      <c r="E56" s="34" t="inlineStr">
        <is>
          <t>ไม่จำเป็นต้องใส่ preservative เพราะยาตา sterile อยู่แล้ว</t>
        </is>
      </c>
      <c r="F56" s="34" t="inlineStr">
        <is>
          <t>ต้องปรับ pH ให้เท่ากับน้ำตา</t>
        </is>
      </c>
      <c r="G56" s="34" t="inlineStr">
        <is>
          <t>ต้องปรับ pH 7.4 เพื่อให้เป็น isotonic</t>
        </is>
      </c>
      <c r="H56" s="34" t="inlineStr">
        <is>
          <t>ใช้ NaCI ในการทำให้สารละลายเป็น isotonic solution</t>
        </is>
      </c>
      <c r="I56" s="35" t="n">
        <v>1</v>
      </c>
      <c r="J56" s="34" t="inlineStr">
        <is>
          <t>✅ คำตอบที่ถูกต้อง: ข้อ ก. ยาเป็นรูปแบบ ophthalmic suspension
💡 Background:
คำถามข้อสอบจริงใบประกอบวิชาชีพ PLE-CC 1 (Product) ปี 2565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6" s="35" t="n"/>
      <c r="L56" s="34" t="inlineStr">
        <is>
          <t>Sterile Preparations &amp; Sterilization</t>
        </is>
      </c>
      <c r="M56" s="35" t="inlineStr">
        <is>
          <t>Product</t>
        </is>
      </c>
      <c r="N56" s="34" t="inlineStr">
        <is>
          <t>ข้อสอบจริง Product ปี 2565 ข้อ 42</t>
        </is>
      </c>
      <c r="O56" s="35" t="inlineStr">
        <is>
          <t>ข้อสอบจริง</t>
        </is>
      </c>
      <c r="P56" s="35" t="inlineStr">
        <is>
          <t>ปี 2565</t>
        </is>
      </c>
    </row>
    <row r="57" ht="409.6" customHeight="1" s="49">
      <c r="A57" s="35" t="n">
        <v>55</v>
      </c>
      <c r="B57" s="34" t="inlineStr">
        <is>
          <t>ตอบ: จ. ใช้ NaCl ในการทำให้สารละลายเป็น isotonic solution เนื่องจาก NaCl สามารถใช้เป็น tonicity-adjusting agent เพื่อทำให้ ophthalmic solution มีความเข้มข้นใกล้เคียงกับน้ำตาและลดการระคายเคือง มาดูทีละข้อ: ### ก. เป็น ophthalmic suspension Ketotifen มี solubility = 10 mg/mL ในสูตรมี ketotifen 0.025% w/v แปลงเป็น mg/mL: 0.025 g/100 mL = 25 mg/100 mL = 0.25 mg/mL ดังนั้นต้องการ ketotifen เพียง 0.25 mg/mL แต่สามารถละลายได้ถึง 10 mg/mL → ปริมาณยาที่ต้องใช้ ต่ำกว่าความสามารถในการละลายมาก → ยาจึงอยู่ในรูป สารละลาย (ophthalmic solution) ไม่ใช่ suspension → มีโอกาสทำเป็น solution ได้</t>
        </is>
      </c>
      <c r="C57" s="35" t="inlineStr">
        <is>
          <t>[แนบรูป: ข้อสอบ Product ปี 2565 รหัสรูปภาพ image51]</t>
        </is>
      </c>
      <c r="D57" s="34" t="inlineStr">
        <is>
          <t>Buffering agent → ควบคุม/ต้านการเปลี่ยนแปลงของ pH</t>
        </is>
      </c>
      <c r="E57" s="34" t="inlineStr">
        <is>
          <t>ไม่จำเป็นต้องใส่ preservative เพราะยาตา sterile อยู่แล้ว</t>
        </is>
      </c>
      <c r="F57" s="34" t="inlineStr">
        <is>
          <t>Surface active agent → ช่วยเรื่อง wetting, solubilization และคุณสมบัติของสารละลาย</t>
        </is>
      </c>
      <c r="G57" s="34" t="inlineStr">
        <is>
          <t>Isotonic agent → ปรับ tonicity เช่น NaCl</t>
        </is>
      </c>
      <c r="H57" s="34" t="inlineStr">
        <is>
          <t>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t>
        </is>
      </c>
      <c r="I57" s="35" t="n">
        <v>5</v>
      </c>
      <c r="J57" s="34" t="inlineStr">
        <is>
          <t>✅ คำตอบที่ถูกต้อง: ข้อ จ. Stabilizer → เพิ่มความคงตัวของ formulation/ตัวยา เช่น ป้องกัน oxidation หรือ degradation ตามชนิดของ formulation [แนบรูป: ข้อสอบ Product ปี 2565 รหัสรูปภาพ image51][แนบรูป: ข้อสอบ Product ปี 2565 รหัสรูปภาพ image52] ข้อ
💡 Background:
คำถามข้อสอบจริงใบประกอบวิชาชีพ PLE-CC 1 (Product) ปี 2565 ข้อ 42
🎯 ทำไมข้อนี้ถึงถูก:
ข้อ จ.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7" s="35" t="n"/>
      <c r="L57" s="34" t="inlineStr">
        <is>
          <t>Sterile Preparations &amp; Sterilization</t>
        </is>
      </c>
      <c r="M57" s="35" t="inlineStr">
        <is>
          <t>Product</t>
        </is>
      </c>
      <c r="N57" s="34" t="inlineStr">
        <is>
          <t>ข้อสอบจริง Product ปี 2565 ข้อ 42</t>
        </is>
      </c>
      <c r="O57" s="35" t="inlineStr">
        <is>
          <t>ข้อสอบจริง</t>
        </is>
      </c>
      <c r="P57" s="35" t="inlineStr">
        <is>
          <t>ปี 2565</t>
        </is>
      </c>
    </row>
    <row r="58" ht="409.6" customHeight="1" s="49">
      <c r="A58" s="35" t="n">
        <v>56</v>
      </c>
      <c r="B58" s="34" t="inlineStr">
        <is>
          <t>ต้องการเตรียมยาฉีดเข้าทางหลอดเลือดดำ โดยตัวยามีคุณสมบัติละลายน้ำได้ดี ไม่ทนความร้อน และ สลายตัวได้ง่ายด้วยปฏิกิริยา hydrolysis ดังนั้นควรเตรียมยาแบบใดจึงจะเหมาะสมที่สุด</t>
        </is>
      </c>
      <c r="C58" s="35" t="n"/>
      <c r="D58" s="34" t="inlineStr">
        <is>
          <t>Solutions for injection  มีน้ำ เกิด hydrolysis ระหว่างเก็บ</t>
        </is>
      </c>
      <c r="E58" s="34" t="inlineStr">
        <is>
          <t>ละลายยาด้วยน้ำ แล้วทำเป็น powders for injection ด้วยวิธี lyophilization</t>
        </is>
      </c>
      <c r="F58" s="34" t="inlineStr">
        <is>
          <t>Spray drying  ใช้ความร้อน จึงไม่เหมาะกับยาที่ไม่ทนความร้อน</t>
        </is>
      </c>
      <c r="G58" s="34" t="inlineStr">
        <is>
          <t>Emulsion ในน้ำมัน  โจทย์บอกว่ายาละลายน้ำได้ดี และการทำอิมัลชันไม่ใช่วิธีแก้ปัญหา hydrolysis ในกรณีนี้</t>
        </is>
      </c>
      <c r="H58" s="34" t="n"/>
      <c r="I58" s="35" t="n">
        <v>1</v>
      </c>
      <c r="J58" s="34" t="inlineStr">
        <is>
          <t>✅ คำตอบที่ถูกต้อง: ข้อ ก. Solutions for injection  มีน้ำ เกิด hydrolysis ระหว่างเก็บ
💡 Background:
คำถามข้อสอบจริงใบประกอบวิชาชีพ PLE-CC 1 (Product) ปี 2564 ข้อ 42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8" s="35" t="n"/>
      <c r="L58" s="34" t="inlineStr">
        <is>
          <t>Sterile Preparations &amp; Sterilization</t>
        </is>
      </c>
      <c r="M58" s="35" t="inlineStr">
        <is>
          <t>Product</t>
        </is>
      </c>
      <c r="N58" s="34" t="inlineStr">
        <is>
          <t>ข้อสอบจริง Product ปี 2564 ข้อ 42</t>
        </is>
      </c>
      <c r="O58" s="35" t="inlineStr">
        <is>
          <t>ข้อสอบจริง</t>
        </is>
      </c>
      <c r="P58" s="35" t="inlineStr">
        <is>
          <t>ปี 2564</t>
        </is>
      </c>
    </row>
    <row r="59" ht="409.6" customHeight="1" s="49">
      <c r="A59" s="35" t="n">
        <v>57</v>
      </c>
      <c r="B59" s="34" t="inlineStr">
        <is>
          <t>ทดสอบ chloramphenicol eye drop ไม่จำเป็นต้องทำข้อใด</t>
        </is>
      </c>
      <c r="C59" s="35" t="n"/>
      <c r="D59" s="34" t="inlineStr">
        <is>
          <t>Identification</t>
        </is>
      </c>
      <c r="E59" s="34" t="inlineStr">
        <is>
          <t>Isotonicity</t>
        </is>
      </c>
      <c r="F59" s="34" t="inlineStr">
        <is>
          <t>pH</t>
        </is>
      </c>
      <c r="G59" s="34" t="inlineStr">
        <is>
          <t>Sterile</t>
        </is>
      </c>
      <c r="H59" s="34" t="inlineStr">
        <is>
          <t>Assay</t>
        </is>
      </c>
      <c r="I59" s="35" t="n">
        <v>1</v>
      </c>
      <c r="J59" s="34" t="inlineStr">
        <is>
          <t>✅ คำตอบที่ถูกต้อง: ข้อ ก. Identification
💡 Background:
คำถามข้อสอบจริงใบประกอบวิชาชีพ PLE-CC 1 (Product) ปี 2564 ข้อ 44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59" s="35" t="n"/>
      <c r="L59" s="34" t="inlineStr">
        <is>
          <t>Sterile Preparations &amp; Sterilization</t>
        </is>
      </c>
      <c r="M59" s="35" t="inlineStr">
        <is>
          <t>Product</t>
        </is>
      </c>
      <c r="N59" s="34" t="inlineStr">
        <is>
          <t>ข้อสอบจริง Product ปี 2564 ข้อ 44</t>
        </is>
      </c>
      <c r="O59" s="35" t="inlineStr">
        <is>
          <t>ข้อสอบจริง</t>
        </is>
      </c>
      <c r="P59" s="35" t="inlineStr">
        <is>
          <t>ปี 2564</t>
        </is>
      </c>
    </row>
    <row r="60" ht="409.6" customHeight="1" s="49">
      <c r="A60" s="35" t="n">
        <v>58</v>
      </c>
      <c r="B60" s="34" t="inlineStr">
        <is>
          <t>สารละลายที่ใชในผลิต furosemide inj ในระดับอุตสาหกรรม (ฉลาก 10 ml, single dose syringe)</t>
        </is>
      </c>
      <c r="C60" s="35" t="n"/>
      <c r="D60" s="34" t="inlineStr">
        <is>
          <t>Purified water: ใช้ผลิตยาที่ไม่ใช่ยาปราศจากเชื้อ (non-sterile product)</t>
        </is>
      </c>
      <c r="E60" s="34" t="inlineStr">
        <is>
          <t>Sterile purified water: ใช้ผลิตยาที่ใช้ภายนอกหรือยาที่ไม่ใช่ยาฉีด (non-parenteral), ใช้ล้างเครื่องมือ</t>
        </is>
      </c>
      <c r="F60" s="34" t="inlineStr">
        <is>
          <t>Water for inj</t>
        </is>
      </c>
      <c r="G60" s="34" t="inlineStr">
        <is>
          <t>Sterile water for injection: ใช้ผสมยาที่เป็นยาผงสำหรับฉีด (powder for injection)</t>
        </is>
      </c>
      <c r="H60" s="34" t="inlineStr">
        <is>
          <t>Bacteriostatic water for injection: มีสารกันเสีย ไม่ใช้กับยาฉีดขนาดบรรจุครั้งเดียว (single dose)</t>
        </is>
      </c>
      <c r="I60" s="35" t="n">
        <v>1</v>
      </c>
      <c r="J60" s="34" t="inlineStr">
        <is>
          <t>✅ คำตอบที่ถูกต้อง: ข้อ ก. Purified water: ใช้ผลิตยาที่ไม่ใช่ยาปราศจากเชื้อ (non-sterile product)
💡 Background:
คำถามข้อสอบจริงใบประกอบวิชาชีพ PLE-CC 1 (Product) ปี 2564 ข้อ 46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0" s="35" t="n"/>
      <c r="L60" s="34" t="inlineStr">
        <is>
          <t>Sterile Preparations &amp; Sterilization</t>
        </is>
      </c>
      <c r="M60" s="35" t="inlineStr">
        <is>
          <t>Product</t>
        </is>
      </c>
      <c r="N60" s="34" t="inlineStr">
        <is>
          <t>ข้อสอบจริง Product ปี 2564 ข้อ 46</t>
        </is>
      </c>
      <c r="O60" s="35" t="inlineStr">
        <is>
          <t>ข้อสอบจริง</t>
        </is>
      </c>
      <c r="P60" s="35" t="inlineStr">
        <is>
          <t>ปี 2564</t>
        </is>
      </c>
    </row>
    <row r="61" ht="409.6" customHeight="1" s="49">
      <c r="A61" s="35" t="n">
        <v>59</v>
      </c>
      <c r="B61" s="34" t="inlineStr">
        <is>
          <t>น้ำที่ใช้ในกระบวนการผลิตยาทาเฉพาะที่แบบเจล คือข้อใด</t>
        </is>
      </c>
      <c r="C61" s="35" t="n"/>
      <c r="D61" s="34" t="inlineStr">
        <is>
          <t>Potable water ❌ น้ำประปาที่ดื่มได้ ใช้ล้างอุปกรณ์หรือเป็นน้ำตั้งต้นในการผลิต Purified Water ไม่ใช้ผลิตยาโดยตรง</t>
        </is>
      </c>
      <c r="E61" s="34" t="inlineStr">
        <is>
          <t>Purified water ✅ ใช้ผลิตยาเจล ครีม ขี้ผึ้ง ยาน้ำรับประทาน และผลิตภัณฑ์ทาภายนอกทั่วไป</t>
        </is>
      </c>
      <c r="F61" s="34" t="inlineStr">
        <is>
          <t>Sterile purified water ❌ ไม่ใช่ชื่อมาตรฐานในเภสัชตำรับ</t>
        </is>
      </c>
      <c r="G61" s="34" t="inlineStr">
        <is>
          <t>Sterile water for irrigation ❌ ใช้สำหรับการล้าง (irrigation) ไม่ใช่การผลิตเจล</t>
        </is>
      </c>
      <c r="H61" s="34" t="inlineStr">
        <is>
          <t>Bacteriostatic water for injection ❌ ใช้เป็นตัวทำละลายสำหรับยาฉีดบางชนิด</t>
        </is>
      </c>
      <c r="I61" s="35" t="n">
        <v>1</v>
      </c>
      <c r="J61" s="34" t="inlineStr">
        <is>
          <t>✅ คำตอบที่ถูกต้อง: ข้อ ก. Potable water ❌ น้ำประปาที่ดื่มได้ ใช้ล้างอุปกรณ์หรือเป็นน้ำตั้งต้นในการผลิต Purified Water ไม่ใช้ผลิตยาโดยตรง
💡 Background:
คำถามข้อสอบจริงใบประกอบวิชาชีพ PLE-CC 1 (Product) ปี 2564 ข้อ 75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1" s="35" t="n"/>
      <c r="L61" s="34" t="inlineStr">
        <is>
          <t>Sterile Preparations &amp; Sterilization</t>
        </is>
      </c>
      <c r="M61" s="35" t="inlineStr">
        <is>
          <t>Product</t>
        </is>
      </c>
      <c r="N61" s="34" t="inlineStr">
        <is>
          <t>ข้อสอบจริง Product ปี 2564 ข้อ 75</t>
        </is>
      </c>
      <c r="O61" s="35" t="inlineStr">
        <is>
          <t>ข้อสอบจริง</t>
        </is>
      </c>
      <c r="P61" s="35" t="inlineStr">
        <is>
          <t>ปี 2564</t>
        </is>
      </c>
    </row>
    <row r="62" ht="409.6" customHeight="1" s="49">
      <c r="A62" s="35" t="n">
        <v>60</v>
      </c>
      <c r="B62" s="34" t="inlineStr">
        <is>
          <t>ข้อกำหนดมาตรฐานของวัคซีนข้อใดที่แตกต่างจากยาฉีดทั่วไป</t>
        </is>
      </c>
      <c r="C62" s="35" t="n"/>
      <c r="D62" s="34" t="inlineStr">
        <is>
          <t>Potency</t>
        </is>
      </c>
      <c r="E62" s="34" t="inlineStr">
        <is>
          <t>Minimum fill</t>
        </is>
      </c>
      <c r="F62" s="34" t="inlineStr">
        <is>
          <t>Deliverable volume</t>
        </is>
      </c>
      <c r="G62" s="34" t="inlineStr">
        <is>
          <t>Particulate matter</t>
        </is>
      </c>
      <c r="H62" s="34" t="inlineStr">
        <is>
          <t>Heavy metal</t>
        </is>
      </c>
      <c r="I62" s="35" t="n">
        <v>1</v>
      </c>
      <c r="J62" s="34" t="inlineStr">
        <is>
          <t>✅ คำตอบที่ถูกต้อง: ข้อ ก. Potency
💡 Background:
คำถามข้อสอบจริงใบประกอบวิชาชีพ PLE-CC 1 (Product) ปี 2564 ข้อ 100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2" s="35" t="n"/>
      <c r="L62" s="34" t="inlineStr">
        <is>
          <t>Sterile Preparations &amp; Sterilization</t>
        </is>
      </c>
      <c r="M62" s="35" t="inlineStr">
        <is>
          <t>Product</t>
        </is>
      </c>
      <c r="N62" s="34" t="inlineStr">
        <is>
          <t>ข้อสอบจริง Product ปี 2564 ข้อ 100</t>
        </is>
      </c>
      <c r="O62" s="35" t="inlineStr">
        <is>
          <t>ข้อสอบจริง</t>
        </is>
      </c>
      <c r="P62" s="35" t="inlineStr">
        <is>
          <t>ปี 2564</t>
        </is>
      </c>
    </row>
    <row r="63" ht="409.6" customHeight="1" s="49">
      <c r="A63" s="35" t="n">
        <v>61</v>
      </c>
      <c r="B63" s="34" t="inlineStr">
        <is>
          <t>ข้อใดไม่ใช่การควบคุมคุณภาพยาฉีดรูปแบบสารละลาย</t>
        </is>
      </c>
      <c r="C63" s="35" t="n"/>
      <c r="D63" s="34" t="inlineStr">
        <is>
          <t>Sterility test</t>
        </is>
      </c>
      <c r="E63" s="34" t="inlineStr">
        <is>
          <t>Microbial limit test</t>
        </is>
      </c>
      <c r="F63" s="34" t="inlineStr">
        <is>
          <t>Pyrogen test</t>
        </is>
      </c>
      <c r="G63" s="34" t="inlineStr">
        <is>
          <t>Particulate matter test</t>
        </is>
      </c>
      <c r="H63" s="34" t="inlineStr">
        <is>
          <t>Leaker test</t>
        </is>
      </c>
      <c r="I63" s="35" t="n">
        <v>1</v>
      </c>
      <c r="J63" s="34" t="inlineStr">
        <is>
          <t>✅ คำตอบที่ถูกต้อง: ข้อ ก. Sterility test
💡 Background:
คำถามข้อสอบจริงใบประกอบวิชาชีพ PLE-CC 1 (Product) ปี 2564 ข้อ 105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3" s="35" t="n"/>
      <c r="L63" s="34" t="inlineStr">
        <is>
          <t>Sterile Preparations &amp; Sterilization</t>
        </is>
      </c>
      <c r="M63" s="35" t="inlineStr">
        <is>
          <t>Product</t>
        </is>
      </c>
      <c r="N63" s="34" t="inlineStr">
        <is>
          <t>ข้อสอบจริง Product ปี 2564 ข้อ 105</t>
        </is>
      </c>
      <c r="O63" s="35" t="inlineStr">
        <is>
          <t>ข้อสอบจริง</t>
        </is>
      </c>
      <c r="P63" s="35" t="inlineStr">
        <is>
          <t>ปี 2564</t>
        </is>
      </c>
    </row>
    <row r="64" ht="409.6" customHeight="1" s="49">
      <c r="A64" s="35" t="n">
        <v>62</v>
      </c>
      <c r="B64" s="34" t="inlineStr">
        <is>
          <t>การวิเคราะห์คุณภาพยาตาที่เตรียมขึ้นในข้อใดมีความสำคัญที่สุด เพื่อให้ปลอดภัยต่อผู้ป่วย A. Microbial limit test</t>
        </is>
      </c>
      <c r="C64" s="35" t="n"/>
      <c r="D64" s="34" t="inlineStr">
        <is>
          <t>Microbial limit test ❌ ใช้กับผลิตภัณฑ์ที่ ไม่จำเป็นต้องปราศจากเชื้อ เช่น ยารับประทาน ยาทาผิวหนังบางชนิด โดยยาตาใช้ Sterility test แทน</t>
        </is>
      </c>
      <c r="E64" s="34" t="inlineStr">
        <is>
          <t>Sterility test</t>
        </is>
      </c>
      <c r="F64" s="34" t="inlineStr">
        <is>
          <t>Dissolution test ❌ ใช้กับยาเม็ด/แคปซูล</t>
        </is>
      </c>
      <c r="G64" s="34" t="inlineStr">
        <is>
          <t>Disintegration test ❌ ใช้กับยาเม็ด/แคปซูล</t>
        </is>
      </c>
      <c r="H64" s="34" t="inlineStr">
        <is>
          <t>Pyrogen test ❌ สำคัญกับ ยาฉีด</t>
        </is>
      </c>
      <c r="I64" s="35" t="n">
        <v>1</v>
      </c>
      <c r="J64" s="34" t="inlineStr">
        <is>
          <t>✅ คำตอบที่ถูกต้อง: ข้อ ก. Microbial limit test ❌ ใช้กับผลิตภัณฑ์ที่ ไม่จำเป็นต้องปราศจากเชื้อ เช่น ยารับประทาน ยาทาผิวหนังบางชนิด โดยยาตาใช้ Sterility test แทน
💡 Background:
คำถามข้อสอบจริงใบประกอบวิชาชีพ PLE-CC 1 (Product) ปี 2564 ข้อ 110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4" s="35" t="n"/>
      <c r="L64" s="34" t="inlineStr">
        <is>
          <t>Sterile Preparations &amp; Sterilization</t>
        </is>
      </c>
      <c r="M64" s="35" t="inlineStr">
        <is>
          <t>Product</t>
        </is>
      </c>
      <c r="N64" s="34" t="inlineStr">
        <is>
          <t>ข้อสอบจริง Product ปี 2564 ข้อ 110</t>
        </is>
      </c>
      <c r="O64" s="35" t="inlineStr">
        <is>
          <t>ข้อสอบจริง</t>
        </is>
      </c>
      <c r="P64" s="35" t="inlineStr">
        <is>
          <t>ปี 2564</t>
        </is>
      </c>
    </row>
    <row r="65" ht="409.6" customHeight="1" s="49">
      <c r="A65" s="35" t="n">
        <v>63</v>
      </c>
      <c r="B65" s="34" t="inlineStr">
        <is>
          <t>การทดสอบเพื่อควบคุมคุณภาพยาฉีด ข้อใดผิด</t>
        </is>
      </c>
      <c r="C65" s="35" t="n"/>
      <c r="D65" s="34" t="inlineStr">
        <is>
          <t>Sterility tests</t>
        </is>
      </c>
      <c r="E65" s="34" t="inlineStr">
        <is>
          <t>Particulate matter</t>
        </is>
      </c>
      <c r="F65" s="34" t="inlineStr">
        <is>
          <t>Pyrogen test</t>
        </is>
      </c>
      <c r="G65" s="34" t="inlineStr">
        <is>
          <t>Safety test</t>
        </is>
      </c>
      <c r="H65" s="34" t="inlineStr">
        <is>
          <t>Microbial limit test</t>
        </is>
      </c>
      <c r="I65" s="35" t="n">
        <v>1</v>
      </c>
      <c r="J65" s="34" t="inlineStr">
        <is>
          <t>✅ คำตอบที่ถูกต้อง: ข้อ ก. Sterility tests
💡 Background:
คำถามข้อสอบจริงใบประกอบวิชาชีพ PLE-CC 1 (Product) ปี 2564 ข้อ 139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5" s="35" t="n"/>
      <c r="L65" s="34" t="inlineStr">
        <is>
          <t>Sterile Preparations &amp; Sterilization</t>
        </is>
      </c>
      <c r="M65" s="35" t="inlineStr">
        <is>
          <t>Product</t>
        </is>
      </c>
      <c r="N65" s="34" t="inlineStr">
        <is>
          <t>ข้อสอบจริง Product ปี 2564 ข้อ 139</t>
        </is>
      </c>
      <c r="O65" s="35" t="inlineStr">
        <is>
          <t>ข้อสอบจริง</t>
        </is>
      </c>
      <c r="P65" s="35" t="inlineStr">
        <is>
          <t>ปี 2564</t>
        </is>
      </c>
    </row>
    <row r="66" ht="409.6" customHeight="1" s="49">
      <c r="A66" s="35" t="n">
        <v>64</v>
      </c>
      <c r="B66" s="34" t="inlineStr">
        <is>
          <t>Diazepam IV ไม่จำเป็นต้องตรวจอะไร</t>
        </is>
      </c>
      <c r="C66" s="35" t="n"/>
      <c r="D66" s="34" t="inlineStr">
        <is>
          <t>pH</t>
        </is>
      </c>
      <c r="E66" s="34" t="inlineStr">
        <is>
          <t>Pyrogen</t>
        </is>
      </c>
      <c r="F66" s="34" t="inlineStr">
        <is>
          <t>Leakage test</t>
        </is>
      </c>
      <c r="G66" s="34" t="inlineStr">
        <is>
          <t>Safety test</t>
        </is>
      </c>
      <c r="H66" s="34" t="inlineStr">
        <is>
          <t>Deliverable volume</t>
        </is>
      </c>
      <c r="I66" s="35" t="n">
        <v>1</v>
      </c>
      <c r="J66" s="34" t="inlineStr">
        <is>
          <t>✅ คำตอบที่ถูกต้อง: ข้อ ก. pH
💡 Background:
คำถามข้อสอบจริงใบประกอบวิชาชีพ PLE-CC 1 (Product) ปี 2564 ข้อ 147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6" s="35" t="n"/>
      <c r="L66" s="34" t="inlineStr">
        <is>
          <t>Sterile Preparations &amp; Sterilization</t>
        </is>
      </c>
      <c r="M66" s="35" t="inlineStr">
        <is>
          <t>Product</t>
        </is>
      </c>
      <c r="N66" s="34" t="inlineStr">
        <is>
          <t>ข้อสอบจริง Product ปี 2564 ข้อ 147</t>
        </is>
      </c>
      <c r="O66" s="35" t="inlineStr">
        <is>
          <t>ข้อสอบจริง</t>
        </is>
      </c>
      <c r="P66" s="35" t="inlineStr">
        <is>
          <t>ปี 2564</t>
        </is>
      </c>
    </row>
    <row r="67" ht="409.6" customHeight="1" s="49">
      <c r="A67" s="35" t="n">
        <v>65</v>
      </c>
      <c r="B67" s="34" t="inlineStr">
        <is>
          <t>ข้อใดไม่ใช่ terminal sterilization</t>
        </is>
      </c>
      <c r="C67" s="35" t="n"/>
      <c r="D67" s="34" t="inlineStr">
        <is>
          <t>Autoclave ✅ Terminal sterilization (moist heat)</t>
        </is>
      </c>
      <c r="E67" s="34" t="inlineStr">
        <is>
          <t>Gamma radiation ✅ Terminal sterilization</t>
        </is>
      </c>
      <c r="F67" s="34" t="inlineStr">
        <is>
          <t>Steam sterilization ✅ Terminal sterilization</t>
        </is>
      </c>
      <c r="G67" s="34" t="inlineStr">
        <is>
          <t>Membrane filtration ❌ ไม่ใช่ เป็น aseptic sterilization</t>
        </is>
      </c>
      <c r="H67" s="34" t="inlineStr">
        <is>
          <t>Dry heat sterilization ✅ Terminal sterilization</t>
        </is>
      </c>
      <c r="I67" s="35" t="n">
        <v>1</v>
      </c>
      <c r="J67" s="34" t="inlineStr">
        <is>
          <t>✅ คำตอบที่ถูกต้อง: ข้อ ก. Autoclave ✅ Terminal sterilization (moist heat)
💡 Background:
คำถามข้อสอบจริงใบประกอบวิชาชีพ PLE-CC 1 (Product) ปี 2564 ข้อ 157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7" s="35" t="n"/>
      <c r="L67" s="34" t="inlineStr">
        <is>
          <t>Sterile Preparations &amp; Sterilization</t>
        </is>
      </c>
      <c r="M67" s="35" t="inlineStr">
        <is>
          <t>Product</t>
        </is>
      </c>
      <c r="N67" s="34" t="inlineStr">
        <is>
          <t>ข้อสอบจริง Product ปี 2564 ข้อ 157</t>
        </is>
      </c>
      <c r="O67" s="35" t="inlineStr">
        <is>
          <t>ข้อสอบจริง</t>
        </is>
      </c>
      <c r="P67" s="35" t="inlineStr">
        <is>
          <t>ปี 2564</t>
        </is>
      </c>
    </row>
    <row r="68" ht="409.6" customHeight="1" s="49">
      <c r="A68" s="35" t="n">
        <v>66</v>
      </c>
      <c r="B68" s="34" t="inlineStr">
        <is>
          <t>สาร x = in situ gel "sol to gel" in eye drug delivery system สาร x คือข้อใด</t>
        </is>
      </c>
      <c r="C68" s="35" t="n"/>
      <c r="D68" s="34" t="inlineStr">
        <is>
          <t>Carbopol</t>
        </is>
      </c>
      <c r="E68" s="34" t="inlineStr">
        <is>
          <t>Poloxamer</t>
        </is>
      </c>
      <c r="F68" s="34" t="inlineStr">
        <is>
          <t>Ethyl cellulose</t>
        </is>
      </c>
      <c r="G68" s="34" t="inlineStr">
        <is>
          <t>Polyvinyl alcohol</t>
        </is>
      </c>
      <c r="H68" s="34" t="inlineStr">
        <is>
          <t>Carboxymethylcellulose</t>
        </is>
      </c>
      <c r="I68" s="35" t="n">
        <v>1</v>
      </c>
      <c r="J68" s="34" t="inlineStr">
        <is>
          <t>✅ คำตอบที่ถูกต้อง: ข้อ ก. Carbopol
💡 Background:
คำถามข้อสอบจริงใบประกอบวิชาชีพ PLE-CC 1 (Product) ปี 2564 ข้อ 158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8" s="35" t="n"/>
      <c r="L68" s="34" t="inlineStr">
        <is>
          <t>Sterile Preparations &amp; Sterilization</t>
        </is>
      </c>
      <c r="M68" s="35" t="inlineStr">
        <is>
          <t>Product</t>
        </is>
      </c>
      <c r="N68" s="34" t="inlineStr">
        <is>
          <t>ข้อสอบจริง Product ปี 2564 ข้อ 158</t>
        </is>
      </c>
      <c r="O68" s="35" t="inlineStr">
        <is>
          <t>ข้อสอบจริง</t>
        </is>
      </c>
      <c r="P68" s="35" t="inlineStr">
        <is>
          <t>ปี 2564</t>
        </is>
      </c>
    </row>
    <row r="69" ht="409.6" customHeight="1" s="49">
      <c r="A69" s="35" t="n">
        <v>67</v>
      </c>
      <c r="B69" s="34" t="inlineStr">
        <is>
          <t>ข้อใดเป็น preservatives ในตำรับนี้ ต้นฉบับ: Day 1 ข้อ 6</t>
        </is>
      </c>
      <c r="C69" s="35" t="n"/>
      <c r="D69" s="34" t="inlineStr">
        <is>
          <t>Dexamethasone</t>
        </is>
      </c>
      <c r="E69" s="34" t="inlineStr">
        <is>
          <t>Benzyl alcohol</t>
        </is>
      </c>
      <c r="F69" s="34" t="inlineStr">
        <is>
          <t>Sodium chloride</t>
        </is>
      </c>
      <c r="G69" s="34" t="inlineStr">
        <is>
          <t>Sodium hydroxide</t>
        </is>
      </c>
      <c r="H69" s="34" t="inlineStr">
        <is>
          <t>Polysorbate 80</t>
        </is>
      </c>
      <c r="I69" s="35" t="n">
        <v>2</v>
      </c>
      <c r="J69" s="34" t="inlineStr">
        <is>
          <t>✅ คำตอบที่ถูกต้อง: ข้อ ข. Benzyl alcohol
💡 Background:
คำถามข้อสอบจริงใบประกอบวิชาชีพ PLE-CC 1 (Product) ปี 2563 ข้อ 59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69" s="35" t="n"/>
      <c r="L69" s="34" t="inlineStr">
        <is>
          <t>Sterile Preparations &amp; Sterilization</t>
        </is>
      </c>
      <c r="M69" s="35" t="inlineStr">
        <is>
          <t>Product</t>
        </is>
      </c>
      <c r="N69" s="34" t="inlineStr">
        <is>
          <t>ข้อสอบจริง Product ปี 2563 ข้อ 59</t>
        </is>
      </c>
      <c r="O69" s="35" t="inlineStr">
        <is>
          <t>ข้อสอบจริง</t>
        </is>
      </c>
      <c r="P69" s="35" t="inlineStr">
        <is>
          <t>ปี 2563</t>
        </is>
      </c>
    </row>
    <row r="70" ht="409.6" customHeight="1" s="49">
      <c r="A70" s="35" t="n">
        <v>68</v>
      </c>
      <c r="B70" s="34" t="inlineStr">
        <is>
          <t>ข้อใดไม่ใช่การควบคุมคุณภาพยาฉีดรูปแบบสารละลาย ต้นฉบับ: Day 1 ข้อ 7</t>
        </is>
      </c>
      <c r="C70" s="35" t="n"/>
      <c r="D70" s="34" t="inlineStr">
        <is>
          <t>Sterility test</t>
        </is>
      </c>
      <c r="E70" s="34" t="inlineStr">
        <is>
          <t>Microbial limit test</t>
        </is>
      </c>
      <c r="F70" s="34" t="inlineStr">
        <is>
          <t>Pyrogen test</t>
        </is>
      </c>
      <c r="G70" s="34" t="inlineStr">
        <is>
          <t>Particulate matter test</t>
        </is>
      </c>
      <c r="H70" s="34" t="inlineStr">
        <is>
          <t>Leaker test</t>
        </is>
      </c>
      <c r="I70" s="35" t="n">
        <v>2</v>
      </c>
      <c r="J70" s="34" t="inlineStr">
        <is>
          <t>✅ คำตอบที่ถูกต้อง: ข้อ ข. Microbial limit test
💡 Background:
คำถามข้อสอบจริงใบประกอบวิชาชีพ PLE-CC 1 (Product) ปี 2563 ข้อ 60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0" s="35" t="n"/>
      <c r="L70" s="34" t="inlineStr">
        <is>
          <t>Sterile Preparations &amp; Sterilization</t>
        </is>
      </c>
      <c r="M70" s="35" t="inlineStr">
        <is>
          <t>Product</t>
        </is>
      </c>
      <c r="N70" s="34" t="inlineStr">
        <is>
          <t>ข้อสอบจริง Product ปี 2563 ข้อ 60</t>
        </is>
      </c>
      <c r="O70" s="35" t="inlineStr">
        <is>
          <t>ข้อสอบจริง</t>
        </is>
      </c>
      <c r="P70" s="35" t="inlineStr">
        <is>
          <t>ปี 2563</t>
        </is>
      </c>
    </row>
    <row r="71" ht="409.6" customHeight="1" s="49">
      <c r="A71" s="35" t="n">
        <v>69</v>
      </c>
      <c r="B71" s="34" t="inlineStr">
        <is>
          <t>การวิเคราะห์คุณภาพยาตาที่เตรียมขึ้นในข้อใดมีความสำคัญมากที่สุด เพื่อให้ปลอดภัยต่อผู้ป่วย ต้นฉบับ: Day 1 ข้อ 96</t>
        </is>
      </c>
      <c r="C71" s="35" t="n"/>
      <c r="D71" s="34" t="inlineStr">
        <is>
          <t>Microbial limit test</t>
        </is>
      </c>
      <c r="E71" s="34" t="inlineStr">
        <is>
          <t>Sterility test</t>
        </is>
      </c>
      <c r="F71" s="34" t="inlineStr">
        <is>
          <t>Dissolution test</t>
        </is>
      </c>
      <c r="G71" s="34" t="inlineStr">
        <is>
          <t>Disintegration test</t>
        </is>
      </c>
      <c r="H71" s="34" t="inlineStr">
        <is>
          <t>Pyrogen test</t>
        </is>
      </c>
      <c r="I71" s="35" t="n">
        <v>2</v>
      </c>
      <c r="J71" s="34" t="inlineStr">
        <is>
          <t>✅ คำตอบที่ถูกต้อง: ข้อ ข. Sterility test
💡 Background:
คำถามข้อสอบจริงใบประกอบวิชาชีพ PLE-CC 1 (Product) ปี 2563 ข้อ 63
🎯 ทำไมข้อนี้ถึงถูก:
ข้อ ข.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1" s="35" t="n"/>
      <c r="L71" s="34" t="inlineStr">
        <is>
          <t>Sterile Preparations &amp; Sterilization</t>
        </is>
      </c>
      <c r="M71" s="35" t="inlineStr">
        <is>
          <t>Product</t>
        </is>
      </c>
      <c r="N71" s="34" t="inlineStr">
        <is>
          <t>ข้อสอบจริง Product ปี 2563 ข้อ 63</t>
        </is>
      </c>
      <c r="O71" s="35" t="inlineStr">
        <is>
          <t>ข้อสอบจริง</t>
        </is>
      </c>
      <c r="P71" s="35" t="inlineStr">
        <is>
          <t>ปี 2563</t>
        </is>
      </c>
    </row>
    <row r="72" ht="409.6" customHeight="1" s="49">
      <c r="A72" s="35" t="n">
        <v>70</v>
      </c>
      <c r="B72" s="34" t="inlineStr">
        <is>
          <t>ข้อกำหนดมาตรฐานของวัคซีนข้อใดที่แตกต่างจากยาฉีดทั่วไป ต้นฉบับ: Day 1 ข้อ 54</t>
        </is>
      </c>
      <c r="C72" s="35" t="n"/>
      <c r="D72" s="34" t="inlineStr">
        <is>
          <t>Potency</t>
        </is>
      </c>
      <c r="E72" s="34" t="inlineStr">
        <is>
          <t>Minimum fill</t>
        </is>
      </c>
      <c r="F72" s="34" t="inlineStr">
        <is>
          <t>Deliverable volume</t>
        </is>
      </c>
      <c r="G72" s="34" t="inlineStr">
        <is>
          <t>Particulate matter</t>
        </is>
      </c>
      <c r="H72" s="34" t="inlineStr">
        <is>
          <t>Heavy metal</t>
        </is>
      </c>
      <c r="I72" s="35" t="n">
        <v>1</v>
      </c>
      <c r="J72" s="34" t="inlineStr">
        <is>
          <t>✅ คำตอบที่ถูกต้อง: ข้อ ก. Potency
💡 Background:
คำถามข้อสอบจริงใบประกอบวิชาชีพ PLE-CC 1 (Product) ปี 2563 ข้อ 64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2" s="35" t="n"/>
      <c r="L72" s="34" t="inlineStr">
        <is>
          <t>Sterile Preparations &amp; Sterilization</t>
        </is>
      </c>
      <c r="M72" s="35" t="inlineStr">
        <is>
          <t>Product</t>
        </is>
      </c>
      <c r="N72" s="34" t="inlineStr">
        <is>
          <t>ข้อสอบจริง Product ปี 2563 ข้อ 64</t>
        </is>
      </c>
      <c r="O72" s="35" t="inlineStr">
        <is>
          <t>ข้อสอบจริง</t>
        </is>
      </c>
      <c r="P72" s="35" t="inlineStr">
        <is>
          <t>ปี 2563</t>
        </is>
      </c>
    </row>
    <row r="73" ht="409.6" customHeight="1" s="49">
      <c r="A73" s="35" t="n">
        <v>71</v>
      </c>
      <c r="B73" s="34" t="inlineStr">
        <is>
          <t>ข้อใดไม่ใช่การทดสอบเพื่อควบคุมคุณภาพยาฉีด</t>
        </is>
      </c>
      <c r="C73" s="35" t="n"/>
      <c r="D73" s="34" t="inlineStr">
        <is>
          <t>Safety test</t>
        </is>
      </c>
      <c r="E73" s="34" t="inlineStr">
        <is>
          <t>Sterility test</t>
        </is>
      </c>
      <c r="F73" s="34" t="inlineStr">
        <is>
          <t>Pyrogen test</t>
        </is>
      </c>
      <c r="G73" s="34" t="inlineStr">
        <is>
          <t>Particulate matter</t>
        </is>
      </c>
      <c r="H73" s="34" t="inlineStr">
        <is>
          <t>Microbial limit test</t>
        </is>
      </c>
      <c r="I73" s="35" t="n">
        <v>1</v>
      </c>
      <c r="J73" s="34" t="inlineStr">
        <is>
          <t>✅ คำตอบที่ถูกต้อง: ข้อ ก. Safety test
💡 Background:
คำถามข้อสอบจริงใบประกอบวิชาชีพ PLE-CC 1 (Product) ปี 2561 ข้อ 39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3" s="35" t="n"/>
      <c r="L73" s="34" t="inlineStr">
        <is>
          <t>Sterile Preparations &amp; Sterilization</t>
        </is>
      </c>
      <c r="M73" s="35" t="inlineStr">
        <is>
          <t>Product</t>
        </is>
      </c>
      <c r="N73" s="34" t="inlineStr">
        <is>
          <t>ข้อสอบจริง Product ปี 2561 ข้อ 39</t>
        </is>
      </c>
      <c r="O73" s="35" t="inlineStr">
        <is>
          <t>ข้อสอบจริง</t>
        </is>
      </c>
      <c r="P73" s="35" t="inlineStr">
        <is>
          <t>ปี 2561</t>
        </is>
      </c>
    </row>
    <row r="74" ht="409.6" customHeight="1" s="49">
      <c r="A74" s="35" t="n">
        <v>72</v>
      </c>
      <c r="B74" s="34" t="inlineStr">
        <is>
          <t>Diazepam IV ไม่จำเป็นต้องทดสอบคุณภาพในหัวข้อใด</t>
        </is>
      </c>
      <c r="C74" s="35" t="n"/>
      <c r="D74" s="34" t="inlineStr">
        <is>
          <t>pH</t>
        </is>
      </c>
      <c r="E74" s="34" t="inlineStr">
        <is>
          <t>Pyrogen</t>
        </is>
      </c>
      <c r="F74" s="34" t="inlineStr">
        <is>
          <t>Safety test</t>
        </is>
      </c>
      <c r="G74" s="34" t="inlineStr">
        <is>
          <t>Leakage test</t>
        </is>
      </c>
      <c r="H74" s="34" t="inlineStr">
        <is>
          <t>Deliverable volume</t>
        </is>
      </c>
      <c r="I74" s="35" t="n">
        <v>1</v>
      </c>
      <c r="J74" s="34" t="inlineStr">
        <is>
          <t>✅ คำตอบที่ถูกต้อง: ข้อ ก. pH
💡 Background:
คำถามข้อสอบจริงใบประกอบวิชาชีพ PLE-CC 1 (Product) ปี 2561 ข้อ 51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4" s="35" t="n"/>
      <c r="L74" s="34" t="inlineStr">
        <is>
          <t>Sterile Preparations &amp; Sterilization</t>
        </is>
      </c>
      <c r="M74" s="35" t="inlineStr">
        <is>
          <t>Product</t>
        </is>
      </c>
      <c r="N74" s="34" t="inlineStr">
        <is>
          <t>ข้อสอบจริง Product ปี 2561 ข้อ 51</t>
        </is>
      </c>
      <c r="O74" s="35" t="inlineStr">
        <is>
          <t>ข้อสอบจริง</t>
        </is>
      </c>
      <c r="P74" s="35" t="inlineStr">
        <is>
          <t>ปี 2561</t>
        </is>
      </c>
    </row>
    <row r="75" ht="409.6" customHeight="1" s="49">
      <c r="A75" s="35" t="n">
        <v>73</v>
      </c>
      <c r="B75" s="34" t="inlineStr">
        <is>
          <t>ข้อใดเป็นข้อกำหนดมาตรฐานในการผลิตยา tetrahydrozoline eye drop</t>
        </is>
      </c>
      <c r="C75" s="35" t="n"/>
      <c r="D75" s="34" t="inlineStr">
        <is>
          <t>Sterility</t>
        </is>
      </c>
      <c r="E75" s="34" t="inlineStr">
        <is>
          <t>Crystallinity</t>
        </is>
      </c>
      <c r="F75" s="34" t="inlineStr">
        <is>
          <t>Minimum fill</t>
        </is>
      </c>
      <c r="G75" s="34" t="inlineStr">
        <is>
          <t>Deliverable volume</t>
        </is>
      </c>
      <c r="H75" s="34" t="inlineStr">
        <is>
          <t>Bacterial endotoxin test</t>
        </is>
      </c>
      <c r="I75" s="35" t="n">
        <v>1</v>
      </c>
      <c r="J75" s="34" t="inlineStr">
        <is>
          <t>✅ คำตอบที่ถูกต้อง: ข้อ ก. Sterility
💡 Background:
คำถามข้อสอบจริงใบประกอบวิชาชีพ PLE-CC 1 (Product) ปี 2561 ข้อ 109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5" s="35" t="n"/>
      <c r="L75" s="34" t="inlineStr">
        <is>
          <t>Sterile Preparations &amp; Sterilization</t>
        </is>
      </c>
      <c r="M75" s="35" t="inlineStr">
        <is>
          <t>Product</t>
        </is>
      </c>
      <c r="N75" s="34" t="inlineStr">
        <is>
          <t>ข้อสอบจริง Product ปี 2561 ข้อ 109</t>
        </is>
      </c>
      <c r="O75" s="35" t="inlineStr">
        <is>
          <t>ข้อสอบจริง</t>
        </is>
      </c>
      <c r="P75" s="35" t="inlineStr">
        <is>
          <t>ปี 2561</t>
        </is>
      </c>
    </row>
    <row r="76" ht="409.6" customHeight="1" s="49">
      <c r="A76" s="35" t="n">
        <v>74</v>
      </c>
      <c r="B76" s="34" t="inlineStr">
        <is>
          <t>การบรรจุ insulin ห้องที่บรรจุควรมีความสะอาดตาม clean room grade ใด</t>
        </is>
      </c>
      <c r="C76" s="35" t="n"/>
      <c r="D76" s="34" t="inlineStr">
        <is>
          <t>A</t>
        </is>
      </c>
      <c r="E76" s="34" t="inlineStr">
        <is>
          <t>B</t>
        </is>
      </c>
      <c r="F76" s="34" t="inlineStr">
        <is>
          <t>C</t>
        </is>
      </c>
      <c r="G76" s="34" t="inlineStr">
        <is>
          <t>D</t>
        </is>
      </c>
      <c r="H76" s="34" t="inlineStr">
        <is>
          <t>E</t>
        </is>
      </c>
      <c r="I76" s="35" t="n">
        <v>1</v>
      </c>
      <c r="J76" s="34" t="inlineStr">
        <is>
          <t>✅ คำตอบที่ถูกต้อง: ข้อ ก. A
💡 Background:
คำถามข้อสอบจริงใบประกอบวิชาชีพ PLE-CC 1 (Product) ปี 2559 ข้อ 4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6" s="35" t="n"/>
      <c r="L76" s="34" t="inlineStr">
        <is>
          <t>Sterile Preparations &amp; Sterilization</t>
        </is>
      </c>
      <c r="M76" s="35" t="inlineStr">
        <is>
          <t>Product</t>
        </is>
      </c>
      <c r="N76" s="34" t="inlineStr">
        <is>
          <t>ข้อสอบจริง Product ปี 2559 ข้อ 4</t>
        </is>
      </c>
      <c r="O76" s="35" t="inlineStr">
        <is>
          <t>ข้อสอบจริง</t>
        </is>
      </c>
      <c r="P76" s="35" t="inlineStr">
        <is>
          <t>ปี 2559</t>
        </is>
      </c>
    </row>
    <row r="77" ht="409.6" customHeight="1" s="49">
      <c r="A77" s="35" t="n">
        <v>75</v>
      </c>
      <c r="B77" s="34" t="inlineStr">
        <is>
          <t>ข้อใดถูกเกี่ยวกับยาฉีดรูปแบบ single dose container ที่มีวิธีเก็บให้พ้นแสงที่ cool temperature</t>
        </is>
      </c>
      <c r="C77" s="35" t="n"/>
      <c r="D77" s="34" t="inlineStr">
        <is>
          <t>เก็บในภาชนะ vial สีชา ที่อุณหภูมิ 2-8 องศาเซลเซียส</t>
        </is>
      </c>
      <c r="E77" s="34" t="inlineStr">
        <is>
          <t>เก็บในภาชนะ ampule สีชา ที่อุณหภูมิ 2-8 องศาเซลเซียส</t>
        </is>
      </c>
      <c r="F77" s="34" t="inlineStr">
        <is>
          <t>เก็บในภาชนะ vial สีชา ที่อุณหภูมิ 8-15 องศาเซลเซียส</t>
        </is>
      </c>
      <c r="G77" s="34" t="inlineStr">
        <is>
          <t>เก็บในภาชนะ ampule สีชา ที่อุณหภูมิ8-15 องศาเซลเซียส</t>
        </is>
      </c>
      <c r="H77" s="34" t="inlineStr">
        <is>
          <t>เก็บในภาชนะ ampule สีชา ที่อุณหภูมิ 4-8 องศาเซลเซียส</t>
        </is>
      </c>
      <c r="I77" s="35" t="n">
        <v>1</v>
      </c>
      <c r="J77" s="34" t="inlineStr">
        <is>
          <t>✅ คำตอบที่ถูกต้อง: ข้อ ก. เก็บในภาชนะ vial สีชา ที่อุณหภูมิ 2-8 องศาเซลเซียส
💡 Background:
คำถามข้อสอบจริงใบประกอบวิชาชีพ PLE-CC 1 (Product) ปี 2559 ข้อ 6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7" s="35" t="n"/>
      <c r="L77" s="34" t="inlineStr">
        <is>
          <t>Sterile Preparations &amp; Sterilization</t>
        </is>
      </c>
      <c r="M77" s="35" t="inlineStr">
        <is>
          <t>Product</t>
        </is>
      </c>
      <c r="N77" s="34" t="inlineStr">
        <is>
          <t>ข้อสอบจริง Product ปี 2559 ข้อ 6</t>
        </is>
      </c>
      <c r="O77" s="35" t="inlineStr">
        <is>
          <t>ข้อสอบจริง</t>
        </is>
      </c>
      <c r="P77" s="35" t="inlineStr">
        <is>
          <t>ปี 2559</t>
        </is>
      </c>
    </row>
    <row r="78" ht="409.6" customHeight="1" s="49">
      <c r="A78" s="35" t="n">
        <v>76</v>
      </c>
      <c r="B78" s="34" t="inlineStr">
        <is>
          <t>แก้วประเภทใดเหมาะสมที่สุดในการบรรจุยาฉีด</t>
        </is>
      </c>
      <c r="C78" s="35" t="n"/>
      <c r="D78" s="34" t="inlineStr">
        <is>
          <t>soda-lime glass</t>
        </is>
      </c>
      <c r="E78" s="34" t="inlineStr">
        <is>
          <t>Borosilicate glass</t>
        </is>
      </c>
      <c r="F78" s="34" t="inlineStr">
        <is>
          <t>Treated soda-lime glass</t>
        </is>
      </c>
      <c r="G78" s="34" t="inlineStr">
        <is>
          <t>General NP</t>
        </is>
      </c>
      <c r="H78" s="34" t="inlineStr">
        <is>
          <t>Silicon dioxide</t>
        </is>
      </c>
      <c r="I78" s="35" t="n">
        <v>1</v>
      </c>
      <c r="J78" s="34" t="inlineStr">
        <is>
          <t>✅ คำตอบที่ถูกต้อง: ข้อ ก. soda-lime glass
💡 Background:
คำถามข้อสอบจริงใบประกอบวิชาชีพ PLE-CC 1 (Product) ปี 2559 ข้อ 7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8" s="35" t="n"/>
      <c r="L78" s="34" t="inlineStr">
        <is>
          <t>Sterile Preparations &amp; Sterilization</t>
        </is>
      </c>
      <c r="M78" s="35" t="inlineStr">
        <is>
          <t>Product</t>
        </is>
      </c>
      <c r="N78" s="34" t="inlineStr">
        <is>
          <t>ข้อสอบจริง Product ปี 2559 ข้อ 7</t>
        </is>
      </c>
      <c r="O78" s="35" t="inlineStr">
        <is>
          <t>ข้อสอบจริง</t>
        </is>
      </c>
      <c r="P78" s="35" t="inlineStr">
        <is>
          <t>ปี 2559</t>
        </is>
      </c>
    </row>
    <row r="79" ht="409.6" customHeight="1" s="49">
      <c r="A79" s="35" t="n">
        <v>77</v>
      </c>
      <c r="B79" s="34" t="inlineStr">
        <is>
          <t>การผสมยาฉีด Amphotericin B กับสารละลาย 0.9% NaCl (Normal Saline Solution: NSS) แล้วส่งผลให้เกิดการตกตะกอน เกิดขึ้นจากกลไกใด?</t>
        </is>
      </c>
      <c r="C79" s="35" t="n"/>
      <c r="D79" s="34" t="inlineStr">
        <is>
          <t>Complexation</t>
        </is>
      </c>
      <c r="E79" s="34" t="inlineStr">
        <is>
          <t>Isomerization</t>
        </is>
      </c>
      <c r="F79" s="34" t="inlineStr">
        <is>
          <t>Salting out</t>
        </is>
      </c>
      <c r="G79" s="34" t="inlineStr">
        <is>
          <t>Epimerization</t>
        </is>
      </c>
      <c r="H79" s="34" t="inlineStr">
        <is>
          <t>Polymerization</t>
        </is>
      </c>
      <c r="I79" s="35" t="n">
        <v>1</v>
      </c>
      <c r="J79" s="34" t="inlineStr">
        <is>
          <t>✅ คำตอบที่ถูกต้อง: ข้อ ก. Complexation
💡 Background:
คำถามข้อสอบจริงใบประกอบวิชาชีพ PLE-CC 1 (Product) ปี 2558 ข้อ 3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79" s="35" t="n"/>
      <c r="L79" s="34" t="inlineStr">
        <is>
          <t>Sterile Preparations &amp; Sterilization</t>
        </is>
      </c>
      <c r="M79" s="35" t="inlineStr">
        <is>
          <t>Product</t>
        </is>
      </c>
      <c r="N79" s="34" t="inlineStr">
        <is>
          <t>ข้อสอบจริง Product ปี 2558 ข้อ 3</t>
        </is>
      </c>
      <c r="O79" s="35" t="inlineStr">
        <is>
          <t>ข้อสอบจริง</t>
        </is>
      </c>
      <c r="P79" s="35" t="inlineStr">
        <is>
          <t>ปี 2558</t>
        </is>
      </c>
    </row>
    <row r="80" ht="409.6" customHeight="1" s="49">
      <c r="A80" s="35" t="n">
        <v>78</v>
      </c>
      <c r="B80" s="34" t="inlineStr">
        <is>
          <t>การผลิตวัคซีนในรูปแบบผงแห้งตามมาตรฐานอุตสาหกรรม นิยมใช้วิธีการใด?</t>
        </is>
      </c>
      <c r="C80" s="35" t="n"/>
      <c r="D80" s="34" t="inlineStr">
        <is>
          <t>Spray drying</t>
        </is>
      </c>
      <c r="E80" s="34" t="inlineStr">
        <is>
          <t>Lyophilization (Freeze drying)</t>
        </is>
      </c>
      <c r="F80" s="34" t="inlineStr">
        <is>
          <t>Powder sterilization</t>
        </is>
      </c>
      <c r="G80" s="34" t="inlineStr">
        <is>
          <t>Fluidized bed drying</t>
        </is>
      </c>
      <c r="H80" s="34" t="inlineStr">
        <is>
          <t>Recombinant technology</t>
        </is>
      </c>
      <c r="I80" s="35" t="n">
        <v>1</v>
      </c>
      <c r="J80" s="34" t="inlineStr">
        <is>
          <t>✅ คำตอบที่ถูกต้อง: ข้อ ก. Spray drying
💡 Background:
คำถามข้อสอบจริงใบประกอบวิชาชีพ PLE-CC 1 (Product) ปี 2558 ข้อ 10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0" s="35" t="n"/>
      <c r="L80" s="34" t="inlineStr">
        <is>
          <t>Sterile Preparations &amp; Sterilization</t>
        </is>
      </c>
      <c r="M80" s="35" t="inlineStr">
        <is>
          <t>Product</t>
        </is>
      </c>
      <c r="N80" s="34" t="inlineStr">
        <is>
          <t>ข้อสอบจริง Product ปี 2558 ข้อ 10</t>
        </is>
      </c>
      <c r="O80" s="35" t="inlineStr">
        <is>
          <t>ข้อสอบจริง</t>
        </is>
      </c>
      <c r="P80" s="35" t="inlineStr">
        <is>
          <t>ปี 2558</t>
        </is>
      </c>
    </row>
    <row r="81" ht="409.6" customHeight="1" s="49">
      <c r="A81" s="35" t="n">
        <v>79</v>
      </c>
      <c r="B81" s="34" t="inlineStr">
        <is>
          <t>ในการศึกษาและการตั้งตำรับยาหยอดตา (Ophthalmic formulation) ข้อใดต่อไปนี้เป็นปัจจัยที่ไม่จำเป็นต้องพิจารณาหรือควบคุมอย่างเข้มงวดเมื่อเทียบกับยาฉีดทางหลอดเลือดดำ?</t>
        </is>
      </c>
      <c r="C81" s="35" t="n"/>
      <c r="D81" s="34" t="inlineStr">
        <is>
          <t>955 mg</t>
        </is>
      </c>
      <c r="E81" s="34" t="inlineStr">
        <is>
          <t>1029 mg</t>
        </is>
      </c>
      <c r="F81" s="34" t="inlineStr">
        <is>
          <t>1194 mg</t>
        </is>
      </c>
      <c r="G81" s="34" t="inlineStr">
        <is>
          <t>1507 mg</t>
        </is>
      </c>
      <c r="H81" s="34" t="inlineStr">
        <is>
          <t>1885 mg</t>
        </is>
      </c>
      <c r="I81" s="35" t="n">
        <v>1</v>
      </c>
      <c r="J81" s="34" t="inlineStr">
        <is>
          <t>✅ คำตอบที่ถูกต้อง: ข้อ ก. 955 mg
💡 Background:
คำถามข้อสอบจริงใบประกอบวิชาชีพ PLE-CC 1 (Product) ปี 2558 ข้อ 15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1" s="35" t="n"/>
      <c r="L81" s="34" t="inlineStr">
        <is>
          <t>Sterile Preparations &amp; Sterilization</t>
        </is>
      </c>
      <c r="M81" s="35" t="inlineStr">
        <is>
          <t>Product</t>
        </is>
      </c>
      <c r="N81" s="34" t="inlineStr">
        <is>
          <t>ข้อสอบจริง Product ปี 2558 ข้อ 15</t>
        </is>
      </c>
      <c r="O81" s="35" t="inlineStr">
        <is>
          <t>ข้อสอบจริง</t>
        </is>
      </c>
      <c r="P81" s="35" t="inlineStr">
        <is>
          <t>ปี 2558</t>
        </is>
      </c>
    </row>
    <row r="82" ht="409.6" customHeight="1" s="49">
      <c r="A82" s="35" t="n">
        <v>80</v>
      </c>
      <c r="B82" s="34"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35" t="n"/>
      <c r="D82" s="34" t="inlineStr">
        <is>
          <t>Purified water</t>
        </is>
      </c>
      <c r="E82" s="34" t="inlineStr">
        <is>
          <t>Deionized water</t>
        </is>
      </c>
      <c r="F82" s="34" t="inlineStr">
        <is>
          <t>Distilled water</t>
        </is>
      </c>
      <c r="G82" s="34" t="inlineStr">
        <is>
          <t>Water for Injection (WFI)</t>
        </is>
      </c>
      <c r="H82" s="34" t="inlineStr">
        <is>
          <t>Sterile Water for Injection (SWFI)</t>
        </is>
      </c>
      <c r="I82" s="35" t="n">
        <v>1</v>
      </c>
      <c r="J82" s="34" t="inlineStr">
        <is>
          <t>✅ คำตอบที่ถูกต้อง: ข้อ ก. Purified water
💡 Background:
คำถามข้อสอบจริงใบประกอบวิชาชีพ PLE-CC 1 (Product) ปี 2558 ข้อ 19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2" s="35" t="n"/>
      <c r="L82" s="34" t="inlineStr">
        <is>
          <t>Sterile Preparations &amp; Sterilization</t>
        </is>
      </c>
      <c r="M82" s="35" t="inlineStr">
        <is>
          <t>Product</t>
        </is>
      </c>
      <c r="N82" s="34" t="inlineStr">
        <is>
          <t>ข้อสอบจริง Product ปี 2558 ข้อ 19</t>
        </is>
      </c>
      <c r="O82" s="35" t="inlineStr">
        <is>
          <t>ข้อสอบจริง</t>
        </is>
      </c>
      <c r="P82" s="35" t="inlineStr">
        <is>
          <t>ปี 2558</t>
        </is>
      </c>
    </row>
    <row r="83" ht="409.6" customHeight="1" s="49">
      <c r="A83" s="35" t="n">
        <v>81</v>
      </c>
      <c r="B83" s="34" t="inlineStr">
        <is>
          <t>ในปัจจุบัน ยาฉีดอินซูลิน (Insulin) ที่นำมาใช้รักษาผู้ป่วยเบาหวานในประเทศไทย ผลิตขึ้นผ่านเทคโนโลยีและกระบวนการใดเป็นหลัก?</t>
        </is>
      </c>
      <c r="C83" s="35" t="n"/>
      <c r="D83" s="34" t="inlineStr">
        <is>
          <t>การสกัดจากตับอ่อนของสุกร (Porcine insulin extraction)</t>
        </is>
      </c>
      <c r="E83" s="34" t="inlineStr">
        <is>
          <t>การสกัดจากตับอ่อนของมนุษย์</t>
        </is>
      </c>
      <c r="F83" s="34" t="inlineStr">
        <is>
          <t>เทคโนโลยีรีคอมบิแนนท์ดีเอ็นเอ (Recombinant DNA technology)</t>
        </is>
      </c>
      <c r="G83" s="34" t="inlineStr">
        <is>
          <t>การสังเคราะห์ทางเคมีบริสุทธิ์ (Pure chemical synthesis)</t>
        </is>
      </c>
      <c r="H83" s="34" t="inlineStr">
        <is>
          <t>การใช้สเต็มเซลล์เพาะเลี้ยง (Stem cell culture)</t>
        </is>
      </c>
      <c r="I83" s="35" t="n">
        <v>1</v>
      </c>
      <c r="J83" s="34" t="inlineStr">
        <is>
          <t>✅ คำตอบที่ถูกต้อง: ข้อ ก. การสกัดจากตับอ่อนของสุกร (Porcine insulin extraction)
💡 Background:
คำถามข้อสอบจริงใบประกอบวิชาชีพ PLE-CC 1 (Product) ปี 2558 ข้อ 28
🎯 ทำไมข้อนี้ถึงถูก:
ข้อ ก. สอดคล้องกับหลักการทางเภสัชกรรมและข้อกำหนดตามเภสัชตำรับ (Pharmacopoeia Standards) ในหัวข้อ Sterile Preparations &amp; Sterilization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Sterile Preparations &amp; Sterilization</t>
        </is>
      </c>
      <c r="K83" s="35" t="n"/>
      <c r="L83" s="34" t="inlineStr">
        <is>
          <t>Sterile Preparations &amp; Sterilization</t>
        </is>
      </c>
      <c r="M83" s="35" t="inlineStr">
        <is>
          <t>Product</t>
        </is>
      </c>
      <c r="N83" s="34" t="inlineStr">
        <is>
          <t>ข้อสอบจริง Product ปี 2558 ข้อ 28</t>
        </is>
      </c>
      <c r="O83" s="35" t="inlineStr">
        <is>
          <t>ข้อสอบจริง</t>
        </is>
      </c>
      <c r="P83" s="35" t="inlineStr">
        <is>
          <t>ปี 2558</t>
        </is>
      </c>
    </row>
    <row r="84" ht="13.2" customHeight="1" s="49">
      <c r="A84" t="n">
        <v>82</v>
      </c>
      <c r="B84"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D84" t="inlineStr">
        <is>
          <t>ในการดูดยาจาก vial ต้องทำให้ความดันภายใน vial น้อยกว่าภายนอกป้องกันการ leak ของยาออกจาก vial</t>
        </is>
      </c>
      <c r="E84" t="inlineStr">
        <is>
          <t>เมื่อบรรจุยาเสร็จ ต้องดูดอากาศออกทำให้ความดัน bag เป็น Negative</t>
        </is>
      </c>
      <c r="F84" t="inlineStr">
        <is>
          <t>Clopidogrel 75 mg OD</t>
        </is>
      </c>
      <c r="G84" t="inlineStr">
        <is>
          <t>Aspirin 81 mg OD</t>
        </is>
      </c>
      <c r="H84" t="inlineStr">
        <is>
          <t>Sacubitril/Valsartan 49/51 mg BID</t>
        </is>
      </c>
      <c r="I84" t="inlineStr">
        <is>
          <t>1</t>
        </is>
      </c>
      <c r="J84"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4" t="inlineStr">
        <is>
          <t>Hypertension</t>
        </is>
      </c>
      <c r="M84" t="inlineStr">
        <is>
          <t>Clinic</t>
        </is>
      </c>
      <c r="N84" t="inlineStr">
        <is>
          <t>ข้อ 5 (PLE_CC1_Key_Rx20_UBU.md)</t>
        </is>
      </c>
    </row>
    <row r="85" ht="13.2" customHeight="1" s="49">
      <c r="A85" t="n">
        <v>83</v>
      </c>
      <c r="B85" t="inlineStr">
        <is>
          <t>ในการผลิตระดับอุตสาหกรรม ต้องใช้น้ำอะไร ในการผลิตยา Furosemide injection ตามฉลากต่อไปนี้</t>
        </is>
      </c>
      <c r="D85" t="inlineStr">
        <is>
          <t>Purified water</t>
        </is>
      </c>
      <c r="E85" t="inlineStr">
        <is>
          <t>Water for injection USP</t>
        </is>
      </c>
      <c r="F85" t="inlineStr">
        <is>
          <t>Sterile water for injection USP</t>
        </is>
      </c>
      <c r="G85" t="inlineStr">
        <is>
          <t>Sterile water for irrigation USP</t>
        </is>
      </c>
      <c r="H85" t="inlineStr">
        <is>
          <t>Bacteriostatic water for injection USP</t>
        </is>
      </c>
      <c r="I85" t="inlineStr">
        <is>
          <t>2</t>
        </is>
      </c>
      <c r="J85" t="inlineStr">
        <is>
          <t>✅ คำตอบที่ถูกต้อง: ข้อ ข. Water for injection USP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L85" t="inlineStr">
        <is>
          <t>Hypertension</t>
        </is>
      </c>
      <c r="M85" t="inlineStr">
        <is>
          <t>Clinic</t>
        </is>
      </c>
      <c r="N85" t="inlineStr">
        <is>
          <t>ข้อ 45 (PLE_CC1_Key_Rx20_UBU.md)</t>
        </is>
      </c>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13.2" customHeight="1" s="49">
      <c r="A3" s="8" t="inlineStr">
        <is>
          <t>2</t>
        </is>
      </c>
      <c r="B3" s="2" t="inlineStr">
        <is>
          <t>ความท้าทายในการควบคุมคุณภาพยา biologics เทียบกับ small molecules drug</t>
        </is>
      </c>
      <c r="C3" s="2" t="n"/>
      <c r="D3" s="2" t="inlineStr">
        <is>
          <t>biologics โครงสร้างซับซ้อนและไวต่อสภาพแวดล้อม เช่น pH ความร้อน</t>
        </is>
      </c>
      <c r="E3" s="2" t="inlineStr">
        <is>
          <t>biologics มีสูตรเคมีที่ง่ายต่อการสังเคราะห์มากกว่า</t>
        </is>
      </c>
      <c r="F3" s="2" t="inlineStr">
        <is>
          <t>Small molecules ต้องเก็บในตู้เย็น</t>
        </is>
      </c>
      <c r="G3" s="2" t="inlineStr">
        <is>
          <t>Small molecules มีผลข้างเคียงมากกว่า</t>
        </is>
      </c>
      <c r="H3" s="2" t="inlineStr">
        <is>
          <t>Biologics ละลายในน ้าง่ายกว่า</t>
        </is>
      </c>
      <c r="I3" s="8" t="inlineStr">
        <is>
          <t>1</t>
        </is>
      </c>
      <c r="J3" s="2"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2" t="n"/>
      <c r="L3" s="2" t="inlineStr">
        <is>
          <t>Recombinant DNA</t>
        </is>
      </c>
      <c r="M3" s="2" t="inlineStr">
        <is>
          <t>Biotech Products</t>
        </is>
      </c>
      <c r="N3" s="2" t="inlineStr">
        <is>
          <t>Mock PLE-CC 1 ข้อ 35</t>
        </is>
      </c>
      <c r="O3" s="2" t="inlineStr">
        <is>
          <t>Mock</t>
        </is>
      </c>
      <c r="P3" s="2" t="inlineStr">
        <is>
          <t>Mock RxCU83</t>
        </is>
      </c>
      <c r="Q3" s="2" t="n"/>
    </row>
    <row r="4" ht="13.2" customHeight="1" s="49">
      <c r="A4" s="8" t="inlineStr">
        <is>
          <t>3</t>
        </is>
      </c>
      <c r="B4" s="2" t="inlineStr">
        <is>
          <t>วัคซีนต้องเก็บในcold temp. คือกี่องศาเซลเซียส ตัวเลือก</t>
        </is>
      </c>
      <c r="C4" s="2" t="n"/>
      <c r="D4" s="2" t="inlineStr">
        <is>
          <t>Biotech Products</t>
        </is>
      </c>
      <c r="E4" s="2" t="inlineStr">
        <is>
          <t>Immunogenicity Neutralizing Antibody Assay</t>
        </is>
      </c>
      <c r="F4" s="2" t="inlineStr">
        <is>
          <t>Polysorbate 20 surfactant to prevent protein aggregation</t>
        </is>
      </c>
      <c r="G4" s="2" t="inlineStr">
        <is>
          <t>Histidine Buffer pH 6.0 formulation stability</t>
        </is>
      </c>
      <c r="H4" s="2" t="inlineStr">
        <is>
          <t>Recombinant DNA Human Insulin in E. coli</t>
        </is>
      </c>
      <c r="I4" s="8" t="inlineStr">
        <is>
          <t>1</t>
        </is>
      </c>
      <c r="J4"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2" t="n"/>
      <c r="L4" s="2" t="inlineStr">
        <is>
          <t>Recombinant DNA</t>
        </is>
      </c>
      <c r="M4" s="2" t="inlineStr">
        <is>
          <t>Biotech Products</t>
        </is>
      </c>
      <c r="N4" s="2" t="inlineStr">
        <is>
          <t>PLE-CC1 ปี 2566 Day 1 ข้อ 39</t>
        </is>
      </c>
      <c r="O4" s="2" t="inlineStr">
        <is>
          <t>ข้อสอบจริง</t>
        </is>
      </c>
      <c r="P4" s="2" t="inlineStr">
        <is>
          <t>ปี 2566</t>
        </is>
      </c>
    </row>
    <row r="5" ht="13.2" customHeight="1" s="49">
      <c r="A5" s="8" t="inlineStr">
        <is>
          <t>4</t>
        </is>
      </c>
      <c r="B5" s="2" t="inlineStr">
        <is>
          <t>??? ข้อวัคซีนบาดทะยักตอนสุนัขกัดแบบที่อาจารย์แก้วติว Veegum ในสูตรตำรับมีหน้าที่อะไร ??? สุนัขกัดบาดเจ็บมีแผลเลือดออกที่มือและบาดแผลถลอกที่ไหนสัก แห่งอีกเอาผ้ากดไว้15 นาทีแล้วจึงไปขอคำปรึกษาจากเภสัช ถามว่าเป็นบาดแผลควาทเสี่ยงระดับไหน ตัวเลือก</t>
        </is>
      </c>
      <c r="C5" s="2" t="n"/>
      <c r="D5" s="2" t="inlineStr">
        <is>
          <t>Biotech Products</t>
        </is>
      </c>
      <c r="E5" s="2" t="inlineStr">
        <is>
          <t>Recombinant DNA Human Insulin in E. coli</t>
        </is>
      </c>
      <c r="F5" s="2" t="inlineStr">
        <is>
          <t>Monoclonal Antibody IgG1 (CHO Cell Expression)</t>
        </is>
      </c>
      <c r="G5" s="2" t="inlineStr">
        <is>
          <t>Polyethylene Glycol (PEG) Conjugation for extended half-life</t>
        </is>
      </c>
      <c r="H5" s="2" t="inlineStr">
        <is>
          <t>Lyophilization (Freeze-drying) with Trehalose Cryoprotectant</t>
        </is>
      </c>
      <c r="I5" s="8" t="inlineStr">
        <is>
          <t>1</t>
        </is>
      </c>
      <c r="J5"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2" t="n"/>
      <c r="L5" s="2" t="inlineStr">
        <is>
          <t>Recombinant DNA</t>
        </is>
      </c>
      <c r="M5" s="2" t="inlineStr">
        <is>
          <t>Biotech Products</t>
        </is>
      </c>
      <c r="N5" s="2" t="inlineStr">
        <is>
          <t>PLE-CC1 ปี 2566 Day 1 ข้อ 3</t>
        </is>
      </c>
      <c r="O5" s="2" t="inlineStr">
        <is>
          <t>ข้อสอบจริง</t>
        </is>
      </c>
      <c r="P5" s="2" t="inlineStr">
        <is>
          <t>ปี 2566</t>
        </is>
      </c>
    </row>
    <row r="6" ht="13.2" customHeight="1" s="49">
      <c r="A6" s="8" t="inlineStr">
        <is>
          <t>5</t>
        </is>
      </c>
      <c r="B6" s="2" t="inlineStr">
        <is>
          <t>ระดับ1 ต้องได้รับวัคซีนป้องกันพิษสุนัขบ้า</t>
        </is>
      </c>
      <c r="C6" s="2" t="n"/>
      <c r="D6" s="2" t="inlineStr">
        <is>
          <t>Biotech Products</t>
        </is>
      </c>
      <c r="E6" s="2" t="inlineStr">
        <is>
          <t>Lyophilization (Freeze-drying) with Trehalose Cryoprotectant</t>
        </is>
      </c>
      <c r="F6" s="2" t="inlineStr">
        <is>
          <t>ELISA Immunoassay for protein quantification</t>
        </is>
      </c>
      <c r="G6" s="2" t="inlineStr">
        <is>
          <t>SDS-PAGE Gel Electrophoresis purity analysis</t>
        </is>
      </c>
      <c r="H6" s="2" t="inlineStr">
        <is>
          <t>Isoelectric Focusing (IEF) for charge heterogeneity</t>
        </is>
      </c>
      <c r="I6" s="8" t="inlineStr">
        <is>
          <t>1</t>
        </is>
      </c>
      <c r="J6"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2" t="n"/>
      <c r="L6" s="2" t="inlineStr">
        <is>
          <t>Recombinant DNA</t>
        </is>
      </c>
      <c r="M6" s="2" t="inlineStr">
        <is>
          <t>Biotech Products</t>
        </is>
      </c>
      <c r="N6" s="2" t="inlineStr">
        <is>
          <t>PLE-CC1 ปี 2566 Day 1 ข้อ 2</t>
        </is>
      </c>
      <c r="O6" s="2" t="inlineStr">
        <is>
          <t>ข้อสอบจริง</t>
        </is>
      </c>
      <c r="P6" s="2" t="inlineStr">
        <is>
          <t>ปี 2566</t>
        </is>
      </c>
    </row>
    <row r="7" ht="13.2" customHeight="1" s="49">
      <c r="A7" s="8" t="inlineStr">
        <is>
          <t>6</t>
        </is>
      </c>
      <c r="B7" s="2" t="inlineStr">
        <is>
          <t>ระดับ3 ต้องได้รับวัคซีนป้องกันพิษสุนัขบ้า ??? ข้อใดผิดเกี่ยวกับRIG</t>
        </is>
      </c>
      <c r="C7" s="2" t="n"/>
      <c r="D7" s="2" t="inlineStr">
        <is>
          <t>Biotech Products</t>
        </is>
      </c>
      <c r="E7" s="2" t="inlineStr">
        <is>
          <t>Isoelectric Focusing (IEF) for charge heterogeneity</t>
        </is>
      </c>
      <c r="F7" s="2" t="inlineStr">
        <is>
          <t>Immunogenicity Neutralizing Antibody Assay</t>
        </is>
      </c>
      <c r="G7" s="2" t="inlineStr">
        <is>
          <t>Polysorbate 20 surfactant to prevent protein aggregation</t>
        </is>
      </c>
      <c r="H7" s="2" t="inlineStr">
        <is>
          <t>Histidine Buffer pH 6.0 formulation stability</t>
        </is>
      </c>
      <c r="I7" s="8" t="inlineStr">
        <is>
          <t>1</t>
        </is>
      </c>
      <c r="J7"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2" t="n"/>
      <c r="L7" s="2" t="inlineStr">
        <is>
          <t>Recombinant DNA</t>
        </is>
      </c>
      <c r="M7" s="2" t="inlineStr">
        <is>
          <t>Biotech Products</t>
        </is>
      </c>
      <c r="N7" s="2" t="inlineStr">
        <is>
          <t>PLE-CC1 ปี 2566 Day 1 ข้อ 5</t>
        </is>
      </c>
      <c r="O7" s="2" t="inlineStr">
        <is>
          <t>ข้อสอบจริง</t>
        </is>
      </c>
      <c r="P7" s="2" t="inlineStr">
        <is>
          <t>ปี 2566</t>
        </is>
      </c>
    </row>
    <row r="8" ht="13.2" customHeight="1" s="49">
      <c r="A8" s="8" t="inlineStr">
        <is>
          <t>7</t>
        </is>
      </c>
      <c r="B8" s="2" t="inlineStr">
        <is>
          <t>ต้องฉีดวันเดียวกันกับที่ฉีดวัคซีน</t>
        </is>
      </c>
      <c r="C8" s="2" t="n"/>
      <c r="D8" s="2" t="inlineStr">
        <is>
          <t>Biotech Products</t>
        </is>
      </c>
      <c r="E8" s="2" t="inlineStr">
        <is>
          <t>Histidine Buffer pH 6.0 formulation stability</t>
        </is>
      </c>
      <c r="F8" s="2" t="inlineStr">
        <is>
          <t>Recombinant DNA Human Insulin in E. coli</t>
        </is>
      </c>
      <c r="G8" s="2" t="inlineStr">
        <is>
          <t>Monoclonal Antibody IgG1 (CHO Cell Expression)</t>
        </is>
      </c>
      <c r="H8" s="2" t="inlineStr">
        <is>
          <t>Polyethylene Glycol (PEG) Conjugation for extended half-life</t>
        </is>
      </c>
      <c r="I8" s="8" t="inlineStr">
        <is>
          <t>1</t>
        </is>
      </c>
      <c r="J8"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2" t="n"/>
      <c r="L8" s="2" t="inlineStr">
        <is>
          <t>Recombinant DNA</t>
        </is>
      </c>
      <c r="M8" s="2" t="inlineStr">
        <is>
          <t>Biotech Products</t>
        </is>
      </c>
      <c r="N8" s="2" t="inlineStr">
        <is>
          <t>PLE-CC1 ปี 2566 Day 1 ข้อ 2</t>
        </is>
      </c>
      <c r="O8" s="2" t="inlineStr">
        <is>
          <t>ข้อสอบจริง</t>
        </is>
      </c>
      <c r="P8" s="2" t="inlineStr">
        <is>
          <t>ปี 2566</t>
        </is>
      </c>
    </row>
    <row r="9" ht="13.2" customHeight="1" s="49">
      <c r="A9" s="8" t="inlineStr">
        <is>
          <t>8</t>
        </is>
      </c>
      <c r="B9" s="2" t="inlineStr">
        <is>
          <t>วัคซีนที่ควรฉีดในคนไข้COPD. ตัวเลือกเพื่อป้องกันstreptococcus</t>
        </is>
      </c>
      <c r="C9" s="2" t="n"/>
      <c r="D9" s="2" t="inlineStr">
        <is>
          <t>Biotech Products</t>
        </is>
      </c>
      <c r="E9" s="2" t="inlineStr">
        <is>
          <t>Polyethylene Glycol (PEG) Conjugation for extended half-life</t>
        </is>
      </c>
      <c r="F9" s="2" t="inlineStr">
        <is>
          <t>Lyophilization (Freeze-drying) with Trehalose Cryoprotectant</t>
        </is>
      </c>
      <c r="G9" s="2" t="inlineStr">
        <is>
          <t>ELISA Immunoassay for protein quantification</t>
        </is>
      </c>
      <c r="H9" s="2" t="inlineStr">
        <is>
          <t>SDS-PAGE Gel Electrophoresis purity analysis</t>
        </is>
      </c>
      <c r="I9" s="8" t="inlineStr">
        <is>
          <t>1</t>
        </is>
      </c>
      <c r="J9"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9" s="2" t="n"/>
      <c r="L9" s="2" t="inlineStr">
        <is>
          <t>Recombinant DNA</t>
        </is>
      </c>
      <c r="M9" s="2" t="inlineStr">
        <is>
          <t>Biotech Products</t>
        </is>
      </c>
      <c r="N9" s="2" t="inlineStr">
        <is>
          <t>PLE-CC1 ปี 2566 Day 2 ข้อ 28</t>
        </is>
      </c>
      <c r="O9" s="2" t="inlineStr">
        <is>
          <t>ข้อสอบจริง</t>
        </is>
      </c>
      <c r="P9" s="2" t="inlineStr">
        <is>
          <t>ปี 2566</t>
        </is>
      </c>
    </row>
    <row r="10" ht="13.2" customHeight="1" s="49">
      <c r="A10" s="8" t="inlineStr">
        <is>
          <t>9</t>
        </is>
      </c>
      <c r="B10" s="2" t="inlineStr">
        <is>
          <t>Covid-19 vaccine</t>
        </is>
      </c>
      <c r="C10" s="2" t="n"/>
      <c r="D10" s="2" t="inlineStr">
        <is>
          <t>Biotech Products</t>
        </is>
      </c>
      <c r="E10" s="2" t="inlineStr">
        <is>
          <t>SDS-PAGE Gel Electrophoresis purity analysis</t>
        </is>
      </c>
      <c r="F10" s="2" t="inlineStr">
        <is>
          <t>Isoelectric Focusing (IEF) for charge heterogeneity</t>
        </is>
      </c>
      <c r="G10" s="2" t="inlineStr">
        <is>
          <t>Immunogenicity Neutralizing Antibody Assay</t>
        </is>
      </c>
      <c r="H10" s="2" t="inlineStr">
        <is>
          <t>Polysorbate 20 surfactant to prevent protein aggregation</t>
        </is>
      </c>
      <c r="I10" s="8" t="inlineStr">
        <is>
          <t>1</t>
        </is>
      </c>
      <c r="J10"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2" t="n"/>
      <c r="L10" s="2" t="inlineStr">
        <is>
          <t>Recombinant DNA</t>
        </is>
      </c>
      <c r="M10" s="2" t="inlineStr">
        <is>
          <t>Biotech Products</t>
        </is>
      </c>
      <c r="N10" s="2" t="inlineStr">
        <is>
          <t>PLE-CC1 ปี 2566 Day 2 ข้อ 3</t>
        </is>
      </c>
      <c r="O10" s="2" t="inlineStr">
        <is>
          <t>ข้อสอบจริง</t>
        </is>
      </c>
      <c r="P10" s="2" t="inlineStr">
        <is>
          <t>ปี 2566</t>
        </is>
      </c>
    </row>
    <row r="11" ht="13.2" customHeight="1" s="49">
      <c r="A11" s="8" t="inlineStr">
        <is>
          <t>10</t>
        </is>
      </c>
      <c r="B11" s="2" t="inlineStr">
        <is>
          <t>เด็กแรกเกิดตองฉีด vaccine อะไรบาง</t>
        </is>
      </c>
      <c r="C11" s="2" t="n"/>
      <c r="D11" s="2" t="inlineStr">
        <is>
          <t>Rabies &amp; ????</t>
        </is>
      </c>
      <c r="E11" s="2" t="inlineStr">
        <is>
          <t>Tetanus, Hepatitis B</t>
        </is>
      </c>
      <c r="F11" s="2" t="inlineStr">
        <is>
          <t>Hepatitis B, BCG</t>
        </is>
      </c>
      <c r="G11" s="2" t="inlineStr">
        <is>
          <t>BCG, MMR</t>
        </is>
      </c>
      <c r="H11" s="2" t="inlineStr">
        <is>
          <t>[NEED_REVIEW]</t>
        </is>
      </c>
      <c r="I11" s="8" t="inlineStr">
        <is>
          <t>1</t>
        </is>
      </c>
      <c r="J11" s="2"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2" t="n"/>
      <c r="L11" s="2" t="inlineStr">
        <is>
          <t>Recombinant DNA</t>
        </is>
      </c>
      <c r="M11" s="2" t="inlineStr">
        <is>
          <t>Biotech Products</t>
        </is>
      </c>
      <c r="N11" s="2" t="inlineStr">
        <is>
          <t>PLE_CC1_2565_Day1_Key ข้อ 53</t>
        </is>
      </c>
      <c r="O11" s="2" t="inlineStr">
        <is>
          <t>ข้อสอบจริง</t>
        </is>
      </c>
      <c r="P11" s="2" t="inlineStr">
        <is>
          <t>ปี 2565</t>
        </is>
      </c>
      <c r="Q11" s="2" t="n"/>
    </row>
    <row r="12" ht="13.2" customHeight="1" s="49">
      <c r="A12" s="8" t="inlineStr">
        <is>
          <t>11</t>
        </is>
      </c>
      <c r="B12" s="2" t="inlineStr">
        <is>
          <t>ขั้นตอนสุดทายของการรองรับรุ;นการผลิตของวัคซีนคืออะไร</t>
        </is>
      </c>
      <c r="C12" s="2" t="n"/>
      <c r="D12" s="2" t="inlineStr">
        <is>
          <t>ไม;ตองมี ถาไดขึ้นทะเบียนยา</t>
        </is>
      </c>
      <c r="E12" s="2" t="inlineStr">
        <is>
          <t>ตองผ;านการตรวจสอบ QC ของบริษัทยา</t>
        </is>
      </c>
      <c r="F12" s="2" t="inlineStr">
        <is>
          <t>ตองผ;านการตรวจสอบกรมควบคุมโรค</t>
        </is>
      </c>
      <c r="G12" s="2" t="inlineStr">
        <is>
          <t>ตองผ;านการตรวจสอบอ.ย.</t>
        </is>
      </c>
      <c r="H12" s="2" t="inlineStr">
        <is>
          <t>ต้องผ่านการตรวจสอบชีววัตถุของกรมวิทยาศาสตร์การแพทย์</t>
        </is>
      </c>
      <c r="I12" s="8" t="inlineStr">
        <is>
          <t>1</t>
        </is>
      </c>
      <c r="J12" s="2"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2" t="n"/>
      <c r="L12" s="2" t="inlineStr">
        <is>
          <t>Recombinant DNA</t>
        </is>
      </c>
      <c r="M12" s="2" t="inlineStr">
        <is>
          <t>Biotech Products</t>
        </is>
      </c>
      <c r="N12" s="2" t="inlineStr">
        <is>
          <t>PLE_CC1_2565_Day1_Key ข้อ 56</t>
        </is>
      </c>
      <c r="O12" s="2" t="inlineStr">
        <is>
          <t>ข้อสอบจริง</t>
        </is>
      </c>
      <c r="P12" s="2" t="inlineStr">
        <is>
          <t>ปี 2565</t>
        </is>
      </c>
      <c r="Q12" s="2" t="n"/>
    </row>
    <row r="13" ht="13.2" customHeight="1" s="49">
      <c r="A13" s="8" t="inlineStr">
        <is>
          <t>12</t>
        </is>
      </c>
      <c r="B13" s="2" t="inlineStr">
        <is>
          <t>ผู้ป่วยรายนี้ควรได้รับการหีด vaccine ตัวไหน เพื่อป้อษกันการเกิด asthma exacerbation</t>
        </is>
      </c>
      <c r="C13" s="2" t="n"/>
      <c r="D13" s="2" t="inlineStr">
        <is>
          <t>Biotech Products</t>
        </is>
      </c>
      <c r="E13" s="2" t="inlineStr">
        <is>
          <t>Influenza vaccine</t>
        </is>
      </c>
      <c r="F13" s="2" t="inlineStr">
        <is>
          <t>Pneumococcal vaccine</t>
        </is>
      </c>
      <c r="G13" s="2" t="inlineStr">
        <is>
          <t>Meningococcal vaccine</t>
        </is>
      </c>
      <c r="H13" s="2" t="inlineStr">
        <is>
          <t>Immunogenicity Neutralizing Antibody Assay</t>
        </is>
      </c>
      <c r="I13" s="8" t="inlineStr">
        <is>
          <t>1</t>
        </is>
      </c>
      <c r="J13" s="2" t="inlineStr">
        <is>
          <t>✅ คำตอบที่ถูกต้อง: ข้อ ก. Biotech Products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(Pneumococcal vaccine): Pneumococcal vaccine ไม่ตรงกับข้อบ่งใช้หรือกลไกการออกฤทธิ์ที่ถูกต้องตาม ICH Q5A-Q5E / WHO Guidelines for Biological Products
• ข้อ ง. (Meningococcal vaccine ษ. Japanese encephalitis vaccine ส. Haemophilus influenzae type B vaccine Alcohol ผู้ป่วยฬายมาด้วยอาการกระวนกระวาย เหษื่อออก ใสสั่น ใสเต้นแรษ มีประวัติดื่มแอลกอฮอล์ 1 แบนมา เป็นเวลา 10 ปี พึ่ษเลิกหยุดดื่มเมื่อ 1 วันก่อน แพทย์วินิสหัยเป็น alcohol withdrawal syndrome ผล ตรวสทาษห้อษปฏิบัติการ ALS 110 ALT 130): วัคซีนไข้หวัดใหญ่ชนิด inactivated ฉีดปีละ 1 ครั้ง ในกลุ่มเสี่ยง 7 กลุ่มโรคเรื้อรัง และเด็กอายุ 6 เดือน - 2 ปี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3" s="2" t="n"/>
      <c r="L13" s="2" t="inlineStr">
        <is>
          <t>Recombinant DNA</t>
        </is>
      </c>
      <c r="M13" s="2" t="inlineStr">
        <is>
          <t>Biotech Products</t>
        </is>
      </c>
      <c r="N13" s="2" t="inlineStr">
        <is>
          <t>PLE_CC1_2563_Q ข้อ 92</t>
        </is>
      </c>
      <c r="O13" s="2" t="inlineStr">
        <is>
          <t>ข้อสอบจริง</t>
        </is>
      </c>
      <c r="P13" s="2" t="inlineStr">
        <is>
          <t>ปี 2563</t>
        </is>
      </c>
    </row>
    <row r="14" ht="13.2" customHeight="1" s="49">
      <c r="A14" s="8" t="inlineStr">
        <is>
          <t>12</t>
        </is>
      </c>
      <c r="B14" s="2" t="inlineStr">
        <is>
          <t>กระบวนการใดเหมาะสมในการผลิต trastuzumab powder for infusion ซึ่งเป็นชนิด monoclonal antibody เช่น</t>
        </is>
      </c>
      <c r="C14" s="2" t="n"/>
      <c r="D14" s="2" t="inlineStr">
        <is>
          <t>Tray drying</t>
        </is>
      </c>
      <c r="E14" s="2" t="inlineStr">
        <is>
          <t>Microwave drying</t>
        </is>
      </c>
      <c r="F14" s="2" t="inlineStr">
        <is>
          <t>Spray drying</t>
        </is>
      </c>
      <c r="G14" s="2" t="inlineStr">
        <is>
          <t>Freeze drying</t>
        </is>
      </c>
      <c r="H14" s="2" t="inlineStr">
        <is>
          <t>Infrared drying</t>
        </is>
      </c>
      <c r="I14" s="8" t="inlineStr">
        <is>
          <t>1</t>
        </is>
      </c>
      <c r="J14" s="2"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2" t="n"/>
      <c r="L14" s="2" t="inlineStr">
        <is>
          <t>Recombinant DNA</t>
        </is>
      </c>
      <c r="M14" s="2" t="inlineStr">
        <is>
          <t>Product</t>
        </is>
      </c>
      <c r="N14" s="2" t="inlineStr">
        <is>
          <t>ข้อ 58 (PLE_CC1_2562_Key.md)</t>
        </is>
      </c>
      <c r="O14" s="2" t="inlineStr">
        <is>
          <t>ข้อสอบจริง</t>
        </is>
      </c>
      <c r="P14" s="2" t="inlineStr">
        <is>
          <t>ปี 2562</t>
        </is>
      </c>
    </row>
    <row r="15" ht="13.2" customHeight="1" s="49">
      <c r="A15" s="8" t="inlineStr">
        <is>
          <t>13</t>
        </is>
      </c>
      <c r="B15" s="2" t="inlineStr">
        <is>
          <t>Insulin ได้จากการท้า Recombinant DNA ข้อใดถูกต้อง</t>
        </is>
      </c>
      <c r="C15" s="2" t="n"/>
      <c r="D15" s="2" t="inlineStr">
        <is>
          <t>เอา Beta-cell ไปเพาะเลี ยงในหลอดทดลอง แล้วสกัด Insulin ออกมา</t>
        </is>
      </c>
      <c r="E15" s="2" t="inlineStr">
        <is>
          <t>เอายีนที่สร้าง Insulin ของคน ไปท้า PCR แล้วเก็บเกี่ยวโปรตีน</t>
        </is>
      </c>
      <c r="F15" s="2" t="inlineStr">
        <is>
          <t>ตัดต่อยีนสร้าง Insulin ให้กับยีสต์ แล้วเอายีสต์ไปเลี ยง เพื่อให้สร้าง Insulin ออกมา</t>
        </is>
      </c>
      <c r="G15" s="2" t="inlineStr">
        <is>
          <t>ใช้ Agrobacteria น้าส่งยีนที่ต้องการไปสู่เซลล์ของสัตว์ทดลอง ให้ผลิต Insulin</t>
        </is>
      </c>
      <c r="H15" s="2" t="inlineStr">
        <is>
          <t>สกัด Insulin จากสัตว์ทดลอง แล้วน้าไปตัดต่อโครงสร้างแล้วเอาไปใช้ในคน</t>
        </is>
      </c>
      <c r="I15" s="8" t="inlineStr">
        <is>
          <t>1</t>
        </is>
      </c>
      <c r="J15" s="2"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2" t="n"/>
      <c r="L15" s="2" t="inlineStr">
        <is>
          <t>Recombinant DNA</t>
        </is>
      </c>
      <c r="M15" s="2" t="inlineStr">
        <is>
          <t>Product</t>
        </is>
      </c>
      <c r="N15" s="2" t="inlineStr">
        <is>
          <t>ข้อ 6 (PLE_CC1_2560 22 April Set 1.md)</t>
        </is>
      </c>
      <c r="O15" s="2" t="inlineStr">
        <is>
          <t>ข้อสอบจริง</t>
        </is>
      </c>
      <c r="P15" s="2" t="inlineStr">
        <is>
          <t>ปี 2560</t>
        </is>
      </c>
    </row>
    <row r="16" ht="13.2" customHeight="1" s="49">
      <c r="A16" s="8" t="inlineStr">
        <is>
          <t>14</t>
        </is>
      </c>
      <c r="B16" s="2" t="inlineStr">
        <is>
          <t>วัคซีนที่ให้เด็กตั งแต่แรกเกิดคือ</t>
        </is>
      </c>
      <c r="C16" s="2" t="n"/>
      <c r="D16" s="2" t="inlineStr">
        <is>
          <t>BCG และ HBV</t>
        </is>
      </c>
      <c r="E16" s="2" t="inlineStr">
        <is>
          <t>BCG และ OPV</t>
        </is>
      </c>
      <c r="F16" s="2" t="inlineStr">
        <is>
          <t>OPV และ MMR</t>
        </is>
      </c>
      <c r="G16" s="2" t="inlineStr">
        <is>
          <t>HBV และ MMR</t>
        </is>
      </c>
      <c r="H16" s="2" t="inlineStr">
        <is>
          <t>DTP และ OPV</t>
        </is>
      </c>
      <c r="I16" s="8" t="inlineStr">
        <is>
          <t>1</t>
        </is>
      </c>
      <c r="J16" s="2"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2" t="n"/>
      <c r="L16" s="2" t="inlineStr">
        <is>
          <t>Recombinant DNA</t>
        </is>
      </c>
      <c r="M16" s="2" t="inlineStr">
        <is>
          <t>Product</t>
        </is>
      </c>
      <c r="N16" s="2" t="inlineStr">
        <is>
          <t>ข้อ 33 (PLE_CC1_2559.md)</t>
        </is>
      </c>
      <c r="O16" s="2" t="inlineStr">
        <is>
          <t>ข้อสอบจริง</t>
        </is>
      </c>
      <c r="P16" s="2" t="inlineStr">
        <is>
          <t>ปี 2559</t>
        </is>
      </c>
    </row>
    <row r="17" ht="13.2" customHeight="1" s="49">
      <c r="A17" s="8" t="inlineStr">
        <is>
          <t>15</t>
        </is>
      </c>
      <c r="B17" s="2"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2" t="n"/>
      <c r="D17" s="2" t="inlineStr">
        <is>
          <t>DTwP</t>
        </is>
      </c>
      <c r="E17" s="2" t="inlineStr">
        <is>
          <t>OPV</t>
        </is>
      </c>
      <c r="F17" s="2" t="inlineStr">
        <is>
          <t>HBV</t>
        </is>
      </c>
      <c r="G17" s="2" t="inlineStr">
        <is>
          <t>Hib vaccine</t>
        </is>
      </c>
      <c r="H17" s="2" t="inlineStr">
        <is>
          <t>MMR vaccine</t>
        </is>
      </c>
      <c r="I17" s="8" t="inlineStr">
        <is>
          <t>1</t>
        </is>
      </c>
      <c r="J17" s="2"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2" t="n"/>
      <c r="L17" s="2" t="inlineStr">
        <is>
          <t>Recombinant DNA</t>
        </is>
      </c>
      <c r="M17" s="2" t="inlineStr">
        <is>
          <t>Product</t>
        </is>
      </c>
      <c r="N17" s="2" t="inlineStr">
        <is>
          <t>ข้อ 34 (PLE_CC1_2559.md)</t>
        </is>
      </c>
      <c r="O17" s="2" t="inlineStr">
        <is>
          <t>ข้อสอบจริง</t>
        </is>
      </c>
      <c r="P17" s="2" t="inlineStr">
        <is>
          <t>ปี 2559</t>
        </is>
      </c>
    </row>
    <row r="18" ht="13.2" customHeight="1" s="49">
      <c r="A18" s="8" t="inlineStr">
        <is>
          <t>16</t>
        </is>
      </c>
      <c r="B18" s="2" t="inlineStr">
        <is>
          <t>วัคซีนใดจัดอยู่ในกลุ่มเดียวกับ JE</t>
        </is>
      </c>
      <c r="C18" s="2" t="n"/>
      <c r="D18" s="2" t="inlineStr">
        <is>
          <t>HBV</t>
        </is>
      </c>
      <c r="E18" s="2" t="inlineStr">
        <is>
          <t>IPV</t>
        </is>
      </c>
      <c r="F18" s="2" t="inlineStr">
        <is>
          <t>Hib vaccine</t>
        </is>
      </c>
      <c r="G18" s="2" t="inlineStr">
        <is>
          <t>DT vaccine</t>
        </is>
      </c>
      <c r="H18" s="2" t="inlineStr">
        <is>
          <t>MMR vaccine</t>
        </is>
      </c>
      <c r="I18" s="8" t="inlineStr">
        <is>
          <t>1</t>
        </is>
      </c>
      <c r="J18" s="2"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2" t="n"/>
      <c r="L18" s="2" t="inlineStr">
        <is>
          <t>Recombinant DNA</t>
        </is>
      </c>
      <c r="M18" s="2" t="inlineStr">
        <is>
          <t>Product</t>
        </is>
      </c>
      <c r="N18" s="2" t="inlineStr">
        <is>
          <t>ข้อ 35 (PLE_CC1_2559.md)</t>
        </is>
      </c>
      <c r="O18" s="2" t="inlineStr">
        <is>
          <t>ข้อสอบจริง</t>
        </is>
      </c>
      <c r="P18" s="2" t="inlineStr">
        <is>
          <t>ปี 2559</t>
        </is>
      </c>
    </row>
    <row r="19" ht="13.2" customHeight="1" s="49">
      <c r="A19" s="8" t="inlineStr">
        <is>
          <t>17</t>
        </is>
      </c>
      <c r="B19" s="2" t="inlineStr">
        <is>
          <t>ข้อใดคือผลข้างเคียงของวัคซีนไอกรนในผู้ใหญ่</t>
        </is>
      </c>
      <c r="C19" s="2" t="n"/>
      <c r="D19" s="2" t="inlineStr">
        <is>
          <t>ตับอักเสบ</t>
        </is>
      </c>
      <c r="E19" s="2" t="inlineStr">
        <is>
          <t>ชัก</t>
        </is>
      </c>
      <c r="F19" s="2" t="inlineStr">
        <is>
          <t>ไตวาย</t>
        </is>
      </c>
      <c r="G19" s="2" t="inlineStr">
        <is>
          <t>ปวดศีรษะ</t>
        </is>
      </c>
      <c r="H19" s="2" t="inlineStr">
        <is>
          <t>ภาวะหัวใจล้มเหลว</t>
        </is>
      </c>
      <c r="I19" s="8" t="inlineStr">
        <is>
          <t>1</t>
        </is>
      </c>
      <c r="J19" s="2"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2" t="n"/>
      <c r="L19" s="2" t="inlineStr">
        <is>
          <t>Recombinant DNA</t>
        </is>
      </c>
      <c r="M19" s="2" t="inlineStr">
        <is>
          <t>Product</t>
        </is>
      </c>
      <c r="N19" s="2" t="inlineStr">
        <is>
          <t>ข้อ 36 (PLE_CC1_2559.md)</t>
        </is>
      </c>
      <c r="O19" s="2" t="inlineStr">
        <is>
          <t>ข้อสอบจริง</t>
        </is>
      </c>
      <c r="P19" s="2" t="inlineStr">
        <is>
          <t>ปี 2559</t>
        </is>
      </c>
    </row>
    <row r="20" ht="13.2" customHeight="1" s="49">
      <c r="A20" s="8" t="inlineStr">
        <is>
          <t>18</t>
        </is>
      </c>
      <c r="B20" s="2" t="inlineStr">
        <is>
          <t>วัคซีน OPV ควรเก็บที่ใด</t>
        </is>
      </c>
      <c r="C20" s="2" t="n"/>
      <c r="D20" s="2" t="inlineStr">
        <is>
          <t>Freeze</t>
        </is>
      </c>
      <c r="E20" s="2" t="inlineStr">
        <is>
          <t>Room temperature</t>
        </is>
      </c>
      <c r="F20" s="2" t="inlineStr">
        <is>
          <t>Refrigerator</t>
        </is>
      </c>
      <c r="G20" s="2" t="inlineStr">
        <is>
          <t>Cool</t>
        </is>
      </c>
      <c r="H20" s="2" t="inlineStr">
        <is>
          <t>Warm</t>
        </is>
      </c>
      <c r="I20" s="8" t="inlineStr">
        <is>
          <t>1</t>
        </is>
      </c>
      <c r="J20" s="2"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2" t="n"/>
      <c r="L20" s="2" t="inlineStr">
        <is>
          <t>Recombinant DNA</t>
        </is>
      </c>
      <c r="M20" s="2" t="inlineStr">
        <is>
          <t>Product</t>
        </is>
      </c>
      <c r="N20" s="2" t="inlineStr">
        <is>
          <t>ข้อ 37 (PLE_CC1_2559.md)</t>
        </is>
      </c>
      <c r="O20" s="2" t="inlineStr">
        <is>
          <t>ข้อสอบจริง</t>
        </is>
      </c>
      <c r="P20" s="2" t="inlineStr">
        <is>
          <t>ปี 2559</t>
        </is>
      </c>
    </row>
    <row r="21" ht="13.2" customHeight="1" s="49">
      <c r="A21" s="8" t="inlineStr">
        <is>
          <t>19</t>
        </is>
      </c>
      <c r="B21" s="2" t="inlineStr">
        <is>
          <t>วัคซีนที่มีส่วนผสมของ aluminum เป็น adjuvant สามารถบริหารได้ทางใด</t>
        </is>
      </c>
      <c r="C21" s="2" t="n"/>
      <c r="D21" s="2" t="inlineStr">
        <is>
          <t>IV</t>
        </is>
      </c>
      <c r="E21" s="2" t="inlineStr">
        <is>
          <t>IM</t>
        </is>
      </c>
      <c r="F21" s="2" t="inlineStr">
        <is>
          <t>SC</t>
        </is>
      </c>
      <c r="G21" s="2" t="inlineStr">
        <is>
          <t>ID</t>
        </is>
      </c>
      <c r="H21" s="2" t="inlineStr">
        <is>
          <t>IM + SC</t>
        </is>
      </c>
      <c r="I21" s="8" t="inlineStr">
        <is>
          <t>1</t>
        </is>
      </c>
      <c r="J21" s="2"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2" t="n"/>
      <c r="L21" s="2" t="inlineStr">
        <is>
          <t>Recombinant DNA</t>
        </is>
      </c>
      <c r="M21" s="2" t="inlineStr">
        <is>
          <t>Product</t>
        </is>
      </c>
      <c r="N21" s="2" t="inlineStr">
        <is>
          <t>ข้อ 39 (PLE_CC1_2559.md)</t>
        </is>
      </c>
      <c r="O21" s="2" t="inlineStr">
        <is>
          <t>ข้อสอบจริง</t>
        </is>
      </c>
      <c r="P21" s="2" t="inlineStr">
        <is>
          <t>ปี 2559</t>
        </is>
      </c>
    </row>
    <row r="22" ht="13.2" customHeight="1" s="49">
      <c r="A22" s="8" t="inlineStr">
        <is>
          <t>20</t>
        </is>
      </c>
      <c r="B22" s="2" t="inlineStr">
        <is>
          <t>ตาม EPI เด็กอายุ 6 เดือนต้องได้รับ vaccine ได้บ้าง</t>
        </is>
      </c>
      <c r="C22" s="2" t="n"/>
      <c r="D22" s="2" t="inlineStr">
        <is>
          <t>HBV/dTP/OPV</t>
        </is>
      </c>
      <c r="E22" s="2" t="inlineStr">
        <is>
          <t>MMR/dTP/JE</t>
        </is>
      </c>
      <c r="F22" s="2" t="inlineStr">
        <is>
          <t>BCG/MMR/OPV</t>
        </is>
      </c>
      <c r="G22" s="2" t="inlineStr">
        <is>
          <t>MMR/JE/IPV</t>
        </is>
      </c>
      <c r="H22" s="2" t="inlineStr">
        <is>
          <t>JE/OPV/dTP</t>
        </is>
      </c>
      <c r="I22" s="8" t="inlineStr">
        <is>
          <t>1</t>
        </is>
      </c>
      <c r="J22" s="2"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2" t="n"/>
      <c r="L22" s="2" t="inlineStr">
        <is>
          <t>Recombinant DNA</t>
        </is>
      </c>
      <c r="M22" s="2" t="inlineStr">
        <is>
          <t>Product</t>
        </is>
      </c>
      <c r="N22" s="2" t="inlineStr">
        <is>
          <t>ข้อ 38 (PLE_CC1_2558_Key.md)</t>
        </is>
      </c>
      <c r="O22" s="2" t="inlineStr">
        <is>
          <t>ข้อสอบจริง</t>
        </is>
      </c>
      <c r="P22" s="2" t="inlineStr">
        <is>
          <t>ปี 2558</t>
        </is>
      </c>
    </row>
    <row r="23" ht="13.2" customHeight="1" s="49">
      <c r="A23" s="8" t="inlineStr">
        <is>
          <t>21</t>
        </is>
      </c>
      <c r="B23" s="2" t="inlineStr">
        <is>
          <t>วันนี้ เด็กรายนี้ต้องได้รับวัคซีนหรือไม่</t>
        </is>
      </c>
      <c r="C23" s="2" t="n"/>
      <c r="D23" s="2" t="inlineStr">
        <is>
          <t>ไม่ต้องได้รับ เนื่องจากมีภูมิจากการติดเชื้อ</t>
        </is>
      </c>
      <c r="E23" s="2" t="inlineStr">
        <is>
          <t>ให้เนื่องจาก EPI กำหนด</t>
        </is>
      </c>
      <c r="F23" s="2" t="inlineStr">
        <is>
          <t>ให้เลื่อนการรับวัคซีน ออกไปก่อน</t>
        </is>
      </c>
      <c r="G23" s="2" t="inlineStr">
        <is>
          <t>ให้ เนื่องจากอาการผื่นชัดเจน</t>
        </is>
      </c>
      <c r="H23" s="2" t="inlineStr">
        <is>
          <t>ไม่ให้ เนื่องจากอายุยังไม่ครบตามกำหนด</t>
        </is>
      </c>
      <c r="I23" s="8" t="inlineStr">
        <is>
          <t>1</t>
        </is>
      </c>
      <c r="J23" s="2"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2" t="n"/>
      <c r="L23" s="2" t="inlineStr">
        <is>
          <t>Recombinant DNA</t>
        </is>
      </c>
      <c r="M23" s="2" t="inlineStr">
        <is>
          <t>Product</t>
        </is>
      </c>
      <c r="N23" s="2" t="inlineStr">
        <is>
          <t>ข้อ 39 (PLE_CC1_2558_Key.md)</t>
        </is>
      </c>
      <c r="O23" s="2" t="inlineStr">
        <is>
          <t>ข้อสอบจริง</t>
        </is>
      </c>
      <c r="P23" s="2" t="inlineStr">
        <is>
          <t>ปี 2558</t>
        </is>
      </c>
    </row>
    <row r="24" ht="13.2" customHeight="1" s="49">
      <c r="A24" s="8" t="inlineStr">
        <is>
          <t>22</t>
        </is>
      </c>
      <c r="B24" s="2" t="inlineStr">
        <is>
          <t>การผลิตวัคซีนรูปแบบผงแห้งทำอย่างไร</t>
        </is>
      </c>
      <c r="C24" s="2" t="n"/>
      <c r="D24" s="2" t="inlineStr">
        <is>
          <t>Spray dry</t>
        </is>
      </c>
      <c r="E24" s="2" t="inlineStr">
        <is>
          <t>Lyophilized</t>
        </is>
      </c>
      <c r="F24" s="2" t="inlineStr">
        <is>
          <t>Powder sterilization</t>
        </is>
      </c>
      <c r="G24" s="2" t="inlineStr">
        <is>
          <t>Fluid base dryer</t>
        </is>
      </c>
      <c r="H24" s="2" t="inlineStr">
        <is>
          <t>Recombinant technology</t>
        </is>
      </c>
      <c r="I24" s="8" t="inlineStr">
        <is>
          <t>1</t>
        </is>
      </c>
      <c r="J24" s="2"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2" t="n"/>
      <c r="L24" s="2" t="inlineStr">
        <is>
          <t>Recombinant DNA</t>
        </is>
      </c>
      <c r="M24" s="2" t="inlineStr">
        <is>
          <t>Product</t>
        </is>
      </c>
      <c r="N24" s="2" t="inlineStr">
        <is>
          <t>ข้อ 41 (PLE_CC1_2558_Key.md)</t>
        </is>
      </c>
      <c r="O24" s="2" t="inlineStr">
        <is>
          <t>ข้อสอบจริง</t>
        </is>
      </c>
      <c r="P24" s="2" t="inlineStr">
        <is>
          <t>ปี 2558</t>
        </is>
      </c>
    </row>
    <row r="25" ht="13.2" customHeight="1" s="49">
      <c r="A25" s="8" t="inlineStr">
        <is>
          <t>23</t>
        </is>
      </c>
      <c r="B25" s="2" t="inlineStr">
        <is>
          <t>วัคซีนใดไม่อยู่ใน EPI</t>
        </is>
      </c>
      <c r="C25" s="2" t="n"/>
      <c r="D25" s="2" t="inlineStr">
        <is>
          <t>BCG</t>
        </is>
      </c>
      <c r="E25" s="2" t="inlineStr">
        <is>
          <t>PCV</t>
        </is>
      </c>
      <c r="F25" s="2" t="inlineStr">
        <is>
          <t>MMR</t>
        </is>
      </c>
      <c r="G25" s="2" t="inlineStr">
        <is>
          <t>HBV</t>
        </is>
      </c>
      <c r="H25" s="2" t="inlineStr">
        <is>
          <t>OPV</t>
        </is>
      </c>
      <c r="I25" s="8" t="inlineStr">
        <is>
          <t>1</t>
        </is>
      </c>
      <c r="J25"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2" t="n"/>
      <c r="L25" s="2" t="inlineStr">
        <is>
          <t>Recombinant DNA</t>
        </is>
      </c>
      <c r="M25" s="2" t="inlineStr">
        <is>
          <t>Product</t>
        </is>
      </c>
      <c r="N25" s="2" t="inlineStr">
        <is>
          <t>ข้อ 78 (PLE_CC1_2558_Key.md)</t>
        </is>
      </c>
      <c r="O25" s="2" t="inlineStr">
        <is>
          <t>ข้อสอบจริง</t>
        </is>
      </c>
      <c r="P25" s="2" t="inlineStr">
        <is>
          <t>ปี 2558</t>
        </is>
      </c>
    </row>
    <row r="26" ht="13.2" customHeight="1" s="49">
      <c r="A26" s="8" t="inlineStr">
        <is>
          <t>24</t>
        </is>
      </c>
      <c r="B26" s="2" t="inlineStr">
        <is>
          <t>วัคซีนป้องกันพิษสุนัขบ้าจัดเป็นวัคซีนประเภทใด</t>
        </is>
      </c>
      <c r="C26" s="2" t="n"/>
      <c r="D26" s="2" t="inlineStr">
        <is>
          <t>Lived vaccine</t>
        </is>
      </c>
      <c r="E26" s="2" t="inlineStr">
        <is>
          <t>Toxoid</t>
        </is>
      </c>
      <c r="F26" s="2" t="inlineStr">
        <is>
          <t>Adjuvant</t>
        </is>
      </c>
      <c r="G26" s="2" t="inlineStr">
        <is>
          <t>Killed vaccine</t>
        </is>
      </c>
      <c r="H26" s="2" t="inlineStr">
        <is>
          <t>Acellular ห้ามนำไปทำซ้ำทุกกรณี เว้นแต่จะได้รับอนุญาต</t>
        </is>
      </c>
      <c r="I26" s="8" t="inlineStr">
        <is>
          <t>1</t>
        </is>
      </c>
      <c r="J26" s="2"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2" t="n"/>
      <c r="L26" s="2" t="inlineStr">
        <is>
          <t>Recombinant DNA</t>
        </is>
      </c>
      <c r="M26" s="2" t="inlineStr">
        <is>
          <t>Product</t>
        </is>
      </c>
      <c r="N26" s="2" t="inlineStr">
        <is>
          <t>ข้อ 79 (PLE_CC1_2558_Key.md)</t>
        </is>
      </c>
      <c r="O26" s="2" t="inlineStr">
        <is>
          <t>ข้อสอบจริง</t>
        </is>
      </c>
      <c r="P26" s="2" t="inlineStr">
        <is>
          <t>ปี 2558</t>
        </is>
      </c>
    </row>
    <row r="27" ht="13.2" customHeight="1" s="49">
      <c r="A27" s="8" t="inlineStr">
        <is>
          <t>25</t>
        </is>
      </c>
      <c r="B27" s="2" t="inlineStr">
        <is>
          <t>วัคซีนในข้อใดจำเป็นน้อยที่สุดในผู้ป่วย COPD</t>
        </is>
      </c>
      <c r="C27" s="2" t="n"/>
      <c r="D27" s="2" t="inlineStr">
        <is>
          <t>COVID-19</t>
        </is>
      </c>
      <c r="E27" s="2" t="inlineStr">
        <is>
          <t>Influenza vaccine</t>
        </is>
      </c>
      <c r="F27" s="2" t="inlineStr">
        <is>
          <t>Tdap</t>
        </is>
      </c>
      <c r="G27" s="2" t="inlineStr">
        <is>
          <t>PCV13</t>
        </is>
      </c>
      <c r="H27" s="2" t="inlineStr">
        <is>
          <t>HAV</t>
        </is>
      </c>
      <c r="I27" s="8" t="inlineStr">
        <is>
          <t>1</t>
        </is>
      </c>
      <c r="J27" s="2"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2" t="n"/>
      <c r="L27" s="2" t="inlineStr">
        <is>
          <t>Recombinant DNA</t>
        </is>
      </c>
      <c r="M27" s="2" t="inlineStr">
        <is>
          <t>Product</t>
        </is>
      </c>
      <c r="N27" s="2" t="inlineStr">
        <is>
          <t>ข้อ 40 (Pharmtutor_2024_Set1.md)</t>
        </is>
      </c>
      <c r="O27" s="2" t="inlineStr">
        <is>
          <t>Mock</t>
        </is>
      </c>
      <c r="P27" s="2" t="inlineStr">
        <is>
          <t>Mock Pharmtutor 2024</t>
        </is>
      </c>
    </row>
    <row r="28" ht="13.2" customHeight="1" s="49">
      <c r="A28" s="8" t="inlineStr">
        <is>
          <t>26</t>
        </is>
      </c>
      <c r="B28" s="2"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2" t="n"/>
      <c r="D28" s="2" t="inlineStr">
        <is>
          <t>Td (Purified diphtheria toxoid 1-2 Lf และ Purified tetanus toxoid 5-10 Lf เข็มเข้ากล้าม</t>
        </is>
      </c>
      <c r="E28" s="2" t="inlineStr">
        <is>
          <t>Td (Purified diphtheria toxoid 1-2 Lf และ Purified tetanus toxoid 5-10 Lf เข็มเข้ากล้าม 3 ครั้งวันที่ 0, 1 เดือน, 6 เดือน</t>
        </is>
      </c>
      <c r="F28" s="2" t="inlineStr">
        <is>
          <t>DT (Purified diphtheria toxoid 25-30 Lf และ Purified tetanus toxoid 5-10 Lf) เข็มเข้ากล้าม</t>
        </is>
      </c>
      <c r="G28" s="2" t="inlineStr">
        <is>
          <t>DT (Purified diphtheria toxoid 25-30 Lf และ Purified tetanus toxoid 5-10 Lf) เข็มเข้ากล้าม 3 ครั้ง วันที่ 0, 1 เดือน, 6 เดือน</t>
        </is>
      </c>
      <c r="H28" s="2" t="inlineStr">
        <is>
          <t>DTw (diphtheria, tetanus toxoids, whole-cell pertussis vaccines) ฉีดเข้ากล้าม วันที่ 0,1 เดือน, 6 เดือน</t>
        </is>
      </c>
      <c r="I28" s="8" t="inlineStr">
        <is>
          <t>1</t>
        </is>
      </c>
      <c r="J28" s="2"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2" t="n"/>
      <c r="L28" s="2" t="inlineStr">
        <is>
          <t>Recombinant DNA</t>
        </is>
      </c>
      <c r="M28" s="2" t="inlineStr">
        <is>
          <t>Product</t>
        </is>
      </c>
      <c r="N28" s="2" t="inlineStr">
        <is>
          <t>ข้อ 40 (Pharmtutor_2024_Set2.md)</t>
        </is>
      </c>
      <c r="O28" s="2" t="inlineStr">
        <is>
          <t>Mock</t>
        </is>
      </c>
      <c r="P28" s="2" t="inlineStr">
        <is>
          <t>Mock Pharmtutor 2024</t>
        </is>
      </c>
    </row>
    <row r="29" ht="13.2" customHeight="1" s="49">
      <c r="A29" s="8" t="inlineStr">
        <is>
          <t>27</t>
        </is>
      </c>
      <c r="B29" s="2"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2" t="n"/>
      <c r="D29" s="2" t="inlineStr">
        <is>
          <t>TdaP</t>
        </is>
      </c>
      <c r="E29" s="2" t="inlineStr">
        <is>
          <t>IPV</t>
        </is>
      </c>
      <c r="F29" s="2" t="inlineStr">
        <is>
          <t>Influenza Vaccine</t>
        </is>
      </c>
      <c r="G29" s="2" t="inlineStr">
        <is>
          <t>SarCoV2 Vaccine</t>
        </is>
      </c>
      <c r="H29" s="2" t="inlineStr">
        <is>
          <t>Pneumococcal Vaccine</t>
        </is>
      </c>
      <c r="I29" s="8" t="inlineStr">
        <is>
          <t>1</t>
        </is>
      </c>
      <c r="J29" s="2"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2" t="n"/>
      <c r="L29" s="2" t="inlineStr">
        <is>
          <t>Recombinant DNA</t>
        </is>
      </c>
      <c r="M29" s="2" t="inlineStr">
        <is>
          <t>Product</t>
        </is>
      </c>
      <c r="N29" s="2" t="inlineStr">
        <is>
          <t>ข้อ 41 (Pharmtutor_2024_Set2.md)</t>
        </is>
      </c>
      <c r="O29" s="2" t="inlineStr">
        <is>
          <t>Mock</t>
        </is>
      </c>
      <c r="P29" s="2" t="inlineStr">
        <is>
          <t>Mock Pharmtutor 2024</t>
        </is>
      </c>
    </row>
    <row r="30" ht="13.2" customHeight="1" s="49">
      <c r="A30" s="8" t="inlineStr">
        <is>
          <t>28</t>
        </is>
      </c>
      <c r="B30" s="2" t="inlineStr">
        <is>
          <t>วัคซีน BCG ที_x001E_ใช้ในการป้องกันวัณโรคในเด็กแรกเกิด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2" t="n"/>
      <c r="D30" s="2" t="inlineStr">
        <is>
          <t>ELISA Immunoassay for protein quantification</t>
        </is>
      </c>
      <c r="E30" s="2" t="inlineStr">
        <is>
          <t>SDS-PAGE Gel Electrophoresis purity analysis</t>
        </is>
      </c>
      <c r="F30" s="2" t="inlineStr">
        <is>
          <t>Isoelectric Focusing (IEF) for charge heterogeneity</t>
        </is>
      </c>
      <c r="G30" s="2" t="inlineStr">
        <is>
          <t>Immunogenicity Neutralizing Antibody Assay</t>
        </is>
      </c>
      <c r="H30" s="2" t="inlineStr">
        <is>
          <t>Polysorbate 20 surfactant to prevent protein aggregation</t>
        </is>
      </c>
      <c r="I30" s="8" t="inlineStr">
        <is>
          <t>1</t>
        </is>
      </c>
      <c r="J30" s="2"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2" t="n"/>
      <c r="L30" s="2" t="inlineStr">
        <is>
          <t>Recombinant DNA</t>
        </is>
      </c>
      <c r="M30" s="2" t="inlineStr">
        <is>
          <t>Product</t>
        </is>
      </c>
      <c r="N30" s="2" t="inlineStr">
        <is>
          <t>ข้อ 23 (PLE_CC1_2557.md)</t>
        </is>
      </c>
      <c r="O30" s="2" t="inlineStr">
        <is>
          <t>ข้อสอบจริง</t>
        </is>
      </c>
      <c r="P30" s="2" t="inlineStr">
        <is>
          <t>ปี 2557</t>
        </is>
      </c>
    </row>
    <row r="31" ht="13.2" customHeight="1" s="49">
      <c r="A31" s="8" t="inlineStr">
        <is>
          <t>29</t>
        </is>
      </c>
      <c r="B31" s="2" t="inlineStr">
        <is>
          <t>หลังได้รับยา Desferrioxamine ผู้ป่วยแจ้งว่าปัสสาวะ เปลี_x001E_ยนเป็นสีชมพู จึงได้สอบถามท่านซึ_x001E_งเป็นเภสัชกร ท่าน จะบอกผู้ป่วยรายนี%ว่าอย่างไร (1) สีที_x0003_เกิดขึ_x001B_น เป็นสีของตัวของ Desferrioxamine ซึ_x0003_งขับ ออกทางปัสสาวะ (2) สีที_x0003_เกิดขึ_x001B_น เป็นสีของสารประกอบเชิงซ้อนระหว่างยา Desferrioxamine และไอออนของธาตุเหล็กซึ_x0003_งขับ ออกทางปัสสาวะ (3) อาการนี_x001B_เป็นอาการที_x0003_อันตราย ควรแจ้งแพทย์ทันที (4) ... จำตัวเลือกไม่ได้ ... สถานการณ์ที_x001E_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2" t="n"/>
      <c r="D31" s="2" t="inlineStr">
        <is>
          <t>Immunogenicity Neutralizing Antibody Assay</t>
        </is>
      </c>
      <c r="E31" s="2" t="inlineStr">
        <is>
          <t>Polysorbate 20 surfactant to prevent protein aggregation</t>
        </is>
      </c>
      <c r="F31" s="2" t="inlineStr">
        <is>
          <t>Histidine Buffer pH 6.0 formulation stability</t>
        </is>
      </c>
      <c r="G31" s="2" t="inlineStr">
        <is>
          <t>Recombinant DNA Human Insulin in E. coli</t>
        </is>
      </c>
      <c r="H31" s="2" t="inlineStr">
        <is>
          <t>Monoclonal Antibody IgG1 (CHO Cell Expression)</t>
        </is>
      </c>
      <c r="I31" s="8" t="inlineStr">
        <is>
          <t>1</t>
        </is>
      </c>
      <c r="J3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2" t="n"/>
      <c r="L31" s="2" t="inlineStr">
        <is>
          <t>Recombinant DNA</t>
        </is>
      </c>
      <c r="M31" s="2" t="inlineStr">
        <is>
          <t>Product</t>
        </is>
      </c>
      <c r="N31" s="2" t="inlineStr">
        <is>
          <t>ข้อ 82 (PLE_CC1_2557.md)</t>
        </is>
      </c>
      <c r="O31" s="2" t="inlineStr">
        <is>
          <t>ข้อสอบจริง</t>
        </is>
      </c>
      <c r="P31" s="2" t="inlineStr">
        <is>
          <t>ปี 2557</t>
        </is>
      </c>
    </row>
    <row r="32" ht="13.2" customHeight="1" s="49">
      <c r="A32" s="8" t="inlineStr">
        <is>
          <t>30</t>
        </is>
      </c>
      <c r="B32" s="2" t="inlineStr">
        <is>
          <t>ข้อใดถูกต้อง (1) ผู้ป่วยไม่จำเป็นต้องได้รับ immunoglobulin (2) ผู้ป่วยจำเป็นต้องได้รับ immunoglobulin ทันที และ ฉีดซํ_x001B_าอีกครั_x001B_งในวันที_x0003_ 7 (3) ผู้ป่วยจำเป็นต้องได้รับ immunoglobulin เฉพาะวัน แรกที_x0003_โดนกัดเพียงแค่ครั_x001B_งเดียว (4) ผู้ป่วยไม่จำเป็นต้องได้รับวัคซีน (5) ผู้ป่วยจำเป็นต้องได้รับวัคซีนโดยการฉีดเข้าในผิวหนัง (intradermal) ในวันที_x0003_ 0, 3, 7, 14 และ 30</t>
        </is>
      </c>
      <c r="C32" s="2" t="n"/>
      <c r="D32" s="2" t="inlineStr">
        <is>
          <t>Recombinant DNA Human Insulin in E. coli</t>
        </is>
      </c>
      <c r="E32" s="2" t="inlineStr">
        <is>
          <t>Monoclonal Antibody IgG1 (CHO Cell Expression)</t>
        </is>
      </c>
      <c r="F32" s="2" t="inlineStr">
        <is>
          <t>Polyethylene Glycol (PEG) Conjugation for extended half-life</t>
        </is>
      </c>
      <c r="G32" s="2" t="inlineStr">
        <is>
          <t>Lyophilization (Freeze-drying) with Trehalose Cryoprotectant</t>
        </is>
      </c>
      <c r="H32" s="2" t="inlineStr">
        <is>
          <t>ELISA Immunoassay for protein quantification</t>
        </is>
      </c>
      <c r="I32" s="8" t="inlineStr">
        <is>
          <t>1</t>
        </is>
      </c>
      <c r="J3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2" t="n"/>
      <c r="L32" s="2" t="inlineStr">
        <is>
          <t>Recombinant DNA</t>
        </is>
      </c>
      <c r="M32" s="2" t="inlineStr">
        <is>
          <t>Product</t>
        </is>
      </c>
      <c r="N32" s="2" t="inlineStr">
        <is>
          <t>ข้อ 84 (PLE_CC1_2557.md)</t>
        </is>
      </c>
      <c r="O32" s="2" t="inlineStr">
        <is>
          <t>ข้อสอบจริง</t>
        </is>
      </c>
      <c r="P32" s="2" t="inlineStr">
        <is>
          <t>ปี 2557</t>
        </is>
      </c>
    </row>
    <row r="33" ht="13.2" customHeight="1" s="49">
      <c r="A33" s="8" t="inlineStr">
        <is>
          <t>31</t>
        </is>
      </c>
      <c r="B33" s="2" t="inlineStr">
        <is>
          <t>หากเด็กคนนี% เคยได้รับการฉีดวัคซีนมาแล้ว 3 เข็ม เมื_x001E_อ 5 เดือนก่อน จะต้องฉีดอย่างไร (1) ไม่ต้องฉีดวัคซีนเพิ_x0003_มเติม (2) ฉีดวัคซีนเพิ_x0003_ม 1 เข็มในวันที_x0003_โดนกัด (วันที_x0003_ 0) (3) ฉีดวัคซีนเพิ_x0003_ม 2 เข็มในวันที_x0003_ 0 และ 3 (4) ฉีดวัคซีนเพิ_x0003_ม 3 เข็มในวันที_x0003_ 0, 3 และ 7 (5) เริ_x0003_มต้นฉีดวัคซีนใหม่ทั_x001B_งหมด</t>
        </is>
      </c>
      <c r="C33" s="2" t="n"/>
      <c r="D33" s="2" t="inlineStr">
        <is>
          <t>Lyophilization (Freeze-drying) with Trehalose Cryoprotectant</t>
        </is>
      </c>
      <c r="E33" s="2" t="inlineStr">
        <is>
          <t>ELISA Immunoassay for protein quantification</t>
        </is>
      </c>
      <c r="F33" s="2" t="inlineStr">
        <is>
          <t>SDS-PAGE Gel Electrophoresis purity analysis</t>
        </is>
      </c>
      <c r="G33" s="2" t="inlineStr">
        <is>
          <t>Isoelectric Focusing (IEF) for charge heterogeneity</t>
        </is>
      </c>
      <c r="H33" s="2" t="inlineStr">
        <is>
          <t>Immunogenicity Neutralizing Antibody Assay</t>
        </is>
      </c>
      <c r="I33" s="8" t="inlineStr">
        <is>
          <t>1</t>
        </is>
      </c>
      <c r="J3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2" t="n"/>
      <c r="L33" s="2" t="inlineStr">
        <is>
          <t>Recombinant DNA</t>
        </is>
      </c>
      <c r="M33" s="2" t="inlineStr">
        <is>
          <t>Product</t>
        </is>
      </c>
      <c r="N33" s="2" t="inlineStr">
        <is>
          <t>ข้อ 85 (PLE_CC1_2557.md)</t>
        </is>
      </c>
      <c r="O33" s="2" t="inlineStr">
        <is>
          <t>ข้อสอบจริง</t>
        </is>
      </c>
      <c r="P33" s="2" t="inlineStr">
        <is>
          <t>ปี 2557</t>
        </is>
      </c>
    </row>
    <row r="34" ht="13.2" customHeight="1" s="49">
      <c r="A34" s="8" t="inlineStr">
        <is>
          <t>32</t>
        </is>
      </c>
      <c r="B34" s="2" t="inlineStr">
        <is>
          <t>ในกรณีที_x001E_แพทย์ตัดสินใจให้วัคซีนป้องกันพิษสุนัขบ้าในแก่ เด็กรายนี% แต่แม่เด็กไม่ได้มาตามนัดในเข็มที_x001E_ 2 โดยมาช้าไป 1 วัน จะมีคำแนะนำอย่างไร (1) เริ_x0003_มต้นฉีดวัคซีนเข็มที_x0003_ 1 ใหม่ (2) ฉีดเข็มที_x0003_ 2 ทันที ส่วนเข็มถัดไปให้ฉีดต่อไปตามปกติ (3) ฉีดเข็มที_x0003_ 2 ทันที ส่วนเข็มถัดไปให้เลื_x0003_อนออกไปจาก นัดเดิม 1 วัน (4) ฉีดเข็มที_x0003_ 2 ทันที และฉีดเพิ_x0003_มเติมจากเดิมอีก 1 เข็มใน วันเดียวกัน ส่วนเข็มถัดไปให้ฉีดต่อไปตามปกติ (5) ฉีดเข็มที_x0003_ 2 ทันที และฉีดเพิ_x0003_มเติมจากเดิมอีก 1 เข็มใน วันเดียวกัน ส่วนเข็มถัดไปให้เลื_x0003_อนออกไปจากนัดเดิม 1 วัน</t>
        </is>
      </c>
      <c r="C34" s="2" t="n"/>
      <c r="D34" s="2" t="inlineStr">
        <is>
          <t>Isoelectric Focusing (IEF) for charge heterogeneity</t>
        </is>
      </c>
      <c r="E34" s="2" t="inlineStr">
        <is>
          <t>Immunogenicity Neutralizing Antibody Assay</t>
        </is>
      </c>
      <c r="F34" s="2" t="inlineStr">
        <is>
          <t>Polysorbate 20 surfactant to prevent protein aggregation</t>
        </is>
      </c>
      <c r="G34" s="2" t="inlineStr">
        <is>
          <t>Histidine Buffer pH 6.0 formulation stability</t>
        </is>
      </c>
      <c r="H34" s="2" t="inlineStr">
        <is>
          <t>Recombinant DNA Human Insulin in E. coli</t>
        </is>
      </c>
      <c r="I34" s="8" t="inlineStr">
        <is>
          <t>1</t>
        </is>
      </c>
      <c r="J3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2" t="n"/>
      <c r="L34" s="2" t="inlineStr">
        <is>
          <t>Recombinant DNA</t>
        </is>
      </c>
      <c r="M34" s="2" t="inlineStr">
        <is>
          <t>Product</t>
        </is>
      </c>
      <c r="N34" s="2" t="inlineStr">
        <is>
          <t>ข้อ 86 (PLE_CC1_2557.md)</t>
        </is>
      </c>
      <c r="O34" s="2" t="inlineStr">
        <is>
          <t>ข้อสอบจริง</t>
        </is>
      </c>
      <c r="P34" s="2" t="inlineStr">
        <is>
          <t>ปี 2557</t>
        </is>
      </c>
    </row>
    <row r="35" ht="13.2" customHeight="1" s="49">
      <c r="A35" s="8" t="inlineStr">
        <is>
          <t>33</t>
        </is>
      </c>
      <c r="B35" s="2" t="inlineStr">
        <is>
          <t>หากแม่ของเด็กต้องการฉีดวัคซีนป้องกันโรคล่วงหน้า (pre-exposure immunization) ให้แก่ตัวเอง จะต้องฉีดกี เข็ม ในวันที_x001E_เท่าใดบ้าง (1) ฉีด 1 เข็ม ครั_x001B_งเดียว (2) ฉีด 2 เข็ม ในวันที_x0003_ 0 และวันที_x0003_ 3 (3) ฉีด 2 เข็ม ในวันที_x0003_ 0 และวันที_x0003_ 7 (4) ฉีด 3 เข็ม ในวันที_x0003_ 0, 3 และ 7 (5) ฉีด 3 เข็ม ในวันที_x0003_ 0, 7 และ 28 MCQ 12 | 1/2557 | Page 27</t>
        </is>
      </c>
      <c r="C35" s="2" t="n"/>
      <c r="D35" s="2" t="inlineStr">
        <is>
          <t>Histidine Buffer pH 6.0 formulation stability</t>
        </is>
      </c>
      <c r="E35" s="2" t="inlineStr">
        <is>
          <t>Recombinant DNA Human Insulin in E. coli</t>
        </is>
      </c>
      <c r="F35" s="2" t="inlineStr">
        <is>
          <t>Monoclonal Antibody IgG1 (CHO Cell Expression)</t>
        </is>
      </c>
      <c r="G35" s="2" t="inlineStr">
        <is>
          <t>Polyethylene Glycol (PEG) Conjugation for extended half-life</t>
        </is>
      </c>
      <c r="H35" s="2" t="inlineStr">
        <is>
          <t>Lyophilization (Freeze-drying) with Trehalose Cryoprotectant</t>
        </is>
      </c>
      <c r="I35" s="8" t="inlineStr">
        <is>
          <t>1</t>
        </is>
      </c>
      <c r="J3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2" t="n"/>
      <c r="L35" s="2" t="inlineStr">
        <is>
          <t>Recombinant DNA</t>
        </is>
      </c>
      <c r="M35" s="2" t="inlineStr">
        <is>
          <t>Product</t>
        </is>
      </c>
      <c r="N35" s="2" t="inlineStr">
        <is>
          <t>ข้อ 87 (PLE_CC1_2557.md)</t>
        </is>
      </c>
      <c r="O35" s="2" t="inlineStr">
        <is>
          <t>ข้อสอบจริง</t>
        </is>
      </c>
      <c r="P35" s="2" t="inlineStr">
        <is>
          <t>ปี 2557</t>
        </is>
      </c>
    </row>
    <row r="36" ht="13.2" customHeight="1" s="49">
      <c r="A36" s="8" t="inlineStr">
        <is>
          <t>34</t>
        </is>
      </c>
      <c r="B36" s="2" t="inlineStr">
        <is>
          <t>Vaccine ในรูปผงแห้ง ควรมีการจัดเก็บอย่างไร (1) .... จำตัวเลือกไม่ได้ .....</t>
        </is>
      </c>
      <c r="C36" s="2" t="n"/>
      <c r="D36" s="2" t="inlineStr">
        <is>
          <t>Polyethylene Glycol (PEG) Conjugation for extended half-life</t>
        </is>
      </c>
      <c r="E36" s="2" t="inlineStr">
        <is>
          <t>Lyophilization (Freeze-drying) with Trehalose Cryoprotectant</t>
        </is>
      </c>
      <c r="F36" s="2" t="inlineStr">
        <is>
          <t>ELISA Immunoassay for protein quantification</t>
        </is>
      </c>
      <c r="G36" s="2" t="inlineStr">
        <is>
          <t>SDS-PAGE Gel Electrophoresis purity analysis</t>
        </is>
      </c>
      <c r="H36" s="2" t="inlineStr">
        <is>
          <t>Isoelectric Focusing (IEF) for charge heterogeneity</t>
        </is>
      </c>
      <c r="I36" s="8" t="inlineStr">
        <is>
          <t>1</t>
        </is>
      </c>
      <c r="J3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2" t="n"/>
      <c r="L36" s="2" t="inlineStr">
        <is>
          <t>Recombinant DNA</t>
        </is>
      </c>
      <c r="M36" s="2" t="inlineStr">
        <is>
          <t>Product</t>
        </is>
      </c>
      <c r="N36" s="2" t="inlineStr">
        <is>
          <t>ข้อ 88 (PLE_CC1_2557.md)</t>
        </is>
      </c>
      <c r="O36" s="2" t="inlineStr">
        <is>
          <t>ข้อสอบจริง</t>
        </is>
      </c>
      <c r="P36" s="2" t="inlineStr">
        <is>
          <t>ปี 2557</t>
        </is>
      </c>
    </row>
    <row r="37" ht="13.2" customHeight="1" s="49">
      <c r="A37" s="8" t="inlineStr">
        <is>
          <t>35</t>
        </is>
      </c>
      <c r="B37" s="2" t="inlineStr">
        <is>
          <t>บริษัท A ได้รับอนุญาตให้ผลิตวัคซีนป้องกันโรคพิษสุนัข บ้าชื_x001E_อการค้า AA ข้อใดถูกต้อง (1) บริษัท A สามารถขายปลีกวัคซีน AA ได้โดยไม่ต้อง ขออนุญาตขายยาแผนปัจจุบันเพิ_x0003_มเติม (2) บริษัท A สามารถขายส่งวัคซีน AA ได้โดยไม่ต้องขอ อนุญาตขายส่งยาแผนปัจจุบันเพิ_x0003_มเติม (3) บริษัท A สามารถนำเข้าวัคซีน AA จากต่างประเทศได้ โดยไม่ต้องขออนุญาตนำหรือสั_x0003_งยาแผนปัจจุบันเข้ามา ในราชอาณาจักรเพิ_x0003_มเติม (4) ... จำตัวเลือกไม่ได้ ...</t>
        </is>
      </c>
      <c r="C37" s="2" t="n"/>
      <c r="D37" s="2" t="inlineStr">
        <is>
          <t>SDS-PAGE Gel Electrophoresis purity analysis</t>
        </is>
      </c>
      <c r="E37" s="2" t="inlineStr">
        <is>
          <t>Isoelectric Focusing (IEF) for charge heterogeneity</t>
        </is>
      </c>
      <c r="F37" s="2" t="inlineStr">
        <is>
          <t>Immunogenicity Neutralizing Antibody Assay</t>
        </is>
      </c>
      <c r="G37" s="2" t="inlineStr">
        <is>
          <t>Polysorbate 20 surfactant to prevent protein aggregation</t>
        </is>
      </c>
      <c r="H37" s="2" t="inlineStr">
        <is>
          <t>Histidine Buffer pH 6.0 formulation stability</t>
        </is>
      </c>
      <c r="I37" s="8" t="inlineStr">
        <is>
          <t>1</t>
        </is>
      </c>
      <c r="J3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2" t="n"/>
      <c r="L37" s="2" t="inlineStr">
        <is>
          <t>Recombinant DNA</t>
        </is>
      </c>
      <c r="M37" s="2" t="inlineStr">
        <is>
          <t>Product</t>
        </is>
      </c>
      <c r="N37" s="2" t="inlineStr">
        <is>
          <t>ข้อ 89 (PLE_CC1_2557.md)</t>
        </is>
      </c>
      <c r="O37" s="2" t="inlineStr">
        <is>
          <t>ข้อสอบจริง</t>
        </is>
      </c>
      <c r="P37" s="2" t="inlineStr">
        <is>
          <t>ปี 2557</t>
        </is>
      </c>
    </row>
    <row r="38" ht="13.2" customHeight="1" s="49">
      <c r="A38" s="8" t="inlineStr">
        <is>
          <t>36</t>
        </is>
      </c>
      <c r="B38" s="2" t="inlineStr">
        <is>
          <t>วัคซีนใดที่ต้องให้ในเด็กแรกเกิด</t>
        </is>
      </c>
      <c r="C38" s="2" t="n"/>
      <c r="D38" s="2" t="inlineStr">
        <is>
          <t>วัคซีนวัณโรค</t>
        </is>
      </c>
      <c r="E38" s="2" t="inlineStr">
        <is>
          <t>วัคซีนไข้หวัดใหญ่</t>
        </is>
      </c>
      <c r="F38" s="2" t="inlineStr">
        <is>
          <t>วัคซีนหัดเยอรมัน หัด คางทูม</t>
        </is>
      </c>
      <c r="G38" s="2" t="inlineStr">
        <is>
          <t>วัคซีนคอตีบ ไอกรน บาดทะยัก</t>
        </is>
      </c>
      <c r="H38" s="2" t="inlineStr">
        <is>
          <t>วัคซีนไวรัสตับอักเสบเอ</t>
        </is>
      </c>
      <c r="I38" s="8" t="inlineStr">
        <is>
          <t>1</t>
        </is>
      </c>
      <c r="J38" s="2"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2" t="n"/>
      <c r="L38" s="2" t="inlineStr">
        <is>
          <t>Recombinant DNA</t>
        </is>
      </c>
      <c r="M38" s="2" t="inlineStr">
        <is>
          <t>Product</t>
        </is>
      </c>
      <c r="N38" s="2" t="inlineStr">
        <is>
          <t>ข้อ 11 (PLE_CC1_2555 Day 1.md)</t>
        </is>
      </c>
      <c r="O38" s="2" t="inlineStr">
        <is>
          <t>ข้อสอบจริง</t>
        </is>
      </c>
      <c r="P38" s="2" t="inlineStr">
        <is>
          <t>ปี 2555</t>
        </is>
      </c>
    </row>
    <row r="39" ht="13.2" customHeight="1" s="49">
      <c r="A39" s="8" t="inlineStr">
        <is>
          <t>37</t>
        </is>
      </c>
      <c r="B39" s="2" t="inlineStr">
        <is>
          <t>วัคซีนใดไม่ได้อยู่ในวัคซีนมาตรฐานที่เด็กไทยต้องได้รับ</t>
        </is>
      </c>
      <c r="C39" s="2" t="n"/>
      <c r="D39" s="2" t="inlineStr">
        <is>
          <t>DTP</t>
        </is>
      </c>
      <c r="E39" s="2" t="inlineStr">
        <is>
          <t>Hep A</t>
        </is>
      </c>
      <c r="F39" s="2" t="inlineStr">
        <is>
          <t>BCG</t>
        </is>
      </c>
      <c r="G39" s="2" t="inlineStr">
        <is>
          <t>MMR</t>
        </is>
      </c>
      <c r="H39" s="2" t="inlineStr">
        <is>
          <t>OPV</t>
        </is>
      </c>
      <c r="I39" s="8" t="inlineStr">
        <is>
          <t>1</t>
        </is>
      </c>
      <c r="J39" s="2"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2" t="n"/>
      <c r="L39" s="2" t="inlineStr">
        <is>
          <t>Recombinant DNA</t>
        </is>
      </c>
      <c r="M39" s="2" t="inlineStr">
        <is>
          <t>Product</t>
        </is>
      </c>
      <c r="N39" s="2" t="inlineStr">
        <is>
          <t>ข้อ 12 (PLE_CC1_2555 Day 1.md)</t>
        </is>
      </c>
      <c r="O39" s="2" t="inlineStr">
        <is>
          <t>ข้อสอบจริง</t>
        </is>
      </c>
      <c r="P39" s="2" t="inlineStr">
        <is>
          <t>ปี 2555</t>
        </is>
      </c>
    </row>
    <row r="40" ht="13.2" customHeight="1" s="49">
      <c r="A40" s="8" t="inlineStr">
        <is>
          <t>38</t>
        </is>
      </c>
      <c r="B40" s="2" t="inlineStr">
        <is>
          <t>หน้าที่ของ adjuvant เช่น alum ใส่ไปในวัคซีนเพื่ออะไร</t>
        </is>
      </c>
      <c r="C40" s="2" t="n"/>
      <c r="D40" s="2" t="inlineStr">
        <is>
          <t>เพิ่มการกระตุ้นภูมิคุ้มกันของวัคซีน</t>
        </is>
      </c>
      <c r="E40" s="2" t="inlineStr">
        <is>
          <t>เพิ่มการดูดซึมของวัคซีน</t>
        </is>
      </c>
      <c r="F40" s="2" t="inlineStr">
        <is>
          <t>เพิ่มความคงตัว</t>
        </is>
      </c>
      <c r="G40" s="2" t="inlineStr">
        <is>
          <t>ลดผลข้างเคียงที่อาจเกิดขึ้นจากวัคซีน</t>
        </is>
      </c>
      <c r="H40" s="2" t="inlineStr">
        <is>
          <t>ลดปริมาณการใช้วัคซีน</t>
        </is>
      </c>
      <c r="I40" s="8" t="inlineStr">
        <is>
          <t>1</t>
        </is>
      </c>
      <c r="J40" s="2"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2" t="n"/>
      <c r="L40" s="2" t="inlineStr">
        <is>
          <t>Recombinant DNA</t>
        </is>
      </c>
      <c r="M40" s="2" t="inlineStr">
        <is>
          <t>Product</t>
        </is>
      </c>
      <c r="N40" s="2" t="inlineStr">
        <is>
          <t>ข้อ 14 (PLE_CC1_2555 Day 1.md)</t>
        </is>
      </c>
      <c r="O40" s="2" t="inlineStr">
        <is>
          <t>ข้อสอบจริง</t>
        </is>
      </c>
      <c r="P40" s="2" t="inlineStr">
        <is>
          <t>ปี 2555</t>
        </is>
      </c>
    </row>
    <row r="41" ht="13.2" customHeight="1" s="49">
      <c r="A41" s="8" t="inlineStr">
        <is>
          <t>39</t>
        </is>
      </c>
      <c r="B41" s="2" t="inlineStr">
        <is>
          <t>การรับวัคซีน DTP แบบ 3 เข็ม ต้องให้ห่างกันกี่เดือน</t>
        </is>
      </c>
      <c r="C41" s="2" t="n"/>
      <c r="D41" s="2" t="inlineStr">
        <is>
          <t>1 เดือน</t>
        </is>
      </c>
      <c r="E41" s="2" t="inlineStr">
        <is>
          <t>2 เดือน</t>
        </is>
      </c>
      <c r="F41" s="2" t="inlineStr">
        <is>
          <t>3 เดือน</t>
        </is>
      </c>
      <c r="G41" s="2" t="inlineStr">
        <is>
          <t>4 เดือน</t>
        </is>
      </c>
      <c r="H41" s="2" t="inlineStr">
        <is>
          <t>6 เดือน คณะเภสัชศาสตร์</t>
        </is>
      </c>
      <c r="I41" s="8" t="inlineStr">
        <is>
          <t>1</t>
        </is>
      </c>
      <c r="J41" s="2"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2" t="n"/>
      <c r="L41" s="2" t="inlineStr">
        <is>
          <t>Recombinant DNA</t>
        </is>
      </c>
      <c r="M41" s="2" t="inlineStr">
        <is>
          <t>Product</t>
        </is>
      </c>
      <c r="N41" s="2" t="inlineStr">
        <is>
          <t>ข้อ 15 (PLE_CC1_2555 Day 1.md)</t>
        </is>
      </c>
      <c r="O41" s="2" t="inlineStr">
        <is>
          <t>ข้อสอบจริง</t>
        </is>
      </c>
      <c r="P41" s="2" t="inlineStr">
        <is>
          <t>ปี 2555</t>
        </is>
      </c>
    </row>
    <row r="42" ht="13.2" customHeight="1" s="49">
      <c r="A42" s="8" t="inlineStr">
        <is>
          <t>40</t>
        </is>
      </c>
      <c r="B42" s="2"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2" t="n"/>
      <c r="D42" s="2" t="inlineStr">
        <is>
          <t>รับวัคซีนก่อนไปเมืองนอก</t>
        </is>
      </c>
      <c r="E42" s="2" t="inlineStr">
        <is>
          <t>เริ่มรับวัคซีนใหม่ตั้งแต่เข็มแรก</t>
        </is>
      </c>
      <c r="F42" s="2" t="inlineStr">
        <is>
          <t>รับวัคซีนหลังจากกลับมาจากเมืองนอก</t>
        </is>
      </c>
      <c r="G42" s="2" t="inlineStr">
        <is>
          <t>.....................</t>
        </is>
      </c>
      <c r="H42" s="2" t="inlineStr">
        <is>
          <t>.....................</t>
        </is>
      </c>
      <c r="I42" s="8" t="inlineStr">
        <is>
          <t>1</t>
        </is>
      </c>
      <c r="J42" s="2"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2" t="n"/>
      <c r="L42" s="2" t="inlineStr">
        <is>
          <t>Recombinant DNA</t>
        </is>
      </c>
      <c r="M42" s="2" t="inlineStr">
        <is>
          <t>Product</t>
        </is>
      </c>
      <c r="N42" s="2" t="inlineStr">
        <is>
          <t>ข้อ 16 (PLE_CC1_2555 Day 1.md)</t>
        </is>
      </c>
      <c r="O42" s="2" t="inlineStr">
        <is>
          <t>ข้อสอบจริง</t>
        </is>
      </c>
      <c r="P42" s="2" t="inlineStr">
        <is>
          <t>ปี 2555</t>
        </is>
      </c>
    </row>
    <row r="43" ht="13.2" customHeight="1" s="49">
      <c r="A43" s="8" t="inlineStr">
        <is>
          <t>41</t>
        </is>
      </c>
      <c r="B43" s="2" t="inlineStr">
        <is>
          <t>ถ้าได้รับวัคซีนจะกระตุ้มภูมิคุ้มกันชนิดใดก่อนเป็นอันดับแรก</t>
        </is>
      </c>
      <c r="C43" s="2" t="n"/>
      <c r="D43" s="2" t="inlineStr">
        <is>
          <t>IgA</t>
        </is>
      </c>
      <c r="E43" s="2" t="inlineStr">
        <is>
          <t>IgD</t>
        </is>
      </c>
      <c r="F43" s="2" t="inlineStr">
        <is>
          <t>IgE</t>
        </is>
      </c>
      <c r="G43" s="2" t="inlineStr">
        <is>
          <t>IgG</t>
        </is>
      </c>
      <c r="H43" s="2" t="inlineStr">
        <is>
          <t>IgM</t>
        </is>
      </c>
      <c r="I43" s="8" t="inlineStr">
        <is>
          <t>1</t>
        </is>
      </c>
      <c r="J43" s="2"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2" t="n"/>
      <c r="L43" s="2" t="inlineStr">
        <is>
          <t>Recombinant DNA</t>
        </is>
      </c>
      <c r="M43" s="2" t="inlineStr">
        <is>
          <t>Product</t>
        </is>
      </c>
      <c r="N43" s="2" t="inlineStr">
        <is>
          <t>ข้อ 17 (PLE_CC1_2555 Day 1.md)</t>
        </is>
      </c>
      <c r="O43" s="2" t="inlineStr">
        <is>
          <t>ข้อสอบจริง</t>
        </is>
      </c>
      <c r="P43" s="2" t="inlineStr">
        <is>
          <t>ปี 2555</t>
        </is>
      </c>
    </row>
    <row r="44" ht="13.2" customHeight="1" s="49">
      <c r="A44" s="8" t="inlineStr">
        <is>
          <t>42</t>
        </is>
      </c>
      <c r="B44" s="2" t="inlineStr">
        <is>
          <t>ลดปัญหาการดื้อยา MCQ 1/2555 by CURx69 page 20 Case 11: Vaccine</t>
        </is>
      </c>
      <c r="C44" s="2" t="n"/>
      <c r="D44" s="2" t="inlineStr">
        <is>
          <t>Isoelectric Focusing (IEF) for charge heterogeneity</t>
        </is>
      </c>
      <c r="E44" s="2" t="inlineStr">
        <is>
          <t>Immunogenicity Neutralizing Antibody Assay</t>
        </is>
      </c>
      <c r="F44" s="2" t="inlineStr">
        <is>
          <t>Polysorbate 20 surfactant to prevent protein aggregation</t>
        </is>
      </c>
      <c r="G44" s="2" t="inlineStr">
        <is>
          <t>Histidine Buffer pH 6.0 formulation stability</t>
        </is>
      </c>
      <c r="H44" s="2" t="inlineStr">
        <is>
          <t>Recombinant DNA Human Insulin in E. coli</t>
        </is>
      </c>
      <c r="I44" s="8" t="inlineStr">
        <is>
          <t>1</t>
        </is>
      </c>
      <c r="J4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2" t="n"/>
      <c r="L44" s="2" t="inlineStr">
        <is>
          <t>Recombinant DNA</t>
        </is>
      </c>
      <c r="M44" s="2" t="inlineStr">
        <is>
          <t>Product</t>
        </is>
      </c>
      <c r="N44" s="2" t="inlineStr">
        <is>
          <t>ข้อ 5 (PLE_CC1_2555 Day 2.md)</t>
        </is>
      </c>
      <c r="O44" s="2" t="inlineStr">
        <is>
          <t>ข้อสอบจริง</t>
        </is>
      </c>
      <c r="P44" s="2" t="inlineStr">
        <is>
          <t>ปี 2555</t>
        </is>
      </c>
    </row>
    <row r="45" ht="13.2" customHeight="1" s="49">
      <c r="A45" s="8" t="inlineStr">
        <is>
          <t>43</t>
        </is>
      </c>
      <c r="B45" s="2" t="inlineStr">
        <is>
          <t>เด็กแรกเกิดต้องฉีดวัคซีนป้องกันโรคอะไร</t>
        </is>
      </c>
      <c r="C45" s="2" t="n"/>
      <c r="D45" s="2" t="inlineStr">
        <is>
          <t>Histidine Buffer pH 6.0 formulation stability</t>
        </is>
      </c>
      <c r="E45" s="2" t="inlineStr">
        <is>
          <t>Recombinant DNA Human Insulin in E. coli</t>
        </is>
      </c>
      <c r="F45" s="2" t="inlineStr">
        <is>
          <t>Monoclonal Antibody IgG1 (CHO Cell Expression)</t>
        </is>
      </c>
      <c r="G45" s="2" t="inlineStr">
        <is>
          <t>Polyethylene Glycol (PEG) Conjugation for extended half-life</t>
        </is>
      </c>
      <c r="H45" s="2" t="inlineStr">
        <is>
          <t>Lyophilization (Freeze-drying) with Trehalose Cryoprotectant</t>
        </is>
      </c>
      <c r="I45" s="8" t="inlineStr">
        <is>
          <t>1</t>
        </is>
      </c>
      <c r="J4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2" t="n"/>
      <c r="L45" s="2" t="inlineStr">
        <is>
          <t>Recombinant DNA</t>
        </is>
      </c>
      <c r="M45" s="2" t="inlineStr">
        <is>
          <t>Product</t>
        </is>
      </c>
      <c r="N45" s="2" t="inlineStr">
        <is>
          <t>ข้อ 1 (PLE_CC1_2555 Day 2.md)</t>
        </is>
      </c>
      <c r="O45" s="2" t="inlineStr">
        <is>
          <t>ข้อสอบจริง</t>
        </is>
      </c>
      <c r="P45" s="2" t="inlineStr">
        <is>
          <t>ปี 2555</t>
        </is>
      </c>
    </row>
    <row r="46" ht="13.2" customHeight="1" s="49">
      <c r="A46" s="8" t="inlineStr">
        <is>
          <t>44</t>
        </is>
      </c>
      <c r="B46" s="2" t="inlineStr">
        <is>
          <t>วัคซีนไข้หวัดใหญ่</t>
        </is>
      </c>
      <c r="C46" s="2" t="n"/>
      <c r="D46" s="2" t="inlineStr">
        <is>
          <t>Polyethylene Glycol (PEG) Conjugation for extended half-life</t>
        </is>
      </c>
      <c r="E46" s="2" t="inlineStr">
        <is>
          <t>Lyophilization (Freeze-drying) with Trehalose Cryoprotectant</t>
        </is>
      </c>
      <c r="F46" s="2" t="inlineStr">
        <is>
          <t>ELISA Immunoassay for protein quantification</t>
        </is>
      </c>
      <c r="G46" s="2" t="inlineStr">
        <is>
          <t>SDS-PAGE Gel Electrophoresis purity analysis</t>
        </is>
      </c>
      <c r="H46" s="2" t="inlineStr">
        <is>
          <t>Isoelectric Focusing (IEF) for charge heterogeneity</t>
        </is>
      </c>
      <c r="I46" s="8" t="inlineStr">
        <is>
          <t>1</t>
        </is>
      </c>
      <c r="J4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2" t="n"/>
      <c r="L46" s="2" t="inlineStr">
        <is>
          <t>Recombinant DNA</t>
        </is>
      </c>
      <c r="M46" s="2" t="inlineStr">
        <is>
          <t>Product</t>
        </is>
      </c>
      <c r="N46" s="2" t="inlineStr">
        <is>
          <t>ข้อ 2 (PLE_CC1_2555 Day 2.md)</t>
        </is>
      </c>
      <c r="O46" s="2" t="inlineStr">
        <is>
          <t>ข้อสอบจริง</t>
        </is>
      </c>
      <c r="P46" s="2" t="inlineStr">
        <is>
          <t>ปี 2555</t>
        </is>
      </c>
    </row>
    <row r="47" ht="13.2" customHeight="1" s="49">
      <c r="A47" s="8" t="inlineStr">
        <is>
          <t>45</t>
        </is>
      </c>
      <c r="B47" s="2" t="inlineStr">
        <is>
          <t>วัคซีนไข้สมองอักเสบ</t>
        </is>
      </c>
      <c r="C47" s="2" t="n"/>
      <c r="D47" s="2" t="inlineStr">
        <is>
          <t>SDS-PAGE Gel Electrophoresis purity analysis</t>
        </is>
      </c>
      <c r="E47" s="2" t="inlineStr">
        <is>
          <t>Isoelectric Focusing (IEF) for charge heterogeneity</t>
        </is>
      </c>
      <c r="F47" s="2" t="inlineStr">
        <is>
          <t>Immunogenicity Neutralizing Antibody Assay</t>
        </is>
      </c>
      <c r="G47" s="2" t="inlineStr">
        <is>
          <t>Polysorbate 20 surfactant to prevent protein aggregation</t>
        </is>
      </c>
      <c r="H47" s="2" t="inlineStr">
        <is>
          <t>Histidine Buffer pH 6.0 formulation stability</t>
        </is>
      </c>
      <c r="I47" s="8" t="inlineStr">
        <is>
          <t>1</t>
        </is>
      </c>
      <c r="J4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2" t="n"/>
      <c r="L47" s="2" t="inlineStr">
        <is>
          <t>Recombinant DNA</t>
        </is>
      </c>
      <c r="M47" s="2" t="inlineStr">
        <is>
          <t>Product</t>
        </is>
      </c>
      <c r="N47" s="2" t="inlineStr">
        <is>
          <t>ข้อ 3 (PLE_CC1_2555 Day 2.md)</t>
        </is>
      </c>
      <c r="O47" s="2" t="inlineStr">
        <is>
          <t>ข้อสอบจริง</t>
        </is>
      </c>
      <c r="P47" s="2" t="inlineStr">
        <is>
          <t>ปี 2555</t>
        </is>
      </c>
    </row>
    <row r="48" ht="13.2" customHeight="1" s="49">
      <c r="A48" s="8" t="inlineStr">
        <is>
          <t>46</t>
        </is>
      </c>
      <c r="B48" s="2" t="inlineStr">
        <is>
          <t>วัคซีนหัด คางทูม หัดเยอรมัน</t>
        </is>
      </c>
      <c r="C48" s="2" t="n"/>
      <c r="D48" s="2" t="inlineStr">
        <is>
          <t>Polysorbate 20 surfactant to prevent protein aggregation</t>
        </is>
      </c>
      <c r="E48" s="2" t="inlineStr">
        <is>
          <t>Histidine Buffer pH 6.0 formulation stability</t>
        </is>
      </c>
      <c r="F48" s="2" t="inlineStr">
        <is>
          <t>Recombinant DNA Human Insulin in E. coli</t>
        </is>
      </c>
      <c r="G48" s="2" t="inlineStr">
        <is>
          <t>Monoclonal Antibody IgG1 (CHO Cell Expression)</t>
        </is>
      </c>
      <c r="H48" s="2" t="inlineStr">
        <is>
          <t>Polyethylene Glycol (PEG) Conjugation for extended half-life</t>
        </is>
      </c>
      <c r="I48" s="8" t="inlineStr">
        <is>
          <t>1</t>
        </is>
      </c>
      <c r="J48" s="2"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Recombinant DNA</t>
        </is>
      </c>
      <c r="M48" s="2" t="inlineStr">
        <is>
          <t>Product</t>
        </is>
      </c>
      <c r="N48" s="2" t="inlineStr">
        <is>
          <t>ข้อ 4 (PLE_CC1_2555 Day 2.md)</t>
        </is>
      </c>
      <c r="O48" s="2" t="inlineStr">
        <is>
          <t>ข้อสอบจริง</t>
        </is>
      </c>
      <c r="P48" s="2" t="inlineStr">
        <is>
          <t>ปี 2555</t>
        </is>
      </c>
    </row>
    <row r="49" ht="13.2" customHeight="1" s="49">
      <c r="A49" s="8" t="inlineStr">
        <is>
          <t>47</t>
        </is>
      </c>
      <c r="B49" s="2" t="inlineStr">
        <is>
          <t>วัคซีนคอตีบ ไอกรน บาดทะยัก</t>
        </is>
      </c>
      <c r="C49" s="2" t="n"/>
      <c r="D49" s="2" t="inlineStr">
        <is>
          <t>Monoclonal Antibody IgG1 (CHO Cell Expression)</t>
        </is>
      </c>
      <c r="E49" s="2" t="inlineStr">
        <is>
          <t>Polyethylene Glycol (PEG) Conjugation for extended half-life</t>
        </is>
      </c>
      <c r="F49" s="2" t="inlineStr">
        <is>
          <t>Lyophilization (Freeze-drying) with Trehalose Cryoprotectant</t>
        </is>
      </c>
      <c r="G49" s="2" t="inlineStr">
        <is>
          <t>ELISA Immunoassay for protein quantification</t>
        </is>
      </c>
      <c r="H49" s="2" t="inlineStr">
        <is>
          <t>SDS-PAGE Gel Electrophoresis purity analysis</t>
        </is>
      </c>
      <c r="I49" s="8" t="inlineStr">
        <is>
          <t>1</t>
        </is>
      </c>
      <c r="J49" s="2"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Recombinant DNA</t>
        </is>
      </c>
      <c r="M49" s="2" t="inlineStr">
        <is>
          <t>Product</t>
        </is>
      </c>
      <c r="N49" s="2" t="inlineStr">
        <is>
          <t>ข้อ 5 (PLE_CC1_2555 Day 2.md)</t>
        </is>
      </c>
      <c r="O49" s="2" t="inlineStr">
        <is>
          <t>ข้อสอบจริง</t>
        </is>
      </c>
      <c r="P49" s="2" t="inlineStr">
        <is>
          <t>ปี 2555</t>
        </is>
      </c>
    </row>
    <row r="50" ht="13.2" customHeight="1" s="49">
      <c r="A50" s="8" t="inlineStr">
        <is>
          <t>48</t>
        </is>
      </c>
      <c r="B50" s="2" t="inlineStr">
        <is>
          <t>วัคซีน DTP ต้องฉีดห่างกันกี่เดือน</t>
        </is>
      </c>
      <c r="C50" s="2" t="n"/>
      <c r="D50" s="2" t="inlineStr">
        <is>
          <t>ELISA Immunoassay for protein quantification</t>
        </is>
      </c>
      <c r="E50" s="2" t="inlineStr">
        <is>
          <t>SDS-PAGE Gel Electrophoresis purity analysis</t>
        </is>
      </c>
      <c r="F50" s="2" t="inlineStr">
        <is>
          <t>Isoelectric Focusing (IEF) for charge heterogeneity</t>
        </is>
      </c>
      <c r="G50" s="2" t="inlineStr">
        <is>
          <t>Immunogenicity Neutralizing Antibody Assay</t>
        </is>
      </c>
      <c r="H50" s="2" t="inlineStr">
        <is>
          <t>Polysorbate 20 surfactant to prevent protein aggregation</t>
        </is>
      </c>
      <c r="I50" s="8" t="inlineStr">
        <is>
          <t>1</t>
        </is>
      </c>
      <c r="J5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Recombinant DNA</t>
        </is>
      </c>
      <c r="M50" s="2" t="inlineStr">
        <is>
          <t>Product</t>
        </is>
      </c>
      <c r="N50" s="2" t="inlineStr">
        <is>
          <t>ข้อ 4 (PLE_CC1_2555 Day 2.md)</t>
        </is>
      </c>
      <c r="O50" s="2" t="inlineStr">
        <is>
          <t>ข้อสอบจริง</t>
        </is>
      </c>
      <c r="P50" s="2" t="inlineStr">
        <is>
          <t>ปี 2555</t>
        </is>
      </c>
    </row>
    <row r="51" ht="13.2" customHeight="1" s="49">
      <c r="A51" s="8" t="inlineStr">
        <is>
          <t>49</t>
        </is>
      </c>
      <c r="B51" s="2" t="inlineStr">
        <is>
          <t>ให้ข้ามวัคซีนเข็มที่ 3 ไปเลยไม่ต้องฉีด</t>
        </is>
      </c>
      <c r="C51" s="2" t="n"/>
      <c r="D51" s="2" t="inlineStr">
        <is>
          <t>Immunogenicity Neutralizing Antibody Assay</t>
        </is>
      </c>
      <c r="E51" s="2" t="inlineStr">
        <is>
          <t>Polysorbate 20 surfactant to prevent protein aggregation</t>
        </is>
      </c>
      <c r="F51" s="2" t="inlineStr">
        <is>
          <t>Histidine Buffer pH 6.0 formulation stability</t>
        </is>
      </c>
      <c r="G51" s="2" t="inlineStr">
        <is>
          <t>Recombinant DNA Human Insulin in E. coli</t>
        </is>
      </c>
      <c r="H51" s="2" t="inlineStr">
        <is>
          <t>Monoclonal Antibody IgG1 (CHO Cell Expression)</t>
        </is>
      </c>
      <c r="I51" s="8" t="inlineStr">
        <is>
          <t>1</t>
        </is>
      </c>
      <c r="J5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Recombinant DNA</t>
        </is>
      </c>
      <c r="M51" s="2" t="inlineStr">
        <is>
          <t>Product</t>
        </is>
      </c>
      <c r="N51" s="2" t="inlineStr">
        <is>
          <t>ข้อ 4 (PLE_CC1_2555 Day 2.md)</t>
        </is>
      </c>
      <c r="O51" s="2" t="inlineStr">
        <is>
          <t>ข้อสอบจริง</t>
        </is>
      </c>
      <c r="P51" s="2" t="inlineStr">
        <is>
          <t>ปี 2555</t>
        </is>
      </c>
    </row>
    <row r="52" ht="13.2" customHeight="1" s="49">
      <c r="A52" s="8" t="inlineStr">
        <is>
          <t>50</t>
        </is>
      </c>
      <c r="B52" s="2" t="inlineStr">
        <is>
          <t>ไม่ต้องฉีดแล้ว เพราะวัคซีน HepB ฉีดแค่สองเข็ม MCQ 1/2555 by CURx69 page 21</t>
        </is>
      </c>
      <c r="C52" s="2" t="n"/>
      <c r="D52" s="2" t="inlineStr">
        <is>
          <t>Recombinant DNA Human Insulin in E. coli</t>
        </is>
      </c>
      <c r="E52" s="2" t="inlineStr">
        <is>
          <t>Monoclonal Antibody IgG1 (CHO Cell Expression)</t>
        </is>
      </c>
      <c r="F52" s="2" t="inlineStr">
        <is>
          <t>Polyethylene Glycol (PEG) Conjugation for extended half-life</t>
        </is>
      </c>
      <c r="G52" s="2" t="inlineStr">
        <is>
          <t>Lyophilization (Freeze-drying) with Trehalose Cryoprotectant</t>
        </is>
      </c>
      <c r="H52" s="2" t="inlineStr">
        <is>
          <t>ELISA Immunoassay for protein quantification</t>
        </is>
      </c>
      <c r="I52" s="8" t="inlineStr">
        <is>
          <t>1</t>
        </is>
      </c>
      <c r="J5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Recombinant DNA</t>
        </is>
      </c>
      <c r="M52" s="2" t="inlineStr">
        <is>
          <t>Product</t>
        </is>
      </c>
      <c r="N52" s="2" t="inlineStr">
        <is>
          <t>ข้อ 5 (PLE_CC1_2555 Day 2.md)</t>
        </is>
      </c>
      <c r="O52" s="2" t="inlineStr">
        <is>
          <t>ข้อสอบจริง</t>
        </is>
      </c>
      <c r="P52" s="2" t="inlineStr">
        <is>
          <t>ปี 2555</t>
        </is>
      </c>
    </row>
    <row r="53" ht="13.2" customHeight="1" s="49">
      <c r="A53" s="8" t="inlineStr">
        <is>
          <t>51</t>
        </is>
      </c>
      <c r="B53" s="2" t="inlineStr">
        <is>
          <t>การทดสอบวัคซีนโดยฉีดเข้าเส้นเลือดที่หูกระต่ายแล้ววัดไข้เรียกว่า</t>
        </is>
      </c>
      <c r="C53" s="2" t="n"/>
      <c r="D53" s="2" t="inlineStr">
        <is>
          <t>Lyophilization (Freeze-drying) with Trehalose Cryoprotectant</t>
        </is>
      </c>
      <c r="E53" s="2" t="inlineStr">
        <is>
          <t>ELISA Immunoassay for protein quantification</t>
        </is>
      </c>
      <c r="F53" s="2" t="inlineStr">
        <is>
          <t>SDS-PAGE Gel Electrophoresis purity analysis</t>
        </is>
      </c>
      <c r="G53" s="2" t="inlineStr">
        <is>
          <t>Isoelectric Focusing (IEF) for charge heterogeneity</t>
        </is>
      </c>
      <c r="H53" s="2" t="inlineStr">
        <is>
          <t>Immunogenicity Neutralizing Antibody Assay</t>
        </is>
      </c>
      <c r="I53" s="8" t="inlineStr">
        <is>
          <t>1</t>
        </is>
      </c>
      <c r="J5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Recombinant DNA</t>
        </is>
      </c>
      <c r="M53" s="2" t="inlineStr">
        <is>
          <t>Product</t>
        </is>
      </c>
      <c r="N53" s="2" t="inlineStr">
        <is>
          <t>ข้อ 6 (PLE_CC1_2555 Day 2.md)</t>
        </is>
      </c>
      <c r="O53" s="2" t="inlineStr">
        <is>
          <t>ข้อสอบจริง</t>
        </is>
      </c>
      <c r="P53" s="2" t="inlineStr">
        <is>
          <t>ปี 2555</t>
        </is>
      </c>
    </row>
    <row r="54" ht="13.2" customHeight="1" s="49">
      <c r="A54" s="8" t="inlineStr">
        <is>
          <t>52</t>
        </is>
      </c>
      <c r="B54" s="2" t="inlineStr">
        <is>
          <t>ใส่ Alum ใน Vaccine เพื่อเป็น Adjuvant มีประโยชน์อย่างไร</t>
        </is>
      </c>
      <c r="C54" s="2" t="n"/>
      <c r="D54" s="2" t="inlineStr">
        <is>
          <t>Isoelectric Focusing (IEF) for charge heterogeneity</t>
        </is>
      </c>
      <c r="E54" s="2" t="inlineStr">
        <is>
          <t>Immunogenicity Neutralizing Antibody Assay</t>
        </is>
      </c>
      <c r="F54" s="2" t="inlineStr">
        <is>
          <t>Polysorbate 20 surfactant to prevent protein aggregation</t>
        </is>
      </c>
      <c r="G54" s="2" t="inlineStr">
        <is>
          <t>Histidine Buffer pH 6.0 formulation stability</t>
        </is>
      </c>
      <c r="H54" s="2" t="inlineStr">
        <is>
          <t>Recombinant DNA Human Insulin in E. coli</t>
        </is>
      </c>
      <c r="I54" s="8" t="inlineStr">
        <is>
          <t>1</t>
        </is>
      </c>
      <c r="J5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Recombinant DNA</t>
        </is>
      </c>
      <c r="M54" s="2" t="inlineStr">
        <is>
          <t>Product</t>
        </is>
      </c>
      <c r="N54" s="2" t="inlineStr">
        <is>
          <t>ข้อ 7 (PLE_CC1_2555 Day 2.md)</t>
        </is>
      </c>
      <c r="O54" s="2" t="inlineStr">
        <is>
          <t>ข้อสอบจริง</t>
        </is>
      </c>
      <c r="P54" s="2" t="inlineStr">
        <is>
          <t>ปี 2555</t>
        </is>
      </c>
    </row>
    <row r="55" ht="13.2" customHeight="1" s="49">
      <c r="A55" s="8" t="inlineStr">
        <is>
          <t>53</t>
        </is>
      </c>
      <c r="B55" s="2" t="inlineStr">
        <is>
          <t>เพิ่มความคงตัวของวัคซีน</t>
        </is>
      </c>
      <c r="C55" s="2" t="n"/>
      <c r="D55" s="2" t="inlineStr">
        <is>
          <t>Histidine Buffer pH 6.0 formulation stability</t>
        </is>
      </c>
      <c r="E55" s="2" t="inlineStr">
        <is>
          <t>Recombinant DNA Human Insulin in E. coli</t>
        </is>
      </c>
      <c r="F55" s="2" t="inlineStr">
        <is>
          <t>Monoclonal Antibody IgG1 (CHO Cell Expression)</t>
        </is>
      </c>
      <c r="G55" s="2" t="inlineStr">
        <is>
          <t>Polyethylene Glycol (PEG) Conjugation for extended half-life</t>
        </is>
      </c>
      <c r="H55" s="2" t="inlineStr">
        <is>
          <t>Lyophilization (Freeze-drying) with Trehalose Cryoprotectant</t>
        </is>
      </c>
      <c r="I55" s="8" t="inlineStr">
        <is>
          <t>1</t>
        </is>
      </c>
      <c r="J5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Recombinant DNA</t>
        </is>
      </c>
      <c r="M55" s="2" t="inlineStr">
        <is>
          <t>Product</t>
        </is>
      </c>
      <c r="N55" s="2" t="inlineStr">
        <is>
          <t>ข้อ 4 (PLE_CC1_2555 Day 2.md)</t>
        </is>
      </c>
      <c r="O55" s="2" t="inlineStr">
        <is>
          <t>ข้อสอบจริง</t>
        </is>
      </c>
      <c r="P55" s="2" t="inlineStr">
        <is>
          <t>ปี 2555</t>
        </is>
      </c>
    </row>
    <row r="56" ht="13.2" customHeight="1" s="49">
      <c r="A56" s="8" t="inlineStr">
        <is>
          <t>54</t>
        </is>
      </c>
      <c r="B56" s="2" t="inlineStr">
        <is>
          <t>ควรใช้วิธีใดในการทำให้วัคซีนประศจากเชื้อ</t>
        </is>
      </c>
      <c r="C56" s="2" t="n"/>
      <c r="D56" s="2" t="inlineStr">
        <is>
          <t>Polyethylene Glycol (PEG) Conjugation for extended half-life</t>
        </is>
      </c>
      <c r="E56" s="2" t="inlineStr">
        <is>
          <t>Lyophilization (Freeze-drying) with Trehalose Cryoprotectant</t>
        </is>
      </c>
      <c r="F56" s="2" t="inlineStr">
        <is>
          <t>ELISA Immunoassay for protein quantification</t>
        </is>
      </c>
      <c r="G56" s="2" t="inlineStr">
        <is>
          <t>SDS-PAGE Gel Electrophoresis purity analysis</t>
        </is>
      </c>
      <c r="H56" s="2" t="inlineStr">
        <is>
          <t>Isoelectric Focusing (IEF) for charge heterogeneity</t>
        </is>
      </c>
      <c r="I56" s="8" t="inlineStr">
        <is>
          <t>1</t>
        </is>
      </c>
      <c r="J5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Recombinant DNA</t>
        </is>
      </c>
      <c r="M56" s="2" t="inlineStr">
        <is>
          <t>Product</t>
        </is>
      </c>
      <c r="N56" s="2" t="inlineStr">
        <is>
          <t>ข้อ 8 (PLE_CC1_2555 Day 2.md)</t>
        </is>
      </c>
      <c r="O56" s="2" t="inlineStr">
        <is>
          <t>ข้อสอบจริง</t>
        </is>
      </c>
      <c r="P56" s="2" t="inlineStr">
        <is>
          <t>ปี 2555</t>
        </is>
      </c>
    </row>
    <row r="57" ht="13.2" customHeight="1" s="49">
      <c r="A57" s="8" t="inlineStr">
        <is>
          <t>55</t>
        </is>
      </c>
      <c r="B57" s="2" t="inlineStr">
        <is>
          <t>วัคซีนใดต้องเก็บในช่องแช่แข็งเพื่อความคงตัวของวัคซีน</t>
        </is>
      </c>
      <c r="C57" s="2" t="n"/>
      <c r="D57" s="2" t="inlineStr">
        <is>
          <t>SDS-PAGE Gel Electrophoresis purity analysis</t>
        </is>
      </c>
      <c r="E57" s="2" t="inlineStr">
        <is>
          <t>Isoelectric Focusing (IEF) for charge heterogeneity</t>
        </is>
      </c>
      <c r="F57" s="2" t="inlineStr">
        <is>
          <t>Immunogenicity Neutralizing Antibody Assay</t>
        </is>
      </c>
      <c r="G57" s="2" t="inlineStr">
        <is>
          <t>Polysorbate 20 surfactant to prevent protein aggregation</t>
        </is>
      </c>
      <c r="H57" s="2" t="inlineStr">
        <is>
          <t>Histidine Buffer pH 6.0 formulation stability</t>
        </is>
      </c>
      <c r="I57" s="8" t="inlineStr">
        <is>
          <t>1</t>
        </is>
      </c>
      <c r="J5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Recombinant DNA</t>
        </is>
      </c>
      <c r="M57" s="2" t="inlineStr">
        <is>
          <t>Product</t>
        </is>
      </c>
      <c r="N57" s="2" t="inlineStr">
        <is>
          <t>ข้อ 9 (PLE_CC1_2555 Day 2.md)</t>
        </is>
      </c>
      <c r="O57" s="2" t="inlineStr">
        <is>
          <t>ข้อสอบจริง</t>
        </is>
      </c>
      <c r="P57" s="2" t="inlineStr">
        <is>
          <t>ปี 2555</t>
        </is>
      </c>
    </row>
    <row r="58" ht="13.2" customHeight="1" s="49">
      <c r="A58" s="8" t="inlineStr">
        <is>
          <t>56</t>
        </is>
      </c>
      <c r="B58" s="2" t="inlineStr">
        <is>
          <t>วัคซีนที่ฉีดเพื่อป้องกันการติดเชื้อวัณโรคในเด็กแรกเกิดและเป็นวัคซีนพื้นฐานของประเทศไทย ข้อใดกล่าว ถูกต้อง</t>
        </is>
      </c>
      <c r="C58" s="2" t="n"/>
      <c r="D58" s="2" t="inlineStr">
        <is>
          <t>BCG เป็นวัคซีนเชื้อเป็น (live attenuated vaccine)</t>
        </is>
      </c>
      <c r="E58" s="2" t="inlineStr">
        <is>
          <t>BCG เป็นวัคซีนชนิด toxoid</t>
        </is>
      </c>
      <c r="F58" s="2" t="inlineStr">
        <is>
          <t>BCG เป็นวัคซีนชนิด subunit vaccine</t>
        </is>
      </c>
      <c r="G58" s="2" t="inlineStr">
        <is>
          <t>Tuberculin เป็นวัคซีนเชื้อเป็น (live attenuated vaccine)</t>
        </is>
      </c>
      <c r="H58" s="2" t="inlineStr">
        <is>
          <t>Tuberculin เป็นวัคซีนชนิด toxoid</t>
        </is>
      </c>
      <c r="I58" s="8" t="inlineStr">
        <is>
          <t>1</t>
        </is>
      </c>
      <c r="J58" s="2"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Recombinant DNA</t>
        </is>
      </c>
      <c r="M58" s="2" t="inlineStr">
        <is>
          <t>Product</t>
        </is>
      </c>
      <c r="N58" s="2" t="inlineStr">
        <is>
          <t>ข้อ 12 (PLE_CC1_Practice_Exam.md)</t>
        </is>
      </c>
      <c r="O58" s="2" t="inlineStr">
        <is>
          <t>Mock</t>
        </is>
      </c>
      <c r="P58" s="2" t="inlineStr">
        <is>
          <t>Mock สภาเภสัชฯ Practice</t>
        </is>
      </c>
    </row>
    <row r="59" ht="13.2" customHeight="1" s="49">
      <c r="A59" s="8" t="inlineStr">
        <is>
          <t>57</t>
        </is>
      </c>
      <c r="B59" s="2" t="inlineStr">
        <is>
          <t>วัคซีนใดไม่ได้จัดอยู่ในระบบ expanded program of immunization of Thailand</t>
        </is>
      </c>
      <c r="C59" s="2" t="n"/>
      <c r="D59" s="2" t="inlineStr">
        <is>
          <t>BCG</t>
        </is>
      </c>
      <c r="E59" s="2" t="inlineStr">
        <is>
          <t>OPV</t>
        </is>
      </c>
      <c r="F59" s="2" t="inlineStr">
        <is>
          <t>DTwP</t>
        </is>
      </c>
      <c r="G59" s="2" t="inlineStr">
        <is>
          <t>MMR</t>
        </is>
      </c>
      <c r="H59" s="2" t="inlineStr">
        <is>
          <t>IPV</t>
        </is>
      </c>
      <c r="I59" s="8" t="inlineStr">
        <is>
          <t>1</t>
        </is>
      </c>
      <c r="J59" s="2"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Recombinant DNA</t>
        </is>
      </c>
      <c r="M59" s="2" t="inlineStr">
        <is>
          <t>Product</t>
        </is>
      </c>
      <c r="N59" s="2" t="inlineStr">
        <is>
          <t>ข้อ 31 (PLE_CC1_Practice_Exam.md)</t>
        </is>
      </c>
      <c r="O59" s="2" t="inlineStr">
        <is>
          <t>Mock</t>
        </is>
      </c>
      <c r="P59" s="2" t="inlineStr">
        <is>
          <t>Mock สภาเภสัชฯ Practice</t>
        </is>
      </c>
    </row>
    <row r="60" ht="13.2" customHeight="1" s="49">
      <c r="A60" s="8" t="inlineStr">
        <is>
          <t>58</t>
        </is>
      </c>
      <c r="B60" s="2" t="inlineStr">
        <is>
          <t>ข้อใดถูกต้องเกี่ยวกับข้อควรทราบก่อนให้วัคซีน</t>
        </is>
      </c>
      <c r="C60" s="2" t="n"/>
      <c r="D60" s="2" t="inlineStr">
        <is>
          <t>ไม่ให้วัคซีนเชื้อเป็นในหญิงตั้งครรภ์</t>
        </is>
      </c>
      <c r="E60" s="2" t="inlineStr">
        <is>
          <t>Dose ของวัคซีนขึ้นกับน้ำหนัก</t>
        </is>
      </c>
      <c r="F60" s="2" t="inlineStr">
        <is>
          <t>ส่วนประกอบในวัคซีนมีผลน้อยมากต่อการพิจารณาในการให้วัคซีน</t>
        </is>
      </c>
      <c r="G60" s="2" t="inlineStr">
        <is>
          <t>เด็กที่เคยชักจากไข้สูง สามารถให้วัคซีนได้ตามปกติ</t>
        </is>
      </c>
      <c r="H60" s="2" t="inlineStr">
        <is>
          <t>ในผู้ป่วยที่มีภูมิคุ้มกันบกพร่องควรให้วัคซีนเชื้อเป็นเพราะสามารถกระตุ้นภูมิคุ้มกัืนได้ดี</t>
        </is>
      </c>
      <c r="I60" s="8" t="inlineStr">
        <is>
          <t>1</t>
        </is>
      </c>
      <c r="J60" s="2"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Recombinant DNA</t>
        </is>
      </c>
      <c r="M60" s="2" t="inlineStr">
        <is>
          <t>Product</t>
        </is>
      </c>
      <c r="N60" s="2" t="inlineStr">
        <is>
          <t>ข้อ 32 (PLE_CC1_Practice_Exam.md)</t>
        </is>
      </c>
      <c r="O60" s="2" t="inlineStr">
        <is>
          <t>Mock</t>
        </is>
      </c>
      <c r="P60" s="2" t="inlineStr">
        <is>
          <t>Mock สภาเภสัชฯ Practice</t>
        </is>
      </c>
    </row>
    <row r="61" ht="13.2" customHeight="1" s="49">
      <c r="A61" s="8" t="inlineStr">
        <is>
          <t>59</t>
        </is>
      </c>
      <c r="B61" s="2" t="inlineStr">
        <is>
          <t>ข้อใดต่อไปนี้ไม่ใช่ Adverse event following immunization (AEFI) หรือภาวะผิดปกติที่เกิดขึ้นจาก การฉีดวัคซีน</t>
        </is>
      </c>
      <c r="C61" s="2" t="n"/>
      <c r="D61" s="2" t="inlineStr">
        <is>
          <t>Programmatic error</t>
        </is>
      </c>
      <c r="E61" s="2" t="inlineStr">
        <is>
          <t>Vaccine reaction</t>
        </is>
      </c>
      <c r="F61" s="2" t="inlineStr">
        <is>
          <t>Coincidental events</t>
        </is>
      </c>
      <c r="G61" s="2" t="inlineStr">
        <is>
          <t>Injection reaction 237 โรคระบบภูมิคุ้มกัน นักศึกษาเภสัชศาสตร์ชั้นปีที่ 4 รุ่นที่ 22</t>
        </is>
      </c>
      <c r="H61" s="2" t="inlineStr">
        <is>
          <t>Resistant reaction</t>
        </is>
      </c>
      <c r="I61" s="8" t="inlineStr">
        <is>
          <t>1</t>
        </is>
      </c>
      <c r="J61" s="2"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Recombinant DNA</t>
        </is>
      </c>
      <c r="M61" s="2" t="inlineStr">
        <is>
          <t>Product</t>
        </is>
      </c>
      <c r="N61" s="2" t="inlineStr">
        <is>
          <t>ข้อ 37 (PLE_CC1_Practice_Exam.md)</t>
        </is>
      </c>
      <c r="O61" s="2" t="inlineStr">
        <is>
          <t>Mock</t>
        </is>
      </c>
      <c r="P61" s="2" t="inlineStr">
        <is>
          <t>Mock สภาเภสัชฯ Practice</t>
        </is>
      </c>
    </row>
    <row r="62" ht="13.2" customHeight="1" s="49">
      <c r="A62" s="8" t="inlineStr">
        <is>
          <t>60</t>
        </is>
      </c>
      <c r="B62" s="2"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2" t="n"/>
      <c r="D62" s="2" t="inlineStr">
        <is>
          <t>นางปอยฝ้ายไม่สามารถรับการฉีดวัคซีนได้ เนื่องจากจะเกิดอันตรายต่อทารกในครรภ์</t>
        </is>
      </c>
      <c r="E62" s="2" t="inlineStr">
        <is>
          <t>นางปอยฝ้ายต้องรับการฉีดวัคซีน 3 คั้ง โดยจะฉีดเดือนที่ 1,2,6</t>
        </is>
      </c>
      <c r="F62" s="2" t="inlineStr">
        <is>
          <t>นางปอยฝ้ายควรได้รีบการฉีดวัคซีน 3 ครั้ง โดยจะฉีดเดือนที่ 0,1,7</t>
        </is>
      </c>
      <c r="G62" s="2" t="inlineStr">
        <is>
          <t>นางปอยฝ้ายควรได้รับการฉีดวัคซีน 1 ครั้ง ระหว่างตั้งครรภ์</t>
        </is>
      </c>
      <c r="H62" s="2" t="inlineStr">
        <is>
          <t>นางปอยฝ้ายควรได้รับการฉีดวัคซีน 2 ครั้ง หลังตั้งครรภ์ทันที 1 เข็มและเข็มที่ 2 ห่างจากเข็มแรก 1 เดือน</t>
        </is>
      </c>
      <c r="I62" s="8" t="inlineStr">
        <is>
          <t>1</t>
        </is>
      </c>
      <c r="J62" s="2"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Recombinant DNA</t>
        </is>
      </c>
      <c r="M62" s="2" t="inlineStr">
        <is>
          <t>Product</t>
        </is>
      </c>
      <c r="N62" s="2" t="inlineStr">
        <is>
          <t>ข้อ 38 (PLE_CC1_Practice_Exam.md)</t>
        </is>
      </c>
      <c r="O62" s="2" t="inlineStr">
        <is>
          <t>Mock</t>
        </is>
      </c>
      <c r="P62" s="2" t="inlineStr">
        <is>
          <t>Mock สภาเภสัชฯ Practice</t>
        </is>
      </c>
    </row>
    <row r="63" ht="13.2" customHeight="1" s="49">
      <c r="A63" s="8" t="inlineStr">
        <is>
          <t>61</t>
        </is>
      </c>
      <c r="B63" s="2"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2" t="n"/>
      <c r="D63" s="2" t="inlineStr">
        <is>
          <t>ฉีด HBV , ได้รับวัคซีนไวรัสตับอักเสบบีในเดือน 0-1-6</t>
        </is>
      </c>
      <c r="E63" s="2" t="inlineStr">
        <is>
          <t>ฉีด HBIG , ได้รับวัคซีนไวรัสตับอักเสบบีในเดือน 0-1-6</t>
        </is>
      </c>
      <c r="F63" s="2" t="inlineStr">
        <is>
          <t>ฉีด HBIG , ได้รับวัคซีนไวรัสตับอักเสบบีในเดือน 0-3-6</t>
        </is>
      </c>
      <c r="G63" s="2" t="inlineStr">
        <is>
          <t>ฉีด DTP-HB , ได้รับวัคซีนไวรัสตับอักเสบบีในเดือน 0-1-6</t>
        </is>
      </c>
      <c r="H63" s="2" t="inlineStr">
        <is>
          <t>ฉีด DTP-HBIG , ได้รับวัคซีนไวรัสตับอักเสบบีในเดือน 0-3-6 สถานการณ์ที่2 จากวัคซีนที่เลือกในข้อแรก เป็นวัคซีนเชื้อชนิดใด</t>
        </is>
      </c>
      <c r="I63" s="8" t="inlineStr">
        <is>
          <t>3</t>
        </is>
      </c>
      <c r="J63" s="2"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Recombinant DNA</t>
        </is>
      </c>
      <c r="M63" s="2" t="inlineStr">
        <is>
          <t>Product</t>
        </is>
      </c>
      <c r="N63" s="2" t="inlineStr">
        <is>
          <t>ข้อ 39 (PLE_CC1_Practice_Exam.md)</t>
        </is>
      </c>
      <c r="O63" s="2" t="inlineStr">
        <is>
          <t>Mock</t>
        </is>
      </c>
      <c r="P63" s="2" t="inlineStr">
        <is>
          <t>Mock สภาเภสัชฯ Practice</t>
        </is>
      </c>
    </row>
    <row r="64" ht="13.2" customHeight="1" s="49">
      <c r="A64" s="8" t="inlineStr">
        <is>
          <t>62</t>
        </is>
      </c>
      <c r="B64" s="2"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2" t="n"/>
      <c r="D64" s="2" t="inlineStr">
        <is>
          <t>Isoelectric Focusing (IEF) for charge heterogeneity</t>
        </is>
      </c>
      <c r="E64" s="2" t="inlineStr">
        <is>
          <t>Immunogenicity Neutralizing Antibody Assay</t>
        </is>
      </c>
      <c r="F64" s="2" t="inlineStr">
        <is>
          <t>Polysorbate 20 surfactant to prevent protein aggregation</t>
        </is>
      </c>
      <c r="G64" s="2" t="inlineStr">
        <is>
          <t>Histidine Buffer pH 6.0 formulation stability</t>
        </is>
      </c>
      <c r="H64" s="2" t="inlineStr">
        <is>
          <t>Recombinant DNA Human Insulin in E. coli</t>
        </is>
      </c>
      <c r="I64" s="8" t="inlineStr">
        <is>
          <t>1</t>
        </is>
      </c>
      <c r="J6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Recombinant DNA</t>
        </is>
      </c>
      <c r="M64" s="2" t="inlineStr">
        <is>
          <t>Product</t>
        </is>
      </c>
      <c r="N64" s="2" t="inlineStr">
        <is>
          <t>ข้อ 36 (PLE_CC1_Practice_Exam.md)</t>
        </is>
      </c>
      <c r="O64" s="2" t="inlineStr">
        <is>
          <t>Mock</t>
        </is>
      </c>
      <c r="P64" s="2" t="inlineStr">
        <is>
          <t>Mock สภาเภสัชฯ Practice</t>
        </is>
      </c>
    </row>
    <row r="65" ht="13.2" customHeight="1" s="49">
      <c r="A65" s="8" t="inlineStr">
        <is>
          <t>63</t>
        </is>
      </c>
      <c r="B65" s="2"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2" t="n"/>
      <c r="D65" s="2" t="inlineStr">
        <is>
          <t>Histidine Buffer pH 6.0 formulation stability</t>
        </is>
      </c>
      <c r="E65" s="2" t="inlineStr">
        <is>
          <t>Recombinant DNA Human Insulin in E. coli</t>
        </is>
      </c>
      <c r="F65" s="2" t="inlineStr">
        <is>
          <t>Monoclonal Antibody IgG1 (CHO Cell Expression)</t>
        </is>
      </c>
      <c r="G65" s="2" t="inlineStr">
        <is>
          <t>Polyethylene Glycol (PEG) Conjugation for extended half-life</t>
        </is>
      </c>
      <c r="H65" s="2" t="inlineStr">
        <is>
          <t>Lyophilization (Freeze-drying) with Trehalose Cryoprotectant</t>
        </is>
      </c>
      <c r="I65" s="8" t="inlineStr">
        <is>
          <t>5</t>
        </is>
      </c>
      <c r="J65" s="2"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Recombinant DNA</t>
        </is>
      </c>
      <c r="M65" s="2" t="inlineStr">
        <is>
          <t>Product</t>
        </is>
      </c>
      <c r="N65" s="2" t="inlineStr">
        <is>
          <t>ข้อ 37 (PLE_CC1_Practice_Exam.md)</t>
        </is>
      </c>
      <c r="O65" s="2" t="inlineStr">
        <is>
          <t>Mock</t>
        </is>
      </c>
      <c r="P65" s="2" t="inlineStr">
        <is>
          <t>Mock สภาเภสัชฯ Practice</t>
        </is>
      </c>
    </row>
    <row r="66" ht="13.2" customHeight="1" s="49">
      <c r="A66" s="8" t="inlineStr">
        <is>
          <t>64</t>
        </is>
      </c>
      <c r="B66" s="2"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2" t="n"/>
      <c r="D66" s="2" t="inlineStr">
        <is>
          <t>Polyethylene Glycol (PEG) Conjugation for extended half-life</t>
        </is>
      </c>
      <c r="E66" s="2" t="inlineStr">
        <is>
          <t>Lyophilization (Freeze-drying) with Trehalose Cryoprotectant</t>
        </is>
      </c>
      <c r="F66" s="2" t="inlineStr">
        <is>
          <t>ELISA Immunoassay for protein quantification</t>
        </is>
      </c>
      <c r="G66" s="2" t="inlineStr">
        <is>
          <t>SDS-PAGE Gel Electrophoresis purity analysis</t>
        </is>
      </c>
      <c r="H66" s="2" t="inlineStr">
        <is>
          <t>Isoelectric Focusing (IEF) for charge heterogeneity</t>
        </is>
      </c>
      <c r="I66" s="8" t="inlineStr">
        <is>
          <t>3</t>
        </is>
      </c>
      <c r="J66" s="2"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Recombinant DNA</t>
        </is>
      </c>
      <c r="M66" s="2" t="inlineStr">
        <is>
          <t>Product</t>
        </is>
      </c>
      <c r="N66" s="2" t="inlineStr">
        <is>
          <t>ข้อ 38 (PLE_CC1_Practice_Exam.md)</t>
        </is>
      </c>
      <c r="O66" s="2" t="inlineStr">
        <is>
          <t>Mock</t>
        </is>
      </c>
      <c r="P66" s="2" t="inlineStr">
        <is>
          <t>Mock สภาเภสัชฯ Practice</t>
        </is>
      </c>
    </row>
    <row r="67" ht="13.2" customHeight="1" s="49">
      <c r="A67" s="8" t="inlineStr">
        <is>
          <t>65</t>
        </is>
      </c>
      <c r="B67" s="2" t="inlineStr">
        <is>
          <t>ลดปัญหาการดื้อยา เรื่องที่ 11 Vaccine</t>
        </is>
      </c>
      <c r="C67" s="2" t="n"/>
      <c r="D67" s="2" t="inlineStr">
        <is>
          <t>SDS-PAGE Gel Electrophoresis purity analysis</t>
        </is>
      </c>
      <c r="E67" s="2" t="inlineStr">
        <is>
          <t>Isoelectric Focusing (IEF) for charge heterogeneity</t>
        </is>
      </c>
      <c r="F67" s="2" t="inlineStr">
        <is>
          <t>Immunogenicity Neutralizing Antibody Assay</t>
        </is>
      </c>
      <c r="G67" s="2" t="inlineStr">
        <is>
          <t>Polysorbate 20 surfactant to prevent protein aggregation</t>
        </is>
      </c>
      <c r="H67" s="2" t="inlineStr">
        <is>
          <t>Histidine Buffer pH 6.0 formulation stability</t>
        </is>
      </c>
      <c r="I67" s="8" t="inlineStr">
        <is>
          <t>1</t>
        </is>
      </c>
      <c r="J67" s="2"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Recombinant DNA</t>
        </is>
      </c>
      <c r="M67" s="2" t="inlineStr">
        <is>
          <t>Product</t>
        </is>
      </c>
      <c r="N67" s="2" t="inlineStr">
        <is>
          <t>ข้อ 5 (PLE_CC1_Key_Rx20_UBU.md)</t>
        </is>
      </c>
      <c r="O67" s="2" t="inlineStr">
        <is>
          <t>Mock</t>
        </is>
      </c>
      <c r="P67" s="2" t="inlineStr">
        <is>
          <t>Mock Rx20 UBU</t>
        </is>
      </c>
    </row>
    <row r="68" ht="13.2" customHeight="1" s="49">
      <c r="A68" s="8" t="inlineStr">
        <is>
          <t>66</t>
        </is>
      </c>
      <c r="B68" s="2" t="inlineStr">
        <is>
          <t>เด็กแรกเกิดต้องฉีดวัคซีนป้องกันโรคอะไร</t>
        </is>
      </c>
      <c r="C68" s="2" t="n"/>
      <c r="D68" s="2" t="inlineStr">
        <is>
          <t>Polysorbate 20 surfactant to prevent protein aggregation</t>
        </is>
      </c>
      <c r="E68" s="2" t="inlineStr">
        <is>
          <t>Histidine Buffer pH 6.0 formulation stability</t>
        </is>
      </c>
      <c r="F68" s="2" t="inlineStr">
        <is>
          <t>Recombinant DNA Human Insulin in E. coli</t>
        </is>
      </c>
      <c r="G68" s="2" t="inlineStr">
        <is>
          <t>Monoclonal Antibody IgG1 (CHO Cell Expression)</t>
        </is>
      </c>
      <c r="H68" s="2" t="inlineStr">
        <is>
          <t>Polyethylene Glycol (PEG) Conjugation for extended half-life</t>
        </is>
      </c>
      <c r="I68" s="8" t="inlineStr">
        <is>
          <t>1</t>
        </is>
      </c>
      <c r="J6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Recombinant DNA</t>
        </is>
      </c>
      <c r="M68" s="2" t="inlineStr">
        <is>
          <t>Product</t>
        </is>
      </c>
      <c r="N68" s="2" t="inlineStr">
        <is>
          <t>ข้อ 1 (PLE_CC1_Key_Rx20_UBU.md)</t>
        </is>
      </c>
      <c r="O68" s="2" t="inlineStr">
        <is>
          <t>Mock</t>
        </is>
      </c>
      <c r="P68" s="2" t="inlineStr">
        <is>
          <t>Mock Rx20 UBU</t>
        </is>
      </c>
    </row>
    <row r="69" ht="13.2" customHeight="1" s="49">
      <c r="A69" s="8" t="inlineStr">
        <is>
          <t>67</t>
        </is>
      </c>
      <c r="B69" s="2" t="inlineStr">
        <is>
          <t>วัคซีน DTP ต้องฉีดห่างกันกี่เดือน</t>
        </is>
      </c>
      <c r="C69" s="2" t="n"/>
      <c r="D69" s="2" t="inlineStr">
        <is>
          <t>Monoclonal Antibody IgG1 (CHO Cell Expression)</t>
        </is>
      </c>
      <c r="E69" s="2" t="inlineStr">
        <is>
          <t>Polyethylene Glycol (PEG) Conjugation for extended half-life</t>
        </is>
      </c>
      <c r="F69" s="2" t="inlineStr">
        <is>
          <t>Lyophilization (Freeze-drying) with Trehalose Cryoprotectant</t>
        </is>
      </c>
      <c r="G69" s="2" t="inlineStr">
        <is>
          <t>ELISA Immunoassay for protein quantification</t>
        </is>
      </c>
      <c r="H69" s="2" t="inlineStr">
        <is>
          <t>SDS-PAGE Gel Electrophoresis purity analysis</t>
        </is>
      </c>
      <c r="I69" s="8" t="inlineStr">
        <is>
          <t>1</t>
        </is>
      </c>
      <c r="J6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2" t="n"/>
      <c r="L69" s="2" t="inlineStr">
        <is>
          <t>Recombinant DNA</t>
        </is>
      </c>
      <c r="M69" s="2" t="inlineStr">
        <is>
          <t>Product</t>
        </is>
      </c>
      <c r="N69" s="2" t="inlineStr">
        <is>
          <t>ข้อ 4 (PLE_CC1_Key_Rx20_UBU.md)</t>
        </is>
      </c>
      <c r="O69" s="2" t="inlineStr">
        <is>
          <t>Mock</t>
        </is>
      </c>
      <c r="P69" s="2" t="inlineStr">
        <is>
          <t>Mock Rx20 UBU</t>
        </is>
      </c>
    </row>
    <row r="70" ht="13.2" customHeight="1" s="49">
      <c r="A70" s="8" t="inlineStr">
        <is>
          <t>68</t>
        </is>
      </c>
      <c r="B70" s="2"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2" t="n"/>
      <c r="D70" s="2" t="inlineStr">
        <is>
          <t>ELISA Immunoassay for protein quantification</t>
        </is>
      </c>
      <c r="E70" s="2" t="inlineStr">
        <is>
          <t>SDS-PAGE Gel Electrophoresis purity analysis</t>
        </is>
      </c>
      <c r="F70" s="2" t="inlineStr">
        <is>
          <t>Isoelectric Focusing (IEF) for charge heterogeneity</t>
        </is>
      </c>
      <c r="G70" s="2" t="inlineStr">
        <is>
          <t>Immunogenicity Neutralizing Antibody Assay</t>
        </is>
      </c>
      <c r="H70" s="2" t="inlineStr">
        <is>
          <t>Polysorbate 20 surfactant to prevent protein aggregation</t>
        </is>
      </c>
      <c r="I70" s="8" t="inlineStr">
        <is>
          <t>1</t>
        </is>
      </c>
      <c r="J7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2" t="n"/>
      <c r="L70" s="2" t="inlineStr">
        <is>
          <t>Recombinant DNA</t>
        </is>
      </c>
      <c r="M70" s="2" t="inlineStr">
        <is>
          <t>Product</t>
        </is>
      </c>
      <c r="N70" s="2" t="inlineStr">
        <is>
          <t>ข้อ 5 (PLE_CC1_Key_Rx20_UBU.md)</t>
        </is>
      </c>
      <c r="O70" s="2" t="inlineStr">
        <is>
          <t>Mock</t>
        </is>
      </c>
      <c r="P70" s="2" t="inlineStr">
        <is>
          <t>Mock Rx20 UBU</t>
        </is>
      </c>
    </row>
    <row r="71" ht="13.2" customHeight="1" s="49">
      <c r="A71" s="8" t="inlineStr">
        <is>
          <t>69</t>
        </is>
      </c>
      <c r="B71" s="2" t="inlineStr">
        <is>
          <t>ใส่ Alum ใน Vaccine เพื่อเป็น Adjuvant มีประโยชน์อย่างไร</t>
        </is>
      </c>
      <c r="C71" s="2" t="n"/>
      <c r="D71" s="2" t="inlineStr">
        <is>
          <t>Immunogenicity Neutralizing Antibody Assay</t>
        </is>
      </c>
      <c r="E71" s="2" t="inlineStr">
        <is>
          <t>Polysorbate 20 surfactant to prevent protein aggregation</t>
        </is>
      </c>
      <c r="F71" s="2" t="inlineStr">
        <is>
          <t>Histidine Buffer pH 6.0 formulation stability</t>
        </is>
      </c>
      <c r="G71" s="2" t="inlineStr">
        <is>
          <t>Recombinant DNA Human Insulin in E. coli</t>
        </is>
      </c>
      <c r="H71" s="2" t="inlineStr">
        <is>
          <t>Monoclonal Antibody IgG1 (CHO Cell Expression)</t>
        </is>
      </c>
      <c r="I71" s="8" t="inlineStr">
        <is>
          <t>1</t>
        </is>
      </c>
      <c r="J7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2" t="n"/>
      <c r="L71" s="2" t="inlineStr">
        <is>
          <t>Recombinant DNA</t>
        </is>
      </c>
      <c r="M71" s="2" t="inlineStr">
        <is>
          <t>Product</t>
        </is>
      </c>
      <c r="N71" s="2" t="inlineStr">
        <is>
          <t>ข้อ 7 (PLE_CC1_Key_Rx20_UBU.md)</t>
        </is>
      </c>
      <c r="O71" s="2" t="inlineStr">
        <is>
          <t>Mock</t>
        </is>
      </c>
      <c r="P71" s="2" t="inlineStr">
        <is>
          <t>Mock Rx20 UBU</t>
        </is>
      </c>
    </row>
    <row r="72" ht="13.2" customHeight="1" s="49">
      <c r="A72" s="8" t="inlineStr">
        <is>
          <t>70</t>
        </is>
      </c>
      <c r="B72" s="2"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2" t="n"/>
      <c r="D72" s="2" t="inlineStr">
        <is>
          <t>Recombinant DNA Human Insulin in E. coli</t>
        </is>
      </c>
      <c r="E72" s="2" t="inlineStr">
        <is>
          <t>Monoclonal Antibody IgG1 (CHO Cell Expression)</t>
        </is>
      </c>
      <c r="F72" s="2" t="inlineStr">
        <is>
          <t>Polyethylene Glycol (PEG) Conjugation for extended half-life</t>
        </is>
      </c>
      <c r="G72" s="2" t="inlineStr">
        <is>
          <t>Lyophilization (Freeze-drying) with Trehalose Cryoprotectant</t>
        </is>
      </c>
      <c r="H72" s="2" t="inlineStr">
        <is>
          <t>ELISA Immunoassay for protein quantification</t>
        </is>
      </c>
      <c r="I72" s="8" t="inlineStr">
        <is>
          <t>1</t>
        </is>
      </c>
      <c r="J7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2" t="n"/>
      <c r="L72" s="2" t="inlineStr">
        <is>
          <t>Recombinant DNA</t>
        </is>
      </c>
      <c r="M72" s="2" t="inlineStr">
        <is>
          <t>Product</t>
        </is>
      </c>
      <c r="N72" s="2" t="inlineStr">
        <is>
          <t>ข้อ 5 (PLE_CC1_Key_Rx20_UBU.md)</t>
        </is>
      </c>
      <c r="O72" s="2" t="inlineStr">
        <is>
          <t>Mock</t>
        </is>
      </c>
      <c r="P72" s="2" t="inlineStr">
        <is>
          <t>Mock Rx20 UBU</t>
        </is>
      </c>
    </row>
    <row r="73" ht="13.2" customHeight="1" s="49">
      <c r="A73" s="8" t="inlineStr">
        <is>
          <t>71</t>
        </is>
      </c>
      <c r="B73" s="2" t="inlineStr">
        <is>
          <t>ควรใช้วิธีใดในการทาให้วัคซีนประศจากเชื้อ</t>
        </is>
      </c>
      <c r="C73" s="2" t="n"/>
      <c r="D73" s="2" t="inlineStr">
        <is>
          <t>Lyophilization (Freeze-drying) with Trehalose Cryoprotectant</t>
        </is>
      </c>
      <c r="E73" s="2" t="inlineStr">
        <is>
          <t>ELISA Immunoassay for protein quantification</t>
        </is>
      </c>
      <c r="F73" s="2" t="inlineStr">
        <is>
          <t>SDS-PAGE Gel Electrophoresis purity analysis</t>
        </is>
      </c>
      <c r="G73" s="2" t="inlineStr">
        <is>
          <t>Isoelectric Focusing (IEF) for charge heterogeneity</t>
        </is>
      </c>
      <c r="H73" s="2" t="inlineStr">
        <is>
          <t>Immunogenicity Neutralizing Antibody Assay</t>
        </is>
      </c>
      <c r="I73" s="8" t="inlineStr">
        <is>
          <t>1</t>
        </is>
      </c>
      <c r="J7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2" t="n"/>
      <c r="L73" s="2" t="inlineStr">
        <is>
          <t>Recombinant DNA</t>
        </is>
      </c>
      <c r="M73" s="2" t="inlineStr">
        <is>
          <t>Product</t>
        </is>
      </c>
      <c r="N73" s="2" t="inlineStr">
        <is>
          <t>ข้อ 8 (PLE_CC1_Key_Rx20_UBU.md)</t>
        </is>
      </c>
      <c r="O73" s="2" t="inlineStr">
        <is>
          <t>Mock</t>
        </is>
      </c>
      <c r="P73" s="2" t="inlineStr">
        <is>
          <t>Mock Rx20 UBU</t>
        </is>
      </c>
    </row>
    <row r="74" ht="13.2" customHeight="1" s="49">
      <c r="A74" s="8" t="inlineStr">
        <is>
          <t>72</t>
        </is>
      </c>
      <c r="B74" s="2" t="inlineStr">
        <is>
          <t>วัคซีนใดต้องเก็บในช่องแช่แข็งเพื่อความคงตัวของวัคซีน</t>
        </is>
      </c>
      <c r="C74" s="2" t="n"/>
      <c r="D74" s="2" t="inlineStr">
        <is>
          <t>Isoelectric Focusing (IEF) for charge heterogeneity</t>
        </is>
      </c>
      <c r="E74" s="2" t="inlineStr">
        <is>
          <t>Immunogenicity Neutralizing Antibody Assay</t>
        </is>
      </c>
      <c r="F74" s="2" t="inlineStr">
        <is>
          <t>Polysorbate 20 surfactant to prevent protein aggregation</t>
        </is>
      </c>
      <c r="G74" s="2" t="inlineStr">
        <is>
          <t>Histidine Buffer pH 6.0 formulation stability</t>
        </is>
      </c>
      <c r="H74" s="2" t="inlineStr">
        <is>
          <t>Recombinant DNA Human Insulin in E. coli</t>
        </is>
      </c>
      <c r="I74" s="8" t="inlineStr">
        <is>
          <t>1</t>
        </is>
      </c>
      <c r="J7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2" t="n"/>
      <c r="L74" s="2" t="inlineStr">
        <is>
          <t>Recombinant DNA</t>
        </is>
      </c>
      <c r="M74" s="2" t="inlineStr">
        <is>
          <t>Product</t>
        </is>
      </c>
      <c r="N74" s="2" t="inlineStr">
        <is>
          <t>ข้อ 9 (PLE_CC1_Key_Rx20_UBU.md)</t>
        </is>
      </c>
      <c r="O74" s="2" t="inlineStr">
        <is>
          <t>Mock</t>
        </is>
      </c>
      <c r="P74" s="2" t="inlineStr">
        <is>
          <t>Mock Rx20 UBU</t>
        </is>
      </c>
    </row>
    <row r="75" ht="13.2" customHeight="1" s="49">
      <c r="A75" s="8" t="inlineStr">
        <is>
          <t>73</t>
        </is>
      </c>
      <c r="B75" s="2" t="inlineStr">
        <is>
          <t>วัคซีน BCG เปญนชนิดใด</t>
        </is>
      </c>
      <c r="C75" s="2" t="n"/>
      <c r="D75" s="2" t="inlineStr">
        <is>
          <t>เชื้อเปญน</t>
        </is>
      </c>
      <c r="E75" s="2" t="inlineStr">
        <is>
          <t>เชื้อตายทั้งหมด</t>
        </is>
      </c>
      <c r="F75" s="2" t="inlineStr">
        <is>
          <t>เชื้อตายบางสGวน</t>
        </is>
      </c>
      <c r="G75" s="2" t="inlineStr">
        <is>
          <t>toxoid</t>
        </is>
      </c>
      <c r="H75" s="2" t="inlineStr">
        <is>
          <t>Lyophilization (Freeze-drying) with Trehalose Cryoprotectant</t>
        </is>
      </c>
      <c r="I75" s="8" t="inlineStr">
        <is>
          <t>2</t>
        </is>
      </c>
      <c r="J75" s="2"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2" t="n"/>
      <c r="L75" s="2" t="inlineStr">
        <is>
          <t>Recombinant DNA</t>
        </is>
      </c>
      <c r="M75" s="2" t="inlineStr">
        <is>
          <t>Product</t>
        </is>
      </c>
      <c r="N75" s="2" t="inlineStr">
        <is>
          <t>ข้อ 16 (PLE_CC1_Key_Rx20_UBU.md)</t>
        </is>
      </c>
      <c r="O75" s="2" t="inlineStr">
        <is>
          <t>Mock</t>
        </is>
      </c>
      <c r="P75" s="2" t="inlineStr">
        <is>
          <t>Mock Rx20 UBU</t>
        </is>
      </c>
    </row>
    <row r="76" ht="13.2" customHeight="1" s="49">
      <c r="A76" s="8" t="inlineStr">
        <is>
          <t>74</t>
        </is>
      </c>
      <c r="B76" s="2" t="inlineStr">
        <is>
          <t>วัคซีนใดที่ฉีดในเด็กอายุ 6 เดือน</t>
        </is>
      </c>
      <c r="C76" s="2" t="n"/>
      <c r="D76" s="2" t="inlineStr">
        <is>
          <t>HBV, DTP, OPV</t>
        </is>
      </c>
      <c r="E76" s="2" t="inlineStr">
        <is>
          <t>MMR, DTP, OPV</t>
        </is>
      </c>
      <c r="F76" s="2" t="inlineStr">
        <is>
          <t>BCG, HBV, DTP</t>
        </is>
      </c>
      <c r="G76" s="2" t="inlineStr">
        <is>
          <t>JE, HBV, OPV</t>
        </is>
      </c>
      <c r="H76" s="2" t="inlineStr">
        <is>
          <t>MMR, JE,DTP</t>
        </is>
      </c>
      <c r="I76" s="8" t="inlineStr">
        <is>
          <t>1</t>
        </is>
      </c>
      <c r="J76" s="2"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2" t="n"/>
      <c r="L76" s="2" t="inlineStr">
        <is>
          <t>Recombinant DNA</t>
        </is>
      </c>
      <c r="M76" s="2" t="inlineStr">
        <is>
          <t>Product</t>
        </is>
      </c>
      <c r="N76" s="2" t="inlineStr">
        <is>
          <t>ข้อ 2 (PLE_CC1_Key_Rx20_UBU.md)</t>
        </is>
      </c>
      <c r="O76" s="2" t="inlineStr">
        <is>
          <t>Mock</t>
        </is>
      </c>
      <c r="P76" s="2" t="inlineStr">
        <is>
          <t>Mock Rx20 UBU</t>
        </is>
      </c>
    </row>
    <row r="77" ht="13.2" customHeight="1" s="49">
      <c r="A77" s="8" t="inlineStr">
        <is>
          <t>75</t>
        </is>
      </c>
      <c r="B77" s="2" t="inlineStr">
        <is>
          <t>ถ้าวันนี้เป็นวันครบกำหนดฉีดวัคซีนพอดี จะฉีดวัคซีนให้เด็กรายนี้หรือไม่เพราะเหตุใด</t>
        </is>
      </c>
      <c r="C77" s="2" t="n"/>
      <c r="D77" s="2" t="inlineStr">
        <is>
          <t>ฉีดให้ แต่ฉีดวัคซีนเชื้อเป็นและเชื้อตายคนละตำแหน่ง</t>
        </is>
      </c>
      <c r="E77" s="2" t="inlineStr">
        <is>
          <t>ฉีดให้เฉพาะเชื้อตาย</t>
        </is>
      </c>
      <c r="F77" s="2" t="inlineStr">
        <is>
          <t>ไม่ฉีดให้เนื่องจากได้รับหรือสร้างภูมิแล้ว</t>
        </is>
      </c>
      <c r="G77" s="2" t="inlineStr">
        <is>
          <t>ไม่ฉีดให้เนื่องจากมีไข้สูง</t>
        </is>
      </c>
      <c r="H77" s="2" t="inlineStr">
        <is>
          <t>ไม่ฉีดให้เนื่องจากเป็นวัคซีนผสมหลายชนิด</t>
        </is>
      </c>
      <c r="I77" s="8" t="inlineStr">
        <is>
          <t>4</t>
        </is>
      </c>
      <c r="J77" s="2"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2" t="n"/>
      <c r="L77" s="2" t="inlineStr">
        <is>
          <t>Recombinant DNA</t>
        </is>
      </c>
      <c r="M77" s="2" t="inlineStr">
        <is>
          <t>Product</t>
        </is>
      </c>
      <c r="N77" s="2" t="inlineStr">
        <is>
          <t>ข้อ 3 (PLE_CC1_Key_Rx20_UBU.md)</t>
        </is>
      </c>
      <c r="O77" s="2" t="inlineStr">
        <is>
          <t>Mock</t>
        </is>
      </c>
      <c r="P77" s="2" t="inlineStr">
        <is>
          <t>Mock Rx20 UBU</t>
        </is>
      </c>
    </row>
    <row r="78" ht="13.2" customHeight="1" s="49">
      <c r="A78" s="8" t="inlineStr">
        <is>
          <t>76</t>
        </is>
      </c>
      <c r="B78" s="2" t="inlineStr">
        <is>
          <t>ข้อใดคือน้ำที่ใชในการผลิตวัคซีนที่ใช้ในระดับอุตสาหกรรม</t>
        </is>
      </c>
      <c r="C78" s="2" t="n"/>
      <c r="D78" s="2" t="inlineStr">
        <is>
          <t>Purified water</t>
        </is>
      </c>
      <c r="E78" s="2" t="inlineStr">
        <is>
          <t>Distilled water</t>
        </is>
      </c>
      <c r="F78" s="2" t="inlineStr">
        <is>
          <t>Recombinant DNA Human Insulin in E. coli</t>
        </is>
      </c>
      <c r="G78" s="2" t="inlineStr">
        <is>
          <t>Water for injection</t>
        </is>
      </c>
      <c r="H78" s="2" t="inlineStr">
        <is>
          <t>Sterile water for injection</t>
        </is>
      </c>
      <c r="I78" s="8" t="inlineStr">
        <is>
          <t>5</t>
        </is>
      </c>
      <c r="J78" s="2"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2" t="n"/>
      <c r="L78" s="2" t="inlineStr">
        <is>
          <t>Recombinant DNA</t>
        </is>
      </c>
      <c r="M78" s="2" t="inlineStr">
        <is>
          <t>Product</t>
        </is>
      </c>
      <c r="N78" s="2" t="inlineStr">
        <is>
          <t>ข้อ 7 (PLE_CC1_Key_Rx20_UBU.md)</t>
        </is>
      </c>
      <c r="O78" s="2" t="inlineStr">
        <is>
          <t>Mock</t>
        </is>
      </c>
      <c r="P78" s="2" t="inlineStr">
        <is>
          <t>Mock Rx20 UBU</t>
        </is>
      </c>
    </row>
    <row r="79" ht="13.2" customHeight="1" s="49">
      <c r="A79" s="8" t="inlineStr">
        <is>
          <t>77</t>
        </is>
      </c>
      <c r="B79" s="2" t="inlineStr">
        <is>
          <t>ฉีดให้ แต่ฉีดวัคซีนเชื้อเป็นและเชื้อตายคนละ ตำแหน่งกัน</t>
        </is>
      </c>
      <c r="C79" s="2" t="n"/>
      <c r="D79" s="2" t="inlineStr">
        <is>
          <t>Monoclonal Antibody IgG1 (CHO Cell Expression)</t>
        </is>
      </c>
      <c r="E79" s="2" t="inlineStr">
        <is>
          <t>Polyethylene Glycol (PEG) Conjugation for extended half-life</t>
        </is>
      </c>
      <c r="F79" s="2" t="inlineStr">
        <is>
          <t>Lyophilization (Freeze-drying) with Trehalose Cryoprotectant</t>
        </is>
      </c>
      <c r="G79" s="2" t="inlineStr">
        <is>
          <t>ELISA Immunoassay for protein quantification</t>
        </is>
      </c>
      <c r="H79" s="2" t="inlineStr">
        <is>
          <t>SDS-PAGE Gel Electrophoresis purity analysis</t>
        </is>
      </c>
      <c r="I79" s="8" t="inlineStr">
        <is>
          <t>1</t>
        </is>
      </c>
      <c r="J7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2" t="n"/>
      <c r="L79" s="2" t="inlineStr">
        <is>
          <t>Recombinant DNA</t>
        </is>
      </c>
      <c r="M79" s="2" t="inlineStr">
        <is>
          <t>Product</t>
        </is>
      </c>
      <c r="N79" s="2" t="inlineStr">
        <is>
          <t>ข้อ 1 (PLE_CC1_Key_Rx20_UBU.md)</t>
        </is>
      </c>
      <c r="O79" s="2" t="inlineStr">
        <is>
          <t>Mock</t>
        </is>
      </c>
      <c r="P79" s="2" t="inlineStr">
        <is>
          <t>Mock Rx20 UBU</t>
        </is>
      </c>
    </row>
    <row r="80" ht="13.2" customHeight="1" s="49">
      <c r="A80" s="8" t="inlineStr">
        <is>
          <t>78</t>
        </is>
      </c>
      <c r="B80" s="2" t="inlineStr">
        <is>
          <t>ไม่ฉีดให้ เนื่องจากเป็นวัคซีนผสมหลายชนิด</t>
        </is>
      </c>
      <c r="C80" s="2" t="n"/>
      <c r="D80" s="2" t="inlineStr">
        <is>
          <t>ELISA Immunoassay for protein quantification</t>
        </is>
      </c>
      <c r="E80" s="2" t="inlineStr">
        <is>
          <t>SDS-PAGE Gel Electrophoresis purity analysis</t>
        </is>
      </c>
      <c r="F80" s="2" t="inlineStr">
        <is>
          <t>Isoelectric Focusing (IEF) for charge heterogeneity</t>
        </is>
      </c>
      <c r="G80" s="2" t="inlineStr">
        <is>
          <t>Immunogenicity Neutralizing Antibody Assay</t>
        </is>
      </c>
      <c r="H80" s="2" t="inlineStr">
        <is>
          <t>Polysorbate 20 surfactant to prevent protein aggregation</t>
        </is>
      </c>
      <c r="I80" s="8" t="inlineStr">
        <is>
          <t>4</t>
        </is>
      </c>
      <c r="J80" s="2"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2" t="n"/>
      <c r="L80" s="2" t="inlineStr">
        <is>
          <t>Recombinant DNA</t>
        </is>
      </c>
      <c r="M80" s="2" t="inlineStr">
        <is>
          <t>Product</t>
        </is>
      </c>
      <c r="N80" s="2" t="inlineStr">
        <is>
          <t>ข้อ 5 (PLE_CC1_Key_Rx20_UBU.md)</t>
        </is>
      </c>
      <c r="O80" s="2" t="inlineStr">
        <is>
          <t>Mock</t>
        </is>
      </c>
      <c r="P80" s="2" t="inlineStr">
        <is>
          <t>Mock Rx20 UBU</t>
        </is>
      </c>
    </row>
    <row r="81" ht="13.2" customHeight="1" s="49">
      <c r="A81" s="8" t="inlineStr">
        <is>
          <t>79</t>
        </is>
      </c>
      <c r="B81" s="2" t="inlineStr">
        <is>
          <t>การได้รับวัคซีนซ้ำจะทำให้ระดับวัคซีนมากพอจน สามารถกระตุ้นภูมิได้มากขึ้น</t>
        </is>
      </c>
      <c r="C81" s="2" t="n"/>
      <c r="D81" s="2" t="inlineStr">
        <is>
          <t>Immunogenicity Neutralizing Antibody Assay</t>
        </is>
      </c>
      <c r="E81" s="2" t="inlineStr">
        <is>
          <t>Polysorbate 20 surfactant to prevent protein aggregation</t>
        </is>
      </c>
      <c r="F81" s="2" t="inlineStr">
        <is>
          <t>Histidine Buffer pH 6.0 formulation stability</t>
        </is>
      </c>
      <c r="G81" s="2" t="inlineStr">
        <is>
          <t>Recombinant DNA Human Insulin in E. coli</t>
        </is>
      </c>
      <c r="H81" s="2" t="inlineStr">
        <is>
          <t>Monoclonal Antibody IgG1 (CHO Cell Expression)</t>
        </is>
      </c>
      <c r="I81" s="8" t="inlineStr">
        <is>
          <t>1</t>
        </is>
      </c>
      <c r="J81" s="2"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2" t="n"/>
      <c r="L81" s="2" t="inlineStr">
        <is>
          <t>Recombinant DNA</t>
        </is>
      </c>
      <c r="M81" s="2" t="inlineStr">
        <is>
          <t>Product</t>
        </is>
      </c>
      <c r="N81" s="2" t="inlineStr">
        <is>
          <t>ข้อ 1 (PLE_CC1_Key_Rx20_UBU.md)</t>
        </is>
      </c>
      <c r="O81" s="2" t="inlineStr">
        <is>
          <t>Mock</t>
        </is>
      </c>
      <c r="P81" s="2" t="inlineStr">
        <is>
          <t>Mock Rx20 UBU</t>
        </is>
      </c>
    </row>
    <row r="82" ht="13.2" customHeight="1" s="49">
      <c r="A82" s="8" t="inlineStr">
        <is>
          <t>80</t>
        </is>
      </c>
      <c r="B82" s="2" t="inlineStr">
        <is>
          <t>การฉีดวัคซีนซ้ำจะทำให้สามารถสร้าง antibody บางชนิดได้มากขึ้น</t>
        </is>
      </c>
      <c r="C82" s="2" t="n"/>
      <c r="D82" s="2" t="inlineStr">
        <is>
          <t>Recombinant DNA Human Insulin in E. coli</t>
        </is>
      </c>
      <c r="E82" s="2" t="inlineStr">
        <is>
          <t>Monoclonal Antibody IgG1 (CHO Cell Expression)</t>
        </is>
      </c>
      <c r="F82" s="2" t="inlineStr">
        <is>
          <t>Polyethylene Glycol (PEG) Conjugation for extended half-life</t>
        </is>
      </c>
      <c r="G82" s="2" t="inlineStr">
        <is>
          <t>Lyophilization (Freeze-drying) with Trehalose Cryoprotectant</t>
        </is>
      </c>
      <c r="H82" s="2" t="inlineStr">
        <is>
          <t>ELISA Immunoassay for protein quantification</t>
        </is>
      </c>
      <c r="I82" s="8" t="inlineStr">
        <is>
          <t>1</t>
        </is>
      </c>
      <c r="J8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2" t="n"/>
      <c r="L82" s="2" t="inlineStr">
        <is>
          <t>Recombinant DNA</t>
        </is>
      </c>
      <c r="M82" s="2" t="inlineStr">
        <is>
          <t>Product</t>
        </is>
      </c>
      <c r="N82" s="2" t="inlineStr">
        <is>
          <t>ข้อ 2 (PLE_CC1_Key_Rx20_UBU.md)</t>
        </is>
      </c>
      <c r="O82" s="2" t="inlineStr">
        <is>
          <t>Mock</t>
        </is>
      </c>
      <c r="P82" s="2" t="inlineStr">
        <is>
          <t>Mock Rx20 UBU</t>
        </is>
      </c>
    </row>
    <row r="83" ht="13.2" customHeight="1" s="49">
      <c r="A83" s="8" t="inlineStr">
        <is>
          <t>81</t>
        </is>
      </c>
      <c r="B83" s="2" t="inlineStr">
        <is>
          <t>การฉีดวัคซีนก้อนกำหนดจะช่วยให้ภูมิคุมกันขึ้นได้ เร็วขึ้นและจำนวนมากขึ้น</t>
        </is>
      </c>
      <c r="C83" s="2" t="n"/>
      <c r="D83" s="2" t="inlineStr">
        <is>
          <t>Lyophilization (Freeze-drying) with Trehalose Cryoprotectant</t>
        </is>
      </c>
      <c r="E83" s="2" t="inlineStr">
        <is>
          <t>ELISA Immunoassay for protein quantification</t>
        </is>
      </c>
      <c r="F83" s="2" t="inlineStr">
        <is>
          <t>SDS-PAGE Gel Electrophoresis purity analysis</t>
        </is>
      </c>
      <c r="G83" s="2" t="inlineStr">
        <is>
          <t>Isoelectric Focusing (IEF) for charge heterogeneity</t>
        </is>
      </c>
      <c r="H83" s="2" t="inlineStr">
        <is>
          <t>Immunogenicity Neutralizing Antibody Assay</t>
        </is>
      </c>
      <c r="I83" s="8" t="inlineStr">
        <is>
          <t>1</t>
        </is>
      </c>
      <c r="J8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2" t="n"/>
      <c r="L83" s="2" t="inlineStr">
        <is>
          <t>Recombinant DNA</t>
        </is>
      </c>
      <c r="M83" s="2" t="inlineStr">
        <is>
          <t>Product</t>
        </is>
      </c>
      <c r="N83" s="2" t="inlineStr">
        <is>
          <t>ข้อ 3 (PLE_CC1_Key_Rx20_UBU.md)</t>
        </is>
      </c>
      <c r="O83" s="2" t="inlineStr">
        <is>
          <t>Mock</t>
        </is>
      </c>
      <c r="P83" s="2" t="inlineStr">
        <is>
          <t>Mock Rx20 UBU</t>
        </is>
      </c>
    </row>
    <row r="84" ht="13.2" customHeight="1" s="49">
      <c r="A84" s="8" t="inlineStr">
        <is>
          <t>82</t>
        </is>
      </c>
      <c r="B84" s="2" t="inlineStr">
        <is>
          <t>การเลื่อนฉีดวัคซีนช้ากว่ากำหนดจะทำให้การสร้าง antibody ลดลง</t>
        </is>
      </c>
      <c r="C84" s="2" t="n"/>
      <c r="D84" s="2" t="inlineStr">
        <is>
          <t>Isoelectric Focusing (IEF) for charge heterogeneity</t>
        </is>
      </c>
      <c r="E84" s="2" t="inlineStr">
        <is>
          <t>Immunogenicity Neutralizing Antibody Assay</t>
        </is>
      </c>
      <c r="F84" s="2" t="inlineStr">
        <is>
          <t>Polysorbate 20 surfactant to prevent protein aggregation</t>
        </is>
      </c>
      <c r="G84" s="2" t="inlineStr">
        <is>
          <t>Histidine Buffer pH 6.0 formulation stability</t>
        </is>
      </c>
      <c r="H84" s="2" t="inlineStr">
        <is>
          <t>Recombinant DNA Human Insulin in E. coli</t>
        </is>
      </c>
      <c r="I84" s="8" t="inlineStr">
        <is>
          <t>1</t>
        </is>
      </c>
      <c r="J8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2" t="n"/>
      <c r="L84" s="2" t="inlineStr">
        <is>
          <t>Recombinant DNA</t>
        </is>
      </c>
      <c r="M84" s="2" t="inlineStr">
        <is>
          <t>Product</t>
        </is>
      </c>
      <c r="N84" s="2" t="inlineStr">
        <is>
          <t>ข้อ 4 (PLE_CC1_Key_Rx20_UBU.md)</t>
        </is>
      </c>
      <c r="O84" s="2" t="inlineStr">
        <is>
          <t>Mock</t>
        </is>
      </c>
      <c r="P84" s="2" t="inlineStr">
        <is>
          <t>Mock Rx20 UBU</t>
        </is>
      </c>
    </row>
    <row r="85" ht="13.2" customHeight="1" s="49">
      <c r="A85" s="8" t="inlineStr">
        <is>
          <t>83</t>
        </is>
      </c>
      <c r="B85" s="2" t="inlineStr">
        <is>
          <t>ข้อใดคือน้ำที่ใช้ในการผลิตวัคซีนที่ใช้ในระดับอุตสาหกรรม</t>
        </is>
      </c>
      <c r="C85" s="2" t="n"/>
      <c r="D85" s="2" t="inlineStr">
        <is>
          <t>Histidine Buffer pH 6.0 formulation stability</t>
        </is>
      </c>
      <c r="E85" s="2" t="inlineStr">
        <is>
          <t>Recombinant DNA Human Insulin in E. coli</t>
        </is>
      </c>
      <c r="F85" s="2" t="inlineStr">
        <is>
          <t>Monoclonal Antibody IgG1 (CHO Cell Expression)</t>
        </is>
      </c>
      <c r="G85" s="2" t="inlineStr">
        <is>
          <t>Polyethylene Glycol (PEG) Conjugation for extended half-life</t>
        </is>
      </c>
      <c r="H85" s="2" t="inlineStr">
        <is>
          <t>Lyophilization (Freeze-drying) with Trehalose Cryoprotectant</t>
        </is>
      </c>
      <c r="I85" s="8" t="inlineStr">
        <is>
          <t>1</t>
        </is>
      </c>
      <c r="J8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2" t="n"/>
      <c r="L85" s="2" t="inlineStr">
        <is>
          <t>Recombinant DNA</t>
        </is>
      </c>
      <c r="M85" s="2" t="inlineStr">
        <is>
          <t>Product</t>
        </is>
      </c>
      <c r="N85" s="2" t="inlineStr">
        <is>
          <t>ข้อ 7 (PLE_CC1_Key_Rx20_UBU.md)</t>
        </is>
      </c>
      <c r="O85" s="2" t="inlineStr">
        <is>
          <t>Mock</t>
        </is>
      </c>
      <c r="P85" s="2" t="inlineStr">
        <is>
          <t>Mock Rx20 UBU</t>
        </is>
      </c>
    </row>
    <row r="86" ht="13.2" customHeight="1" s="49">
      <c r="A86" s="8" t="inlineStr">
        <is>
          <t>84</t>
        </is>
      </c>
      <c r="B86" s="2" t="inlineStr">
        <is>
          <t>recombinant DNA</t>
        </is>
      </c>
      <c r="C86" s="2" t="n"/>
      <c r="D86" s="2" t="inlineStr">
        <is>
          <t>Polyethylene Glycol (PEG) Conjugation for extended half-life</t>
        </is>
      </c>
      <c r="E86" s="2" t="inlineStr">
        <is>
          <t>Lyophilization (Freeze-drying) with Trehalose Cryoprotectant</t>
        </is>
      </c>
      <c r="F86" s="2" t="inlineStr">
        <is>
          <t>ELISA Immunoassay for protein quantification</t>
        </is>
      </c>
      <c r="G86" s="2" t="inlineStr">
        <is>
          <t>SDS-PAGE Gel Electrophoresis purity analysis</t>
        </is>
      </c>
      <c r="H86" s="2" t="inlineStr">
        <is>
          <t>Isoelectric Focusing (IEF) for charge heterogeneity</t>
        </is>
      </c>
      <c r="I86" s="8" t="inlineStr">
        <is>
          <t>1</t>
        </is>
      </c>
      <c r="J86" s="2"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2" t="n"/>
      <c r="L86" s="2" t="inlineStr">
        <is>
          <t>Recombinant DNA</t>
        </is>
      </c>
      <c r="M86" s="2" t="inlineStr">
        <is>
          <t>Product</t>
        </is>
      </c>
      <c r="N86" s="2" t="inlineStr">
        <is>
          <t>ข้อ 2 (PLE_CC1_Key_Rx20_UBU.md)</t>
        </is>
      </c>
      <c r="O86" s="2" t="inlineStr">
        <is>
          <t>Mock</t>
        </is>
      </c>
      <c r="P86" s="2" t="inlineStr">
        <is>
          <t>Mock Rx20 UBU</t>
        </is>
      </c>
    </row>
    <row r="87" ht="13.2" customHeight="1" s="49">
      <c r="A87" s="8" t="inlineStr">
        <is>
          <t>85</t>
        </is>
      </c>
      <c r="B87" s="2"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2" t="n"/>
      <c r="D87" s="2" t="inlineStr">
        <is>
          <t>SDS-PAGE Gel Electrophoresis purity analysis</t>
        </is>
      </c>
      <c r="E87" s="2" t="inlineStr">
        <is>
          <t>Isoelectric Focusing (IEF) for charge heterogeneity</t>
        </is>
      </c>
      <c r="F87" s="2" t="inlineStr">
        <is>
          <t>Immunogenicity Neutralizing Antibody Assay</t>
        </is>
      </c>
      <c r="G87" s="2" t="inlineStr">
        <is>
          <t>Polysorbate 20 surfactant to prevent protein aggregation</t>
        </is>
      </c>
      <c r="H87" s="2" t="inlineStr">
        <is>
          <t>Histidine Buffer pH 6.0 formulation stability</t>
        </is>
      </c>
      <c r="I87" s="8" t="inlineStr">
        <is>
          <t>1</t>
        </is>
      </c>
      <c r="J8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2" t="n"/>
      <c r="L87" s="2" t="inlineStr">
        <is>
          <t>Recombinant DNA</t>
        </is>
      </c>
      <c r="M87" s="2" t="inlineStr">
        <is>
          <t>Product</t>
        </is>
      </c>
      <c r="N87" s="2" t="inlineStr">
        <is>
          <t>ข้อ 5 (PLE_CC1_Key_Rx20_UBU.md)</t>
        </is>
      </c>
      <c r="O87" s="2" t="inlineStr">
        <is>
          <t>Mock</t>
        </is>
      </c>
      <c r="P87" s="2" t="inlineStr">
        <is>
          <t>Mock Rx20 UBU</t>
        </is>
      </c>
    </row>
    <row r="88" ht="13.2" customHeight="1" s="49">
      <c r="A88" s="8" t="inlineStr">
        <is>
          <t>86</t>
        </is>
      </c>
      <c r="B88" s="2" t="inlineStr">
        <is>
          <t>ถามเกี่ยวกับการฉีดวัคซีน ขอใดกลาวผิด</t>
        </is>
      </c>
      <c r="C88" s="2" t="n"/>
      <c r="D88" s="2" t="inlineStr">
        <is>
          <t>Polysorbate 20 surfactant to prevent protein aggregation</t>
        </is>
      </c>
      <c r="E88" s="2" t="inlineStr">
        <is>
          <t>Histidine Buffer pH 6.0 formulation stability</t>
        </is>
      </c>
      <c r="F88" s="2" t="inlineStr">
        <is>
          <t>Recombinant DNA Human Insulin in E. coli</t>
        </is>
      </c>
      <c r="G88" s="2" t="inlineStr">
        <is>
          <t>Monoclonal Antibody IgG1 (CHO Cell Expression)</t>
        </is>
      </c>
      <c r="H88" s="2" t="inlineStr">
        <is>
          <t>Polyethylene Glycol (PEG) Conjugation for extended half-life</t>
        </is>
      </c>
      <c r="I88" s="8" t="inlineStr">
        <is>
          <t>1</t>
        </is>
      </c>
      <c r="J8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2" t="n"/>
      <c r="L88" s="2" t="inlineStr">
        <is>
          <t>Recombinant DNA</t>
        </is>
      </c>
      <c r="M88" s="2" t="inlineStr">
        <is>
          <t>Product</t>
        </is>
      </c>
      <c r="N88" s="2" t="inlineStr">
        <is>
          <t>ข้อ 1 (PLE_CC1_Key_Rx20_UBU.md)</t>
        </is>
      </c>
      <c r="O88" s="2" t="inlineStr">
        <is>
          <t>Mock</t>
        </is>
      </c>
      <c r="P88" s="2" t="inlineStr">
        <is>
          <t>Mock Rx20 UBU</t>
        </is>
      </c>
    </row>
    <row r="89" ht="13.2" customHeight="1" s="49">
      <c r="A89" s="8" t="inlineStr">
        <is>
          <t>87</t>
        </is>
      </c>
      <c r="B89" s="2" t="inlineStr">
        <is>
          <t>หากสุนัขไม่ตายภายใน 10 วันให้หยุดการฉีดวัคซีนได้</t>
        </is>
      </c>
      <c r="C89" s="2" t="n"/>
      <c r="D89" s="2" t="inlineStr">
        <is>
          <t>Monoclonal Antibody IgG1 (CHO Cell Expression)</t>
        </is>
      </c>
      <c r="E89" s="2" t="inlineStr">
        <is>
          <t>Polyethylene Glycol (PEG) Conjugation for extended half-life</t>
        </is>
      </c>
      <c r="F89" s="2" t="inlineStr">
        <is>
          <t>Lyophilization (Freeze-drying) with Trehalose Cryoprotectant</t>
        </is>
      </c>
      <c r="G89" s="2" t="inlineStr">
        <is>
          <t>ELISA Immunoassay for protein quantification</t>
        </is>
      </c>
      <c r="H89" s="2" t="inlineStr">
        <is>
          <t>SDS-PAGE Gel Electrophoresis purity analysis</t>
        </is>
      </c>
      <c r="I89" s="8" t="inlineStr">
        <is>
          <t>1</t>
        </is>
      </c>
      <c r="J8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2" t="n"/>
      <c r="L89" s="2" t="inlineStr">
        <is>
          <t>Recombinant DNA</t>
        </is>
      </c>
      <c r="M89" s="2" t="inlineStr">
        <is>
          <t>Product</t>
        </is>
      </c>
      <c r="N89" s="2" t="inlineStr">
        <is>
          <t>ข้อ 2 (PLE_CC1_Key_Rx20_UBU.md)</t>
        </is>
      </c>
      <c r="O89" s="2" t="inlineStr">
        <is>
          <t>Mock</t>
        </is>
      </c>
      <c r="P89" s="2" t="inlineStr">
        <is>
          <t>Mock Rx20 UBU</t>
        </is>
      </c>
    </row>
    <row r="90" ht="13.2" customHeight="1" s="49">
      <c r="A90" s="8" t="inlineStr">
        <is>
          <t>88</t>
        </is>
      </c>
      <c r="B90" s="2" t="inlineStr">
        <is>
          <t>วัคซีนพิษสุนัขบ้าชนิดฉีดเข้ากล้ามเนื้อสามารถเปลี่ยนไปใชผลิตภัณฑของบริษัทผู้ผลิตอื่นได้</t>
        </is>
      </c>
      <c r="C90" s="2" t="n"/>
      <c r="D90" s="2" t="inlineStr">
        <is>
          <t>ELISA Immunoassay for protein quantification</t>
        </is>
      </c>
      <c r="E90" s="2" t="inlineStr">
        <is>
          <t>SDS-PAGE Gel Electrophoresis purity analysis</t>
        </is>
      </c>
      <c r="F90" s="2" t="inlineStr">
        <is>
          <t>Isoelectric Focusing (IEF) for charge heterogeneity</t>
        </is>
      </c>
      <c r="G90" s="2" t="inlineStr">
        <is>
          <t>Immunogenicity Neutralizing Antibody Assay</t>
        </is>
      </c>
      <c r="H90" s="2" t="inlineStr">
        <is>
          <t>Polysorbate 20 surfactant to prevent protein aggregation</t>
        </is>
      </c>
      <c r="I90" s="8" t="inlineStr">
        <is>
          <t>1</t>
        </is>
      </c>
      <c r="J9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2" t="n"/>
      <c r="L90" s="2" t="inlineStr">
        <is>
          <t>Recombinant DNA</t>
        </is>
      </c>
      <c r="M90" s="2" t="inlineStr">
        <is>
          <t>Product</t>
        </is>
      </c>
      <c r="N90" s="2" t="inlineStr">
        <is>
          <t>ข้อ 3 (PLE_CC1_Key_Rx20_UBU.md)</t>
        </is>
      </c>
      <c r="O90" s="2" t="inlineStr">
        <is>
          <t>Mock</t>
        </is>
      </c>
      <c r="P90" s="2" t="inlineStr">
        <is>
          <t>Mock Rx20 UBU</t>
        </is>
      </c>
    </row>
    <row r="91" ht="13.2" customHeight="1" s="49">
      <c r="A91" s="8" t="inlineStr">
        <is>
          <t>89</t>
        </is>
      </c>
      <c r="B91" s="2"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2" t="n"/>
      <c r="D91" s="2" t="inlineStr">
        <is>
          <t>Immunogenicity Neutralizing Antibody Assay</t>
        </is>
      </c>
      <c r="E91" s="2" t="inlineStr">
        <is>
          <t>Polysorbate 20 surfactant to prevent protein aggregation</t>
        </is>
      </c>
      <c r="F91" s="2" t="inlineStr">
        <is>
          <t>Histidine Buffer pH 6.0 formulation stability</t>
        </is>
      </c>
      <c r="G91" s="2" t="inlineStr">
        <is>
          <t>Recombinant DNA Human Insulin in E. coli</t>
        </is>
      </c>
      <c r="H91" s="2" t="inlineStr">
        <is>
          <t>Monoclonal Antibody IgG1 (CHO Cell Expression)</t>
        </is>
      </c>
      <c r="I91" s="8" t="inlineStr">
        <is>
          <t>2</t>
        </is>
      </c>
      <c r="J91" s="2"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2" t="n"/>
      <c r="L91" s="2" t="inlineStr">
        <is>
          <t>Recombinant DNA</t>
        </is>
      </c>
      <c r="M91" s="2" t="inlineStr">
        <is>
          <t>Product</t>
        </is>
      </c>
      <c r="N91" s="2" t="inlineStr">
        <is>
          <t>ข้อ 4 (PLE_CC1_Key_Rx20_UBU.md)</t>
        </is>
      </c>
      <c r="O91" s="2" t="inlineStr">
        <is>
          <t>Mock</t>
        </is>
      </c>
      <c r="P91" s="2" t="inlineStr">
        <is>
          <t>Mock Rx20 UBU</t>
        </is>
      </c>
    </row>
    <row r="92" ht="13.2" customHeight="1" s="49">
      <c r="A92" s="8" t="inlineStr">
        <is>
          <t>90</t>
        </is>
      </c>
      <c r="B92" s="2" t="inlineStr">
        <is>
          <t>วัคซีนบาดทะยักเปนวัคซีนประเภทใด</t>
        </is>
      </c>
      <c r="C92" s="2" t="n"/>
      <c r="D92" s="2" t="inlineStr">
        <is>
          <t>Recombinant DNA Human Insulin in E. coli</t>
        </is>
      </c>
      <c r="E92" s="2" t="inlineStr">
        <is>
          <t>Monoclonal Antibody IgG1 (CHO Cell Expression)</t>
        </is>
      </c>
      <c r="F92" s="2" t="inlineStr">
        <is>
          <t>Polyethylene Glycol (PEG) Conjugation for extended half-life</t>
        </is>
      </c>
      <c r="G92" s="2" t="inlineStr">
        <is>
          <t>Lyophilization (Freeze-drying) with Trehalose Cryoprotectant</t>
        </is>
      </c>
      <c r="H92" s="2" t="inlineStr">
        <is>
          <t>ELISA Immunoassay for protein quantification</t>
        </is>
      </c>
      <c r="I92" s="8" t="inlineStr">
        <is>
          <t>1</t>
        </is>
      </c>
      <c r="J92" s="2"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2" t="n"/>
      <c r="L92" s="2" t="inlineStr">
        <is>
          <t>Recombinant DNA</t>
        </is>
      </c>
      <c r="M92" s="2" t="inlineStr">
        <is>
          <t>Product</t>
        </is>
      </c>
      <c r="N92" s="2" t="inlineStr">
        <is>
          <t>ข้อ 2 (PLE_CC1_Key_Rx20_UBU.md)</t>
        </is>
      </c>
      <c r="O92" s="2" t="inlineStr">
        <is>
          <t>Mock</t>
        </is>
      </c>
      <c r="P92" s="2" t="inlineStr">
        <is>
          <t>Mock Rx20 UBU</t>
        </is>
      </c>
    </row>
    <row r="93" ht="13.2" customHeight="1" s="49">
      <c r="A93" s="8" t="inlineStr">
        <is>
          <t>91</t>
        </is>
      </c>
      <c r="B93" s="2" t="inlineStr">
        <is>
          <t>Lived atenuated vaccine</t>
        </is>
      </c>
      <c r="C93" s="2" t="n"/>
      <c r="D93" s="2" t="inlineStr">
        <is>
          <t>Lyophilization (Freeze-drying) with Trehalose Cryoprotectant</t>
        </is>
      </c>
      <c r="E93" s="2" t="inlineStr">
        <is>
          <t>ELISA Immunoassay for protein quantification</t>
        </is>
      </c>
      <c r="F93" s="2" t="inlineStr">
        <is>
          <t>SDS-PAGE Gel Electrophoresis purity analysis</t>
        </is>
      </c>
      <c r="G93" s="2" t="inlineStr">
        <is>
          <t>Isoelectric Focusing (IEF) for charge heterogeneity</t>
        </is>
      </c>
      <c r="H93" s="2" t="inlineStr">
        <is>
          <t>Immunogenicity Neutralizing Antibody Assay</t>
        </is>
      </c>
      <c r="I93" s="8" t="inlineStr">
        <is>
          <t>1</t>
        </is>
      </c>
      <c r="J93" s="2"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2" t="n"/>
      <c r="L93" s="2" t="inlineStr">
        <is>
          <t>Recombinant DNA</t>
        </is>
      </c>
      <c r="M93" s="2" t="inlineStr">
        <is>
          <t>Product</t>
        </is>
      </c>
      <c r="N93" s="2" t="inlineStr">
        <is>
          <t>ข้อ 2 (PLE_CC1_Key_Rx20_UBU.md)</t>
        </is>
      </c>
      <c r="O93" s="2" t="inlineStr">
        <is>
          <t>Mock</t>
        </is>
      </c>
      <c r="P93" s="2" t="inlineStr">
        <is>
          <t>Mock Rx20 UBU</t>
        </is>
      </c>
    </row>
    <row r="94" ht="13.2" customHeight="1" s="49">
      <c r="A94" s="8" t="inlineStr">
        <is>
          <t>92</t>
        </is>
      </c>
      <c r="B94" s="2" t="inlineStr">
        <is>
          <t>Killed whole cell vaccine</t>
        </is>
      </c>
      <c r="C94" s="2" t="n"/>
      <c r="D94" s="2" t="inlineStr">
        <is>
          <t>Isoelectric Focusing (IEF) for charge heterogeneity</t>
        </is>
      </c>
      <c r="E94" s="2" t="inlineStr">
        <is>
          <t>Immunogenicity Neutralizing Antibody Assay</t>
        </is>
      </c>
      <c r="F94" s="2" t="inlineStr">
        <is>
          <t>Polysorbate 20 surfactant to prevent protein aggregation</t>
        </is>
      </c>
      <c r="G94" s="2" t="inlineStr">
        <is>
          <t>Histidine Buffer pH 6.0 formulation stability</t>
        </is>
      </c>
      <c r="H94" s="2" t="inlineStr">
        <is>
          <t>Recombinant DNA Human Insulin in E. coli</t>
        </is>
      </c>
      <c r="I94" s="8" t="inlineStr">
        <is>
          <t>1</t>
        </is>
      </c>
      <c r="J94" s="2"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2" t="n"/>
      <c r="L94" s="2" t="inlineStr">
        <is>
          <t>Recombinant DNA</t>
        </is>
      </c>
      <c r="M94" s="2" t="inlineStr">
        <is>
          <t>Product</t>
        </is>
      </c>
      <c r="N94" s="2" t="inlineStr">
        <is>
          <t>ข้อ 3 (PLE_CC1_Key_Rx20_UBU.md)</t>
        </is>
      </c>
      <c r="O94" s="2" t="inlineStr">
        <is>
          <t>Mock</t>
        </is>
      </c>
      <c r="P94" s="2" t="inlineStr">
        <is>
          <t>Mock Rx20 UBU</t>
        </is>
      </c>
    </row>
    <row r="95" ht="13.2" customHeight="1" s="49">
      <c r="A95" s="8" t="inlineStr">
        <is>
          <t>93</t>
        </is>
      </c>
      <c r="B95" s="2" t="inlineStr">
        <is>
          <t>Subunit vaccine</t>
        </is>
      </c>
      <c r="C95" s="2" t="n"/>
      <c r="D95" s="2" t="inlineStr">
        <is>
          <t>Histidine Buffer pH 6.0 formulation stability</t>
        </is>
      </c>
      <c r="E95" s="2" t="inlineStr">
        <is>
          <t>Recombinant DNA Human Insulin in E. coli</t>
        </is>
      </c>
      <c r="F95" s="2" t="inlineStr">
        <is>
          <t>Monoclonal Antibody IgG1 (CHO Cell Expression)</t>
        </is>
      </c>
      <c r="G95" s="2" t="inlineStr">
        <is>
          <t>Polyethylene Glycol (PEG) Conjugation for extended half-life</t>
        </is>
      </c>
      <c r="H95" s="2" t="inlineStr">
        <is>
          <t>Lyophilization (Freeze-drying) with Trehalose Cryoprotectant</t>
        </is>
      </c>
      <c r="I95" s="8" t="inlineStr">
        <is>
          <t>1</t>
        </is>
      </c>
      <c r="J95" s="2"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2" t="n"/>
      <c r="L95" s="2" t="inlineStr">
        <is>
          <t>Recombinant DNA</t>
        </is>
      </c>
      <c r="M95" s="2" t="inlineStr">
        <is>
          <t>Product</t>
        </is>
      </c>
      <c r="N95" s="2" t="inlineStr">
        <is>
          <t>ข้อ 4 (PLE_CC1_Key_Rx20_UBU.md)</t>
        </is>
      </c>
      <c r="O95" s="2" t="inlineStr">
        <is>
          <t>Mock</t>
        </is>
      </c>
      <c r="P95" s="2" t="inlineStr">
        <is>
          <t>Mock Rx20 UBU</t>
        </is>
      </c>
    </row>
    <row r="96" ht="13.2" customHeight="1" s="49">
      <c r="A96" s="8" t="inlineStr">
        <is>
          <t>94</t>
        </is>
      </c>
      <c r="B96" s="2" t="inlineStr">
        <is>
          <t>Acellular vaccine</t>
        </is>
      </c>
      <c r="C96" s="2" t="n"/>
      <c r="D96" s="2" t="inlineStr">
        <is>
          <t>Polyethylene Glycol (PEG) Conjugation for extended half-life</t>
        </is>
      </c>
      <c r="E96" s="2" t="inlineStr">
        <is>
          <t>Lyophilization (Freeze-drying) with Trehalose Cryoprotectant</t>
        </is>
      </c>
      <c r="F96" s="2" t="inlineStr">
        <is>
          <t>ELISA Immunoassay for protein quantification</t>
        </is>
      </c>
      <c r="G96" s="2" t="inlineStr">
        <is>
          <t>SDS-PAGE Gel Electrophoresis purity analysis</t>
        </is>
      </c>
      <c r="H96" s="2" t="inlineStr">
        <is>
          <t>Isoelectric Focusing (IEF) for charge heterogeneity</t>
        </is>
      </c>
      <c r="I96" s="8" t="inlineStr">
        <is>
          <t>5</t>
        </is>
      </c>
      <c r="J96" s="2"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2" t="n"/>
      <c r="L96" s="2" t="inlineStr">
        <is>
          <t>Recombinant DNA</t>
        </is>
      </c>
      <c r="M96" s="2" t="inlineStr">
        <is>
          <t>Product</t>
        </is>
      </c>
      <c r="N96" s="2" t="inlineStr">
        <is>
          <t>ข้อ 5 (PLE_CC1_Key_Rx20_UBU.md)</t>
        </is>
      </c>
      <c r="O96" s="2" t="inlineStr">
        <is>
          <t>Mock</t>
        </is>
      </c>
      <c r="P96" s="2" t="inlineStr">
        <is>
          <t>Mock Rx20 UBU</t>
        </is>
      </c>
    </row>
    <row r="97" ht="13.2" customHeight="1" s="49">
      <c r="A97" s="8" t="inlineStr">
        <is>
          <t>95</t>
        </is>
      </c>
      <c r="B97" s="2" t="inlineStr">
        <is>
          <t>หากแพทยตองการสั่งฉีดวัคซีนบาดทะยักในผูปวยราย นี้ ขอใดถูกตอง</t>
        </is>
      </c>
      <c r="C97" s="2" t="n"/>
      <c r="D97" s="2" t="inlineStr">
        <is>
          <t>SDS-PAGE Gel Electrophoresis purity analysis</t>
        </is>
      </c>
      <c r="E97" s="2" t="inlineStr">
        <is>
          <t>Isoelectric Focusing (IEF) for charge heterogeneity</t>
        </is>
      </c>
      <c r="F97" s="2" t="inlineStr">
        <is>
          <t>Immunogenicity Neutralizing Antibody Assay</t>
        </is>
      </c>
      <c r="G97" s="2" t="inlineStr">
        <is>
          <t>Polysorbate 20 surfactant to prevent protein aggregation</t>
        </is>
      </c>
      <c r="H97" s="2" t="inlineStr">
        <is>
          <t>Histidine Buffer pH 6.0 formulation stability</t>
        </is>
      </c>
      <c r="I97" s="8" t="inlineStr">
        <is>
          <t>1</t>
        </is>
      </c>
      <c r="J97" s="2"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2" t="n"/>
      <c r="L97" s="2" t="inlineStr">
        <is>
          <t>Recombinant DNA</t>
        </is>
      </c>
      <c r="M97" s="2" t="inlineStr">
        <is>
          <t>Product</t>
        </is>
      </c>
      <c r="N97" s="2" t="inlineStr">
        <is>
          <t>ข้อ 3 (PLE_CC1_Key_Rx20_UBU.md)</t>
        </is>
      </c>
      <c r="O97" s="2" t="inlineStr">
        <is>
          <t>Mock</t>
        </is>
      </c>
      <c r="P97" s="2" t="inlineStr">
        <is>
          <t>Mock Rx20 UBU</t>
        </is>
      </c>
    </row>
    <row r="98" ht="13.2" customHeight="1" s="49">
      <c r="A98" s="8" t="inlineStr">
        <is>
          <t>96</t>
        </is>
      </c>
      <c r="B98" s="2"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2" t="n"/>
      <c r="D98" s="2" t="inlineStr">
        <is>
          <t>Polysorbate 20 surfactant to prevent protein aggregation</t>
        </is>
      </c>
      <c r="E98" s="2" t="inlineStr">
        <is>
          <t>Histidine Buffer pH 6.0 formulation stability</t>
        </is>
      </c>
      <c r="F98" s="2" t="inlineStr">
        <is>
          <t>Recombinant DNA Human Insulin in E. coli</t>
        </is>
      </c>
      <c r="G98" s="2" t="inlineStr">
        <is>
          <t>Monoclonal Antibody IgG1 (CHO Cell Expression)</t>
        </is>
      </c>
      <c r="H98" s="2" t="inlineStr">
        <is>
          <t>Polyethylene Glycol (PEG) Conjugation for extended half-life</t>
        </is>
      </c>
      <c r="I98" s="8" t="inlineStr">
        <is>
          <t>1</t>
        </is>
      </c>
      <c r="J98" s="2"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2" t="n"/>
      <c r="L98" s="2" t="inlineStr">
        <is>
          <t>Recombinant DNA</t>
        </is>
      </c>
      <c r="M98" s="2" t="inlineStr">
        <is>
          <t>Product</t>
        </is>
      </c>
      <c r="N98" s="2" t="inlineStr">
        <is>
          <t>ข้อ 5 (PLE_CC1_Key_Rx20_UBU.md)</t>
        </is>
      </c>
      <c r="O98" s="2" t="inlineStr">
        <is>
          <t>Mock</t>
        </is>
      </c>
      <c r="P98" s="2" t="inlineStr">
        <is>
          <t>Mock Rx20 UBU</t>
        </is>
      </c>
    </row>
    <row r="99" ht="13.2" customHeight="1" s="49">
      <c r="A99" s="8" t="inlineStr">
        <is>
          <t>97</t>
        </is>
      </c>
      <c r="B99" s="2" t="inlineStr">
        <is>
          <t>ขอใดถูกเกี่ยวกับการฉีดวัคซีนพิษสุนัขบ้า</t>
        </is>
      </c>
      <c r="C99" s="2" t="n"/>
      <c r="D99" s="2" t="inlineStr">
        <is>
          <t>Monoclonal Antibody IgG1 (CHO Cell Expression)</t>
        </is>
      </c>
      <c r="E99" s="2" t="inlineStr">
        <is>
          <t>Polyethylene Glycol (PEG) Conjugation for extended half-life</t>
        </is>
      </c>
      <c r="F99" s="2" t="inlineStr">
        <is>
          <t>Lyophilization (Freeze-drying) with Trehalose Cryoprotectant</t>
        </is>
      </c>
      <c r="G99" s="2" t="inlineStr">
        <is>
          <t>ELISA Immunoassay for protein quantification</t>
        </is>
      </c>
      <c r="H99" s="2" t="inlineStr">
        <is>
          <t>SDS-PAGE Gel Electrophoresis purity analysis</t>
        </is>
      </c>
      <c r="I99" s="8" t="inlineStr">
        <is>
          <t>1</t>
        </is>
      </c>
      <c r="J99" s="2"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2" t="n"/>
      <c r="L99" s="2" t="inlineStr">
        <is>
          <t>Recombinant DNA</t>
        </is>
      </c>
      <c r="M99" s="2" t="inlineStr">
        <is>
          <t>Product</t>
        </is>
      </c>
      <c r="N99" s="2" t="inlineStr">
        <is>
          <t>ข้อ 4 (PLE_CC1_Key_Rx20_UBU.md)</t>
        </is>
      </c>
      <c r="O99" s="2" t="inlineStr">
        <is>
          <t>Mock</t>
        </is>
      </c>
      <c r="P99" s="2" t="inlineStr">
        <is>
          <t>Mock Rx20 UBU</t>
        </is>
      </c>
    </row>
    <row r="100" ht="13.2" customHeight="1" s="49">
      <c r="A100" s="8" t="inlineStr">
        <is>
          <t>98</t>
        </is>
      </c>
      <c r="B100" s="2" t="inlineStr">
        <is>
          <t>หากจะฉีด Equine Ig พร้อมกับวัคซีนพิษสุนัขบ้า ใหฉีดที่แขนข้างเดียวกัน ตอบ 1 recall</t>
        </is>
      </c>
      <c r="C100" s="2" t="n"/>
      <c r="D100" s="2" t="inlineStr">
        <is>
          <t>ELISA Immunoassay for protein quantification</t>
        </is>
      </c>
      <c r="E100" s="2" t="inlineStr">
        <is>
          <t>SDS-PAGE Gel Electrophoresis purity analysis</t>
        </is>
      </c>
      <c r="F100" s="2" t="inlineStr">
        <is>
          <t>Isoelectric Focusing (IEF) for charge heterogeneity</t>
        </is>
      </c>
      <c r="G100" s="2" t="inlineStr">
        <is>
          <t>Immunogenicity Neutralizing Antibody Assay</t>
        </is>
      </c>
      <c r="H100" s="2" t="inlineStr">
        <is>
          <t>Polysorbate 20 surfactant to prevent protein aggregation</t>
        </is>
      </c>
      <c r="I100" s="8" t="inlineStr">
        <is>
          <t>1</t>
        </is>
      </c>
      <c r="J100" s="2"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2" t="n"/>
      <c r="L100" s="2" t="inlineStr">
        <is>
          <t>Recombinant DNA</t>
        </is>
      </c>
      <c r="M100" s="2" t="inlineStr">
        <is>
          <t>Product</t>
        </is>
      </c>
      <c r="N100" s="2" t="inlineStr">
        <is>
          <t>ข้อ 5 (PLE_CC1_Key_Rx20_UBU.md)</t>
        </is>
      </c>
      <c r="O100" s="2" t="inlineStr">
        <is>
          <t>Mock</t>
        </is>
      </c>
      <c r="P100" s="2" t="inlineStr">
        <is>
          <t>Mock Rx20 UBU</t>
        </is>
      </c>
    </row>
    <row r="101" ht="13.2" customHeight="1" s="49">
      <c r="A101" s="8" t="inlineStr">
        <is>
          <t>99</t>
        </is>
      </c>
      <c r="B101" s="2" t="inlineStr">
        <is>
          <t>หากไมทราบประวัติการไดรับวัคซีน ควรไดรับการฉีดวัคซีนอยางไร</t>
        </is>
      </c>
      <c r="C101" s="2" t="n"/>
      <c r="D101" s="2" t="inlineStr">
        <is>
          <t>Immunogenicity Neutralizing Antibody Assay</t>
        </is>
      </c>
      <c r="E101" s="2" t="inlineStr">
        <is>
          <t>Polysorbate 20 surfactant to prevent protein aggregation</t>
        </is>
      </c>
      <c r="F101" s="2" t="inlineStr">
        <is>
          <t>Histidine Buffer pH 6.0 formulation stability</t>
        </is>
      </c>
      <c r="G101" s="2" t="inlineStr">
        <is>
          <t>Recombinant DNA Human Insulin in E. coli</t>
        </is>
      </c>
      <c r="H101" s="2" t="inlineStr">
        <is>
          <t>Monoclonal Antibody IgG1 (CHO Cell Expression)</t>
        </is>
      </c>
      <c r="I101" s="8" t="inlineStr">
        <is>
          <t>1</t>
        </is>
      </c>
      <c r="J101" s="2"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2" t="n"/>
      <c r="L101" s="2" t="inlineStr">
        <is>
          <t>Recombinant DNA</t>
        </is>
      </c>
      <c r="M101" s="2" t="inlineStr">
        <is>
          <t>Product</t>
        </is>
      </c>
      <c r="N101" s="2" t="inlineStr">
        <is>
          <t>ข้อ 5 (PLE_CC1_Key_Rx20_UBU.md)</t>
        </is>
      </c>
      <c r="O101" s="2" t="inlineStr">
        <is>
          <t>Mock</t>
        </is>
      </c>
      <c r="P101" s="2" t="inlineStr">
        <is>
          <t>Mock Rx20 UBU</t>
        </is>
      </c>
    </row>
    <row r="102" ht="13.2" customHeight="1" s="49">
      <c r="A102" s="8" t="inlineStr">
        <is>
          <t>100</t>
        </is>
      </c>
      <c r="B102" s="2" t="inlineStr">
        <is>
          <t>ฉีดวัคซีนบาดทะยัก</t>
        </is>
      </c>
      <c r="C102" s="2" t="n"/>
      <c r="D102" s="2" t="inlineStr">
        <is>
          <t>Recombinant DNA Human Insulin in E. coli</t>
        </is>
      </c>
      <c r="E102" s="2" t="inlineStr">
        <is>
          <t>Monoclonal Antibody IgG1 (CHO Cell Expression)</t>
        </is>
      </c>
      <c r="F102" s="2" t="inlineStr">
        <is>
          <t>Polyethylene Glycol (PEG) Conjugation for extended half-life</t>
        </is>
      </c>
      <c r="G102" s="2" t="inlineStr">
        <is>
          <t>Lyophilization (Freeze-drying) with Trehalose Cryoprotectant</t>
        </is>
      </c>
      <c r="H102" s="2" t="inlineStr">
        <is>
          <t>ELISA Immunoassay for protein quantification</t>
        </is>
      </c>
      <c r="I102" s="8" t="inlineStr">
        <is>
          <t>1</t>
        </is>
      </c>
      <c r="J102" s="2"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2" t="n"/>
      <c r="L102" s="2" t="inlineStr">
        <is>
          <t>Recombinant DNA</t>
        </is>
      </c>
      <c r="M102" s="2" t="inlineStr">
        <is>
          <t>Product</t>
        </is>
      </c>
      <c r="N102" s="2" t="inlineStr">
        <is>
          <t>ข้อ 1 (PLE_CC1_Key_Rx20_UBU.md)</t>
        </is>
      </c>
      <c r="O102" s="2" t="inlineStr">
        <is>
          <t>Mock</t>
        </is>
      </c>
      <c r="P102" s="2" t="inlineStr">
        <is>
          <t>Mock Rx20 UBU</t>
        </is>
      </c>
    </row>
    <row r="103" ht="13.2" customHeight="1" s="49">
      <c r="A103" s="8" t="inlineStr">
        <is>
          <t>101</t>
        </is>
      </c>
      <c r="B103" s="2" t="inlineStr">
        <is>
          <t>ฉีดวัคซีนปองกันพิษสุนัขบา</t>
        </is>
      </c>
      <c r="C103" s="2" t="n"/>
      <c r="D103" s="2" t="inlineStr">
        <is>
          <t>Lyophilization (Freeze-drying) with Trehalose Cryoprotectant</t>
        </is>
      </c>
      <c r="E103" s="2" t="inlineStr">
        <is>
          <t>ELISA Immunoassay for protein quantification</t>
        </is>
      </c>
      <c r="F103" s="2" t="inlineStr">
        <is>
          <t>SDS-PAGE Gel Electrophoresis purity analysis</t>
        </is>
      </c>
      <c r="G103" s="2" t="inlineStr">
        <is>
          <t>Isoelectric Focusing (IEF) for charge heterogeneity</t>
        </is>
      </c>
      <c r="H103" s="2" t="inlineStr">
        <is>
          <t>Immunogenicity Neutralizing Antibody Assay</t>
        </is>
      </c>
      <c r="I103" s="8" t="inlineStr">
        <is>
          <t>1</t>
        </is>
      </c>
      <c r="J103" s="2"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2" t="n"/>
      <c r="L103" s="2" t="inlineStr">
        <is>
          <t>Recombinant DNA</t>
        </is>
      </c>
      <c r="M103" s="2" t="inlineStr">
        <is>
          <t>Product</t>
        </is>
      </c>
      <c r="N103" s="2" t="inlineStr">
        <is>
          <t>ข้อ 2 (PLE_CC1_Key_Rx20_UBU.md)</t>
        </is>
      </c>
      <c r="O103" s="2" t="inlineStr">
        <is>
          <t>Mock</t>
        </is>
      </c>
      <c r="P103" s="2" t="inlineStr">
        <is>
          <t>Mock Rx20 UBU</t>
        </is>
      </c>
    </row>
    <row r="104" ht="13.2" customHeight="1" s="49">
      <c r="A104" s="8" t="inlineStr">
        <is>
          <t>102</t>
        </is>
      </c>
      <c r="B104" s="2" t="inlineStr">
        <is>
          <t>ฉีดอิมมูโนโกลบูลิน และ วัคซีนปองกันพิษสุนัขบา</t>
        </is>
      </c>
      <c r="C104" s="2" t="n"/>
      <c r="D104" s="2" t="inlineStr">
        <is>
          <t>Isoelectric Focusing (IEF) for charge heterogeneity</t>
        </is>
      </c>
      <c r="E104" s="2" t="inlineStr">
        <is>
          <t>Immunogenicity Neutralizing Antibody Assay</t>
        </is>
      </c>
      <c r="F104" s="2" t="inlineStr">
        <is>
          <t>Polysorbate 20 surfactant to prevent protein aggregation</t>
        </is>
      </c>
      <c r="G104" s="2" t="inlineStr">
        <is>
          <t>Histidine Buffer pH 6.0 formulation stability</t>
        </is>
      </c>
      <c r="H104" s="2" t="inlineStr">
        <is>
          <t>Recombinant DNA Human Insulin in E. coli</t>
        </is>
      </c>
      <c r="I104" s="8" t="inlineStr">
        <is>
          <t>1</t>
        </is>
      </c>
      <c r="J104" s="2"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2" t="n"/>
      <c r="L104" s="2" t="inlineStr">
        <is>
          <t>Recombinant DNA</t>
        </is>
      </c>
      <c r="M104" s="2" t="inlineStr">
        <is>
          <t>Product</t>
        </is>
      </c>
      <c r="N104" s="2" t="inlineStr">
        <is>
          <t>ข้อ 4 (PLE_CC1_Key_Rx20_UBU.md)</t>
        </is>
      </c>
      <c r="O104" s="2" t="inlineStr">
        <is>
          <t>Mock</t>
        </is>
      </c>
      <c r="P104" s="2" t="inlineStr">
        <is>
          <t>Mock Rx20 UBU</t>
        </is>
      </c>
    </row>
    <row r="105" ht="13.2" customHeight="1" s="49">
      <c r="A105" s="8" t="inlineStr">
        <is>
          <t>103</t>
        </is>
      </c>
      <c r="B105" s="2"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2" t="n"/>
      <c r="D105" s="2" t="inlineStr">
        <is>
          <t>Histidine Buffer pH 6.0 formulation stability</t>
        </is>
      </c>
      <c r="E105" s="2" t="inlineStr">
        <is>
          <t>Recombinant DNA Human Insulin in E. coli</t>
        </is>
      </c>
      <c r="F105" s="2" t="inlineStr">
        <is>
          <t>Monoclonal Antibody IgG1 (CHO Cell Expression)</t>
        </is>
      </c>
      <c r="G105" s="2" t="inlineStr">
        <is>
          <t>Polyethylene Glycol (PEG) Conjugation for extended half-life</t>
        </is>
      </c>
      <c r="H105" s="2" t="inlineStr">
        <is>
          <t>Lyophilization (Freeze-drying) with Trehalose Cryoprotectant</t>
        </is>
      </c>
      <c r="I105" s="8" t="inlineStr">
        <is>
          <t>1</t>
        </is>
      </c>
      <c r="J105" s="2"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2" t="n"/>
      <c r="L105" s="2" t="inlineStr">
        <is>
          <t>Recombinant DNA</t>
        </is>
      </c>
      <c r="M105" s="2" t="inlineStr">
        <is>
          <t>Product</t>
        </is>
      </c>
      <c r="N105" s="2" t="inlineStr">
        <is>
          <t>ข้อ 5 (PLE_CC1_Key_Rx20_UBU.md)</t>
        </is>
      </c>
      <c r="O105" s="2" t="inlineStr">
        <is>
          <t>Mock</t>
        </is>
      </c>
      <c r="P105" s="2" t="inlineStr">
        <is>
          <t>Mock Rx20 UBU</t>
        </is>
      </c>
    </row>
    <row r="106" ht="13.2" customHeight="1" s="49">
      <c r="A106" s="8" t="inlineStr">
        <is>
          <t>104</t>
        </is>
      </c>
      <c r="B106" s="2" t="inlineStr">
        <is>
          <t>ข้อใดถูกต้องเกี่ยวกับ Insulin ที่ได้จากการทำ Recombinant DNA</t>
        </is>
      </c>
      <c r="C106" s="2" t="n"/>
      <c r="D106" s="2" t="inlineStr">
        <is>
          <t>นำ Beta-cell ไปเพาะเลี้ยงในหลอดทดลอง แล้วสกัด Insulin ออกมา</t>
        </is>
      </c>
      <c r="E106" s="2" t="inlineStr">
        <is>
          <t>นำยีนที่สร้าง Insulin ของคน ไปทำ PCR แล้วเก็บเกี่ยวโปรตีน</t>
        </is>
      </c>
      <c r="F106" s="2" t="inlineStr">
        <is>
          <t>ตัดต่อยีนสร้าง Insulin ให้กับยีสต์ แล้วเอายีสต์ไปเลี้ยง เพื่อให้สร้าง Insulin ออกมา</t>
        </is>
      </c>
      <c r="G106" s="2" t="inlineStr">
        <is>
          <t>ใช้ Agrobacteria นำส่งยีนที่ต้องการไปสู่เซลล์ของสัตว์ทดลอง ให้ผลิต Insulin</t>
        </is>
      </c>
      <c r="H106" s="2" t="inlineStr">
        <is>
          <t>สกัด Insulin จากสัตว์ทดลองไปตัดต่อโครงสร้าง แล้วนำมาใช้ในคน</t>
        </is>
      </c>
      <c r="I106" s="8" t="inlineStr">
        <is>
          <t>3</t>
        </is>
      </c>
      <c r="J106" s="2"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2" t="n"/>
      <c r="L106" s="2" t="inlineStr">
        <is>
          <t>Recombinant DNA</t>
        </is>
      </c>
      <c r="M106" s="2" t="inlineStr">
        <is>
          <t>Product</t>
        </is>
      </c>
      <c r="N106" s="2" t="inlineStr">
        <is>
          <t>ข้อ 79 (PLE_CC1_Key_Rx20_UBU.md)</t>
        </is>
      </c>
      <c r="O106" s="2" t="inlineStr">
        <is>
          <t>Mock</t>
        </is>
      </c>
      <c r="P106" s="2" t="inlineStr">
        <is>
          <t>Mock Rx20 UBU</t>
        </is>
      </c>
    </row>
    <row r="107" ht="13.2" customHeight="1" s="49">
      <c r="A107" s="2" t="n">
        <v>105</v>
      </c>
      <c r="B107" s="2" t="inlineStr">
        <is>
          <t>ข้อใดไม่ใช่ปัจจัยที่มีผลต่อการเกิด Immunogenicity ของยาชีววัตถุ (Biological Products)</t>
        </is>
      </c>
      <c r="C107" s="2" t="n"/>
      <c r="D107" s="2" t="inlineStr">
        <is>
          <t>โครงสร้างที่ไม่คล้ายกับ Human endogenous</t>
        </is>
      </c>
      <c r="E107" s="2" t="inlineStr">
        <is>
          <t>การเกิดการเสื่อมสลายและการรวมกลุ่มของ protein</t>
        </is>
      </c>
      <c r="F107" s="2" t="inlineStr">
        <is>
          <t>Excipient ของ formulation ที่ส่งผลต่อการเปลี่ยนแปลง conformation</t>
        </is>
      </c>
      <c r="G107" s="2" t="inlineStr">
        <is>
          <t>ขนาดและความถี่ในการให้ยา</t>
        </is>
      </c>
      <c r="H107" s="2" t="inlineStr">
        <is>
          <t>อัตราการให้เข้าสู่ systemic circulation ที่น้อยกว่า IV bolus</t>
        </is>
      </c>
      <c r="I107" s="8" t="inlineStr">
        <is>
          <t>3</t>
        </is>
      </c>
      <c r="J107" s="2"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2" t="n"/>
      <c r="L107" s="2" t="inlineStr">
        <is>
          <t>Biotech Products</t>
        </is>
      </c>
      <c r="M107" s="2" t="inlineStr">
        <is>
          <t>Product</t>
        </is>
      </c>
      <c r="N107" s="2" t="inlineStr">
        <is>
          <t>Mock PLE-CC 1 ข้อ 64</t>
        </is>
      </c>
      <c r="O107" s="2" t="inlineStr">
        <is>
          <t>Mock</t>
        </is>
      </c>
      <c r="P107" s="2" t="inlineStr">
        <is>
          <t>Mock RxCU83</t>
        </is>
      </c>
    </row>
    <row r="108" ht="13.2" customHeight="1" s="49">
      <c r="A108" s="2" t="n">
        <v>106</v>
      </c>
      <c r="B108" s="2" t="inlineStr">
        <is>
          <t>ข้อใดเป็น excipients ที่นิยมใช้ใน formulation ของ injectable monoclonal antibody เพื่อลดการเกิด aggregation และเพิ่ม stability</t>
        </is>
      </c>
      <c r="C108" s="2" t="n"/>
      <c r="D108" s="2" t="inlineStr">
        <is>
          <t>Sorbitol</t>
        </is>
      </c>
      <c r="E108" s="2" t="inlineStr">
        <is>
          <t>Mannitol</t>
        </is>
      </c>
      <c r="F108" s="2" t="inlineStr">
        <is>
          <t>Polysorbate 80</t>
        </is>
      </c>
      <c r="G108" s="2" t="inlineStr">
        <is>
          <t>Sodium Chloride</t>
        </is>
      </c>
      <c r="H108" s="2" t="inlineStr">
        <is>
          <t>PEG 400</t>
        </is>
      </c>
      <c r="I108" s="8" t="inlineStr">
        <is>
          <t>3</t>
        </is>
      </c>
      <c r="J108" s="2"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2" t="n"/>
      <c r="L108" s="2" t="inlineStr">
        <is>
          <t>Biotech Products</t>
        </is>
      </c>
      <c r="M108" s="2" t="inlineStr">
        <is>
          <t>Product</t>
        </is>
      </c>
      <c r="N108" s="2" t="inlineStr">
        <is>
          <t>Mock PLE-CC 1 ข้อ 73</t>
        </is>
      </c>
      <c r="O108" s="2" t="inlineStr">
        <is>
          <t>Mock</t>
        </is>
      </c>
      <c r="P108" s="2" t="inlineStr">
        <is>
          <t>Mock RxCU83</t>
        </is>
      </c>
    </row>
    <row r="109" ht="13.2" customHeight="1" s="49">
      <c r="A109" s="2" t="n">
        <v>107</v>
      </c>
      <c r="B109" s="2" t="inlineStr">
        <is>
          <t>ข้อใดคือลักษณะและข้อกำหนดที่ถูกต้องของการขึ้นทะเบียนยาชีววัตถุคล้ายคลึง (Biosimilar) เทียบกับ Reference biological drug</t>
        </is>
      </c>
      <c r="C109" s="2" t="n"/>
      <c r="D109" s="2" t="inlineStr">
        <is>
          <t>ใช้เกณฑ์มาตรฐานเดียวกับยาชื่อสามัญ (Generic drug) โดยทดสอบเพียงการละลายในหลอดทดลอง</t>
        </is>
      </c>
      <c r="E109" s="2" t="inlineStr">
        <is>
          <t>ต้องแสดงข้อมูล Biosimilar comparability ครบถ้วนทั้ง Quality, Safety และ Clinical Efficacy</t>
        </is>
      </c>
      <c r="F109" s="2" t="inlineStr">
        <is>
          <t>ไม่ต้องทำการทดสอบ Clinical และ Non-clinical หากกระบวนการหมักเหมือนเดิม</t>
        </is>
      </c>
      <c r="G109" s="2" t="inlineStr">
        <is>
          <t>ไม่ต้องแสดงข้อมูล Immunogenicity เพราะถือว่าเป็นโปรตีนที่เหมือนกับต้นแบบ 100%</t>
        </is>
      </c>
      <c r="H109" s="2" t="inlineStr">
        <is>
          <t>ถือว่าเป็น generic drug ของยา Reference เพราะมีโครงสร้างโปรตีนขนาดเล็กคล้ายกัน</t>
        </is>
      </c>
      <c r="I109" s="8" t="inlineStr">
        <is>
          <t>2</t>
        </is>
      </c>
      <c r="J109" s="2"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2" t="n"/>
      <c r="L109" s="2" t="inlineStr">
        <is>
          <t>Biotech Products</t>
        </is>
      </c>
      <c r="M109" s="2" t="inlineStr">
        <is>
          <t>Product</t>
        </is>
      </c>
      <c r="N109" s="2" t="inlineStr">
        <is>
          <t>Mock PLE-CC 1 ข้อ 82</t>
        </is>
      </c>
      <c r="O109" s="2" t="inlineStr">
        <is>
          <t>Mock</t>
        </is>
      </c>
      <c r="P109" s="2" t="inlineStr">
        <is>
          <t>Mock RxCU83</t>
        </is>
      </c>
    </row>
    <row r="110" ht="409.6" customHeight="1" s="49">
      <c r="A110" s="35" t="n">
        <v>108</v>
      </c>
      <c r="B110" s="34" t="inlineStr">
        <is>
          <t>สารก่อฟิล์ม ในการเคลือบเม็ดยา</t>
        </is>
      </c>
      <c r="C110" s="35" t="n"/>
      <c r="D110" s="34" t="inlineStr">
        <is>
          <t>Hypromellose (HPMC) ✅ Film-forming agent</t>
        </is>
      </c>
      <c r="E110" s="34" t="inlineStr">
        <is>
          <t>Macrogol 400 (PEG 400\) ❌ Plasticizer</t>
        </is>
      </c>
      <c r="F110" s="34" t="inlineStr">
        <is>
          <t>Carnauba wax ❌ Polishing agent</t>
        </is>
      </c>
      <c r="G110" s="34" t="inlineStr">
        <is>
          <t>Dibutyl phthalate ❌ Plasticizer</t>
        </is>
      </c>
      <c r="H110" s="34" t="inlineStr">
        <is>
          <t>SiO₂ (Colloidal silicon dioxide) ❌ Glidant/Anti-caking agent</t>
        </is>
      </c>
      <c r="I110" s="35" t="n">
        <v>1</v>
      </c>
      <c r="J110" s="34" t="inlineStr">
        <is>
          <t>✅ คำตอบที่ถูกต้อง: ข้อ ก. Hypromellose (HPMC) ✅ Film-forming agent
💡 Background:
คำถามข้อสอบจริงใบประกอบวิชาชีพ PLE-CC 1 (Product) ปี 2564 ข้อ 66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35" t="n"/>
      <c r="L110" s="34" t="inlineStr">
        <is>
          <t>Biotechnology &amp; Biological Products</t>
        </is>
      </c>
      <c r="M110" s="35" t="inlineStr">
        <is>
          <t>Product</t>
        </is>
      </c>
      <c r="N110" s="34" t="inlineStr">
        <is>
          <t>ข้อสอบจริง Product ปี 2564 ข้อ 66</t>
        </is>
      </c>
      <c r="O110" s="35" t="inlineStr">
        <is>
          <t>ข้อสอบจริง</t>
        </is>
      </c>
      <c r="P110" s="35" t="inlineStr">
        <is>
          <t>ปี 2564</t>
        </is>
      </c>
    </row>
    <row r="111" ht="409.6" customHeight="1" s="49">
      <c r="A111" s="35" t="n">
        <v>109</v>
      </c>
      <c r="B111" s="34" t="inlineStr">
        <is>
          <t>สารก่อฟิล์ม ในการเคลือบเม็ดยา ต้นฉบับ: Day 2 ข้อ 20</t>
        </is>
      </c>
      <c r="C111" s="35" t="n"/>
      <c r="D111" s="34" t="inlineStr">
        <is>
          <t>Hypromellose</t>
        </is>
      </c>
      <c r="E111" s="34" t="inlineStr">
        <is>
          <t>Macrogol 400</t>
        </is>
      </c>
      <c r="F111" s="34" t="inlineStr">
        <is>
          <t>Carnauba wax</t>
        </is>
      </c>
      <c r="G111" s="34" t="inlineStr">
        <is>
          <t>Dibutyl phthalate</t>
        </is>
      </c>
      <c r="H111" s="34" t="inlineStr">
        <is>
          <t>SiO₂</t>
        </is>
      </c>
      <c r="I111" s="35" t="n">
        <v>1</v>
      </c>
      <c r="J111" s="34" t="inlineStr">
        <is>
          <t>✅ คำตอบที่ถูกต้อง: ข้อ ก. Hypromellose
💡 Background:
คำถามข้อสอบจริงใบประกอบวิชาชีพ PLE-CC 1 (Product) ปี 2563 ข้อ 28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1" s="35" t="n"/>
      <c r="L111" s="34" t="inlineStr">
        <is>
          <t>Biotechnology &amp; Biological Products</t>
        </is>
      </c>
      <c r="M111" s="35" t="inlineStr">
        <is>
          <t>Product</t>
        </is>
      </c>
      <c r="N111" s="34" t="inlineStr">
        <is>
          <t>ข้อสอบจริง Product ปี 2563 ข้อ 28</t>
        </is>
      </c>
      <c r="O111" s="35" t="inlineStr">
        <is>
          <t>ข้อสอบจริง</t>
        </is>
      </c>
      <c r="P111" s="35" t="inlineStr">
        <is>
          <t>ปี 2563</t>
        </is>
      </c>
    </row>
    <row r="112" ht="409.6" customHeight="1" s="49">
      <c r="A112" s="35" t="n">
        <v>110</v>
      </c>
      <c r="B112" s="34" t="inlineStr">
        <is>
          <t>Secondary drying (desorption) — ไล่น้ำที่จับกับโมเลกุลออก   ข้อดี: ทำที่อุณหภูมิต่ำตลอดกระบวนการ โปรตีนจึงไม่เสียสภาพ ได้ผงที่มีรูพรุนละลายกลับได้เร็ว (rapid reconstitution) และมีความคงตัวสูงเก็บได้นาน   มักเติม cryoprotectant/lyoprotectant เช่น trehalose, sucrose, mannitol เพื่อปกป้องโปรตีนระหว่างการแช่แข็งและทำแห้ง | | :---- | ข้อ 59. ถ้าต้องการเปลี่ยนยาต้นแบบ trastuzumab powder ไปเป็น biosimilar ปัจจัยใดจำเป็นในการพิจารณามากที่สุด</t>
        </is>
      </c>
      <c r="C112" s="35" t="n"/>
      <c r="D112" s="34" t="inlineStr">
        <is>
          <t>ความปลอดภัย</t>
        </is>
      </c>
      <c r="E112" s="34" t="inlineStr">
        <is>
          <t>ราคา</t>
        </is>
      </c>
      <c r="F112" s="34" t="inlineStr">
        <is>
          <t>ขนาดยา</t>
        </is>
      </c>
      <c r="G112" s="34" t="inlineStr">
        <is>
          <t>ระยะเวลาในการใช้งาน</t>
        </is>
      </c>
      <c r="H112" s="34" t="inlineStr">
        <is>
          <t>อายุ |</t>
        </is>
      </c>
      <c r="I112" s="35" t="n">
        <v>1</v>
      </c>
      <c r="J112" s="34" t="inlineStr">
        <is>
          <t>✅ คำตอบที่ถูกต้อง: ข้อ ก. ความปลอดภัย
💡 Background:
คำถามข้อสอบจริงใบประกอบวิชาชีพ PLE-CC 1 (Product) ปี 2562 ข้อ 3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2" s="35" t="n"/>
      <c r="L112" s="34" t="inlineStr">
        <is>
          <t>Biotechnology &amp; Biological Products</t>
        </is>
      </c>
      <c r="M112" s="35" t="inlineStr">
        <is>
          <t>Product</t>
        </is>
      </c>
      <c r="N112" s="34" t="inlineStr">
        <is>
          <t>ข้อสอบจริง Product ปี 2562 ข้อ 3</t>
        </is>
      </c>
      <c r="O112" s="35" t="inlineStr">
        <is>
          <t>ข้อสอบจริง</t>
        </is>
      </c>
      <c r="P112" s="35" t="inlineStr">
        <is>
          <t>ปี 2562</t>
        </is>
      </c>
    </row>
    <row r="113" ht="409.6" customHeight="1" s="49">
      <c r="A113" s="35" t="n">
        <v>111</v>
      </c>
      <c r="B113" s="34" t="inlineStr">
        <is>
          <t>หากลูกค้าที่ซื้อยา กลับมาที่ร้านแล้วพบว่ายาเคลือบน้ำตาล dextromethorphan นั่นเป็นจุดด่าง ข้อใดถูกต้อง</t>
        </is>
      </c>
      <c r="C113" s="35" t="n"/>
      <c r="D113" s="34" t="inlineStr">
        <is>
          <t>เรียกว่า chipping</t>
        </is>
      </c>
      <c r="E113" s="34" t="inlineStr">
        <is>
          <t>นิยมใช้สีที่ไม่ละลายน้ำเพื่อลดสีย้ายที่</t>
        </is>
      </c>
      <c r="F113" s="34" t="inlineStr">
        <is>
          <t>การใช้สีละลายน้ำสามารถลดปัญหาสีย้ายที่</t>
        </is>
      </c>
      <c r="G113" s="34" t="inlineStr">
        <is>
          <t>การเคลือบสีมักใช้ผสมกับ carnauba wax</t>
        </is>
      </c>
      <c r="H113" s="34" t="inlineStr">
        <is>
          <t>เกิดจากการทำการเคลือบสีในขั้นตอน sealing</t>
        </is>
      </c>
      <c r="I113" s="35" t="n">
        <v>1</v>
      </c>
      <c r="J113" s="34"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35" t="n"/>
      <c r="L113" s="34" t="inlineStr">
        <is>
          <t>Biotechnology &amp; Biological Products</t>
        </is>
      </c>
      <c r="M113" s="35" t="inlineStr">
        <is>
          <t>Product</t>
        </is>
      </c>
      <c r="N113" s="34" t="inlineStr">
        <is>
          <t>ข้อสอบจริง Product ปี 2561 ข้อ 57</t>
        </is>
      </c>
      <c r="O113" s="35" t="inlineStr">
        <is>
          <t>ข้อสอบจริง</t>
        </is>
      </c>
      <c r="P113" s="35" t="inlineStr">
        <is>
          <t>ปี 2561</t>
        </is>
      </c>
    </row>
    <row r="114" ht="409.6" customHeight="1" s="49">
      <c r="A114" s="35" t="n">
        <v>112</v>
      </c>
      <c r="B114" s="34"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t>
        </is>
      </c>
      <c r="C114" s="35" t="inlineStr">
        <is>
          <t>[แนบรูป: ข้อสอบ Product ปี 2561 รหัสรูปภาพ image112]</t>
        </is>
      </c>
      <c r="D114" s="34" t="inlineStr">
        <is>
          <t>แกน X เป็นความเข้มข้นของสาร B</t>
        </is>
      </c>
      <c r="E114" s="34" t="inlineStr">
        <is>
          <t>กราฟที่ได้มาตรฐาน ควรมีจุดไม่เกิน 3 จุด</t>
        </is>
      </c>
      <c r="F114" s="34" t="inlineStr">
        <is>
          <t>แกน Y คืออัตราส่วนระหว่างความเข้มข้นสาร A และ B</t>
        </is>
      </c>
      <c r="G114" s="34" t="inlineStr">
        <is>
          <t>การมี internal standard solution ทำให้ค่า R² ห่างจาก 1 มากขึ้น</t>
        </is>
      </c>
      <c r="H114" s="34" t="inlineStr">
        <is>
          <t>ผลกราฟที่ได้ แสดงว่าสารไม่ได้มาตรฐาน เนื่องจาก linearity ไม่ได้มาตรฐาน</t>
        </is>
      </c>
      <c r="I114" s="35" t="n">
        <v>1</v>
      </c>
      <c r="J114" s="34"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35" t="n"/>
      <c r="L114" s="34" t="inlineStr">
        <is>
          <t>Biotechnology &amp; Biological Products</t>
        </is>
      </c>
      <c r="M114" s="35" t="inlineStr">
        <is>
          <t>Product</t>
        </is>
      </c>
      <c r="N114" s="34" t="inlineStr">
        <is>
          <t>ข้อสอบจริง Product ปี 2561 ข้อ 94</t>
        </is>
      </c>
      <c r="O114" s="35" t="inlineStr">
        <is>
          <t>ข้อสอบจริง</t>
        </is>
      </c>
      <c r="P114" s="35" t="inlineStr">
        <is>
          <t>ปี 2561</t>
        </is>
      </c>
    </row>
    <row r="115" ht="409.6" customHeight="1" s="49">
      <c r="A115" s="35" t="n">
        <v>113</v>
      </c>
      <c r="B115" s="34" t="inlineStr">
        <is>
          <t>Insulin gargine ผลิตมาจากอะไร</t>
        </is>
      </c>
      <c r="C115" s="35" t="n"/>
      <c r="D115" s="34" t="inlineStr">
        <is>
          <t>ตับอ่อนของวัว</t>
        </is>
      </c>
      <c r="E115" s="34" t="inlineStr">
        <is>
          <t>ตับอ่อนของหมู</t>
        </is>
      </c>
      <c r="F115" s="34" t="inlineStr">
        <is>
          <t>ตับอ่อนของคน</t>
        </is>
      </c>
      <c r="G115" s="34" t="inlineStr">
        <is>
          <t>Recombinant DNA</t>
        </is>
      </c>
      <c r="H115" s="34" t="inlineStr">
        <is>
          <t>Recombinant DNA E.coli</t>
        </is>
      </c>
      <c r="I115" s="35" t="n">
        <v>1</v>
      </c>
      <c r="J115" s="34"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35" t="n"/>
      <c r="L115" s="34" t="inlineStr">
        <is>
          <t>Biotechnology &amp; Biological Products</t>
        </is>
      </c>
      <c r="M115" s="35" t="inlineStr">
        <is>
          <t>Product</t>
        </is>
      </c>
      <c r="N115" s="34" t="inlineStr">
        <is>
          <t>ข้อสอบจริง Product ปี 2559 ข้อ 5</t>
        </is>
      </c>
      <c r="O115" s="35" t="inlineStr">
        <is>
          <t>ข้อสอบจริง</t>
        </is>
      </c>
      <c r="P115" s="35" t="inlineStr">
        <is>
          <t>ปี 2559</t>
        </is>
      </c>
    </row>
    <row r="116" ht="409.6" customHeight="1" s="49">
      <c r="A116" s="35" t="n">
        <v>114</v>
      </c>
      <c r="B116" s="34" t="inlineStr">
        <is>
          <t>Vaccine ที่มีส่วนผสมของ aluminium เป็น adjuvant สามารถบริหารได้ทางใด</t>
        </is>
      </c>
      <c r="C116" s="35" t="n"/>
      <c r="D116" s="34" t="inlineStr">
        <is>
          <t>IV</t>
        </is>
      </c>
      <c r="E116" s="34" t="inlineStr">
        <is>
          <t>IM</t>
        </is>
      </c>
      <c r="F116" s="34" t="inlineStr">
        <is>
          <t>SC</t>
        </is>
      </c>
      <c r="G116" s="34" t="inlineStr">
        <is>
          <t>ID</t>
        </is>
      </c>
      <c r="H116" s="34" t="inlineStr">
        <is>
          <t>IM \+ SC</t>
        </is>
      </c>
      <c r="I116" s="35" t="n">
        <v>1</v>
      </c>
      <c r="J116" s="34"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35" t="n"/>
      <c r="L116" s="34" t="inlineStr">
        <is>
          <t>Biotechnology &amp; Biological Products</t>
        </is>
      </c>
      <c r="M116" s="35" t="inlineStr">
        <is>
          <t>Product</t>
        </is>
      </c>
      <c r="N116" s="34" t="inlineStr">
        <is>
          <t>ข้อสอบจริง Product ปี 2559 ข้อ 9</t>
        </is>
      </c>
      <c r="O116" s="35" t="inlineStr">
        <is>
          <t>ข้อสอบจริง</t>
        </is>
      </c>
      <c r="P116" s="35" t="inlineStr">
        <is>
          <t>ปี 2559</t>
        </is>
      </c>
    </row>
    <row r="117" ht="409.6" customHeight="1" s="49">
      <c r="A117" s="35" t="n">
        <v>115</v>
      </c>
      <c r="B117" s="34" t="inlineStr">
        <is>
          <t>Vaccine ใดจัดอยู่ในกลุ่มเดียวกับ JE</t>
        </is>
      </c>
      <c r="C117" s="35" t="n"/>
      <c r="D117" s="34" t="inlineStr">
        <is>
          <t>OPV</t>
        </is>
      </c>
      <c r="E117" s="34" t="inlineStr">
        <is>
          <t>HBV</t>
        </is>
      </c>
      <c r="F117" s="34" t="inlineStr">
        <is>
          <t>DTwP</t>
        </is>
      </c>
      <c r="G117" s="34" t="inlineStr">
        <is>
          <t>MMT</t>
        </is>
      </c>
      <c r="H117" s="34" t="n"/>
      <c r="I117" s="35" t="n">
        <v>1</v>
      </c>
      <c r="J117" s="34"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35" t="n"/>
      <c r="L117" s="34" t="inlineStr">
        <is>
          <t>Biotechnology &amp; Biological Products</t>
        </is>
      </c>
      <c r="M117" s="35" t="inlineStr">
        <is>
          <t>Product</t>
        </is>
      </c>
      <c r="N117" s="34" t="inlineStr">
        <is>
          <t>ข้อสอบจริง Product ปี 2559 ข้อ 11</t>
        </is>
      </c>
      <c r="O117" s="35" t="inlineStr">
        <is>
          <t>ข้อสอบจริง</t>
        </is>
      </c>
      <c r="P117" s="35" t="inlineStr">
        <is>
          <t>ปี 2559</t>
        </is>
      </c>
    </row>
    <row r="118" ht="409.6" customHeight="1" s="49">
      <c r="A118" s="35" t="n">
        <v>116</v>
      </c>
      <c r="B118" s="34" t="inlineStr">
        <is>
          <t>Vaccine ที่มีส่วนผสมของ aluminium เป็น adjuvant สามารถบริหารได้ทางใด</t>
        </is>
      </c>
      <c r="C118" s="35" t="n"/>
      <c r="D118" s="34" t="inlineStr">
        <is>
          <t>IV</t>
        </is>
      </c>
      <c r="E118" s="34" t="inlineStr">
        <is>
          <t>IM</t>
        </is>
      </c>
      <c r="F118" s="34" t="inlineStr">
        <is>
          <t>SC</t>
        </is>
      </c>
      <c r="G118" s="34" t="inlineStr">
        <is>
          <t>ID</t>
        </is>
      </c>
      <c r="H118" s="34" t="inlineStr">
        <is>
          <t>IM \+ SC</t>
        </is>
      </c>
      <c r="I118" s="35" t="n">
        <v>1</v>
      </c>
      <c r="J118" s="34"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35" t="n"/>
      <c r="L118" s="34" t="inlineStr">
        <is>
          <t>Biotechnology &amp; Biological Products</t>
        </is>
      </c>
      <c r="M118" s="35" t="inlineStr">
        <is>
          <t>Product</t>
        </is>
      </c>
      <c r="N118" s="34" t="inlineStr">
        <is>
          <t>ข้อสอบจริง Product ปี 2559 ข้อ 10</t>
        </is>
      </c>
      <c r="O118" s="35" t="inlineStr">
        <is>
          <t>ข้อสอบจริง</t>
        </is>
      </c>
      <c r="P118" s="35" t="inlineStr">
        <is>
          <t>ปี 2559</t>
        </is>
      </c>
    </row>
    <row r="119" ht="409.6" customHeight="1" s="49">
      <c r="A119" s="35" t="n">
        <v>117</v>
      </c>
      <c r="B119" s="34"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35" t="n"/>
      <c r="D119" s="34" t="inlineStr">
        <is>
          <t>ต้องจัดเตรียมยาในสภาวะแวดล้อมที่ห้องควบคุมความดันเป็นบวก (Positive pressure room)</t>
        </is>
      </c>
      <c r="E119" s="34" t="inlineStr">
        <is>
          <t>ต้องทำภายในตู้ปลอดภัยทางชีวภาพ (Biological Safety Cabinet: BSC Class II Type B2) หรือตู้แบบปิด (Isolator)</t>
        </is>
      </c>
      <c r="F119" s="34" t="inlineStr">
        <is>
          <t>เจ้าหน้าที่ผู้เตรียมยาต้องสวมใส่ชุดสวมคลุมป้องกันชนิดปราศจากขุย (Lint-free protective gown)</t>
        </is>
      </c>
      <c r="G119" s="34" t="inlineStr">
        <is>
          <t>หลีกเลี่ยงหรือห้ามไม่ให้สตรีมีครรภ์เข้ามามีส่วนร่วมในการเตรียมผสมเคมีบำบัด</t>
        </is>
      </c>
      <c r="H119" s="34" t="inlineStr">
        <is>
          <t>ต้องเก็บกักและติดป้ายแสดงสัญญาณเตือนสารอันตรายรอบบริเวณเตรียมการวิเคราะห์อย่างเข้มงวด</t>
        </is>
      </c>
      <c r="I119" s="35" t="n">
        <v>1</v>
      </c>
      <c r="J119" s="34"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35" t="n"/>
      <c r="L119" s="34" t="inlineStr">
        <is>
          <t>Biotechnology &amp; Biological Products</t>
        </is>
      </c>
      <c r="M119" s="35" t="inlineStr">
        <is>
          <t>Product</t>
        </is>
      </c>
      <c r="N119" s="34" t="inlineStr">
        <is>
          <t>ข้อสอบจริง Product ปี 2558 ข้อ 27</t>
        </is>
      </c>
      <c r="O119" s="35" t="inlineStr">
        <is>
          <t>ข้อสอบจริง</t>
        </is>
      </c>
      <c r="P119" s="35" t="inlineStr">
        <is>
          <t>ปี 2558</t>
        </is>
      </c>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Q3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409.6" customHeight="1" s="49">
      <c r="A3" s="35" t="n">
        <v>1</v>
      </c>
      <c r="B3" s="34" t="inlineStr">
        <is>
          <t>สมุนไพรในบัญชียาหลักแห่งชาติตัวใดต่อไปนี้ สามารถใช้รักษาโรคผิวหนังที่เกิดจากเชื้อรา (กลาก เกลื้อน) ได้</t>
        </is>
      </c>
      <c r="C3" s="35" t="n"/>
      <c r="D3" s="34" t="inlineStr">
        <is>
          <t>ทิงเจอร์ทองพันชั่ง</t>
        </is>
      </c>
      <c r="E3" s="34" t="inlineStr">
        <is>
          <t>โลชั่นเสลดพังพอน</t>
        </is>
      </c>
      <c r="F3" s="34" t="inlineStr">
        <is>
          <t>ทิงเจอร์ไพล</t>
        </is>
      </c>
      <c r="G3" s="34" t="inlineStr">
        <is>
          <t>ครีมใบบัวบก</t>
        </is>
      </c>
      <c r="H3" s="34" t="inlineStr">
        <is>
          <t>ครีมเม็ดน้อยหน่า</t>
        </is>
      </c>
      <c r="I3" s="35" t="n">
        <v>1</v>
      </c>
      <c r="J3" s="34" t="inlineStr">
        <is>
          <t>✅ คำตอบที่ถูกต้อง: ข้อ ก. ทิงเจอร์ทองพันชั่ง
💡 Background:
ทองพันชั่ง (Rhinacanthus nasutus) สารสำคัญคือ Rhinacanthin-C, D, N มีฤทธิ์ต้านเชื้อราเดอร์มาโตไฟต์ (Dermatophytes)
🎯 ทำไมข้อนี้ถึงถูก:
ยาทิงเจอร์ทองพันชั่งได้รับการบรรจุในบัญชียาหลักแห่งชาติด้านสมุนไพร สำหรับใช้ทารักษาโรคผิวหนังจากเชื้อรา กลาก เกลื้อน และน้ำกัดเท้า
🔍 ข้ออื่นผิดเพราะอะไร:
• ข้อ ข. โลชั่นเสลดพังพอน: บรรเทาตุ่มคัน แมลงกัดต่อย
• ข้อ ค. ทิงเจอร์ไพล: บรรเทาอาการเคล็ดขัดยอก ฟกช้ำ
• ข้อ ง. ครีมใบบัวบก: สมานแผลไฟไหม้ น้ำร้อนลวก
• ข้อ จ. ครีมเม็ดน้อยหน่า: กำจัดเหาและหิด
📖 Guideline อ้างอิง:
บัญชียาหลักแห่งชาติด้านสมุนไพร พ.ศ. 2566 &amp; Thai Herbal Pharmacopoeia (THP)
📌 จุดจำก่อนสอบ:
• ทองพันชั่ง: รักษากลาก เกลื้อน เชื้อราผิวหนัง</t>
        </is>
      </c>
      <c r="K3" s="35" t="n"/>
      <c r="L3" s="34" t="inlineStr">
        <is>
          <t>Herbal Products &amp; Standardization</t>
        </is>
      </c>
      <c r="M3" s="35" t="inlineStr">
        <is>
          <t>Product</t>
        </is>
      </c>
      <c r="N3" s="34" t="inlineStr">
        <is>
          <t>ข้อสอบจริง Product ปี 2567 ข้อ 11</t>
        </is>
      </c>
      <c r="O3" s="35" t="inlineStr">
        <is>
          <t>ข้อสอบจริง</t>
        </is>
      </c>
      <c r="P3" s="35" t="inlineStr">
        <is>
          <t>ปี 2567</t>
        </is>
      </c>
    </row>
    <row r="4" ht="409.6" customHeight="1" s="49">
      <c r="A4" s="35" t="n">
        <v>2</v>
      </c>
      <c r="B4" s="34" t="inlineStr">
        <is>
          <t>ส่วนประกอบของกระบอกพ่นยาชนิดกำหนดขนาดสูดพ่น (Metered-Dose Inhaler: MDI) ส่วนใดที่ทำหน้าที่ควบคุมและปรับขนาดละอองฝอยของยาให้เข้าสู่ทางเดินหายใจ</t>
        </is>
      </c>
      <c r="C4" s="35" t="inlineStr">
        <is>
          <t>[แนบรูป: ข้อสอบ Product ปี 2564 รหัสรูปภาพ image69]</t>
        </is>
      </c>
      <c r="D4" s="34" t="inlineStr">
        <is>
          <t>Actuator (ตัวครอบพลาสติกและช่องพ่นยา)</t>
        </is>
      </c>
      <c r="E4" s="34" t="inlineStr">
        <is>
          <t>Canister (กระป๋องโลหะบรรจุยา)</t>
        </is>
      </c>
      <c r="F4" s="34" t="inlineStr">
        <is>
          <t>Metering valve (วาล์วกำหนดขนาดยา)</t>
        </is>
      </c>
      <c r="G4" s="34" t="inlineStr">
        <is>
          <t>Propellant (สารขับดัน)</t>
        </is>
      </c>
      <c r="H4" s="34" t="inlineStr">
        <is>
          <t>Protective cap (ฝาครอบป้องกัน)</t>
        </is>
      </c>
      <c r="I4" s="35" t="n">
        <v>1</v>
      </c>
      <c r="J4" s="34" t="inlineStr">
        <is>
          <t>✅ คำตอบที่ถูกต้อง: ข้อ ก. Actuator (ตัวครอบพลาสติกและช่องพ่นยา)
💡 Background:
MDI ประกอบด้วย Canister บรรจุตัวยากับสารขับดัน และ Actuator ซึ่งมี Orifice หรือช่องพ่นยา
🎯 ทำไมข้อนี้ถึงถูก:
Actuator เป็นตัวครอบพลาสติกที่มีหัวฉีดพ่น (Nozzle orifice) ทำหน้าที่นำละอองยาเข้าสู่ช่องปากและควบคุมขนาดอนุภาคละอองฝอย (Aerosol droplet size) ที่พ่นออกมา
🔍 ข้ออื่นผิดเพราะอะไร:
• ข้อ ข. Canister: กระป๋องอลูมิเนียมทนแรงดันบรรจุตัวยาและ Propellant
• ข้อ ค. Metering valve: ควบคุมปริมาตรยาที่ปล่อยออกมาในแต่ละครั้ง (เช่น 50-100 mcL)
• ข้อ ง. Propellant: สารสร้างแรงดันไอในการขับยา (เช่น HFA-134a)
• ข้อ จ. Protective cap: ฝาครอบป้องกันสิ่งสกปรก
📖 Guideline อ้างอิง:
USP-NF General Chapter &lt;601&gt; Inhalation and Nasal Drug Products
📌 จุดจำก่อนสอบ:
• Actuator: ควบคุมการเกิดละอองฝอยและทิศทางพ่น
• Metering valve: ควบคุมความแม่นยำของขนาดยาต่อการกดหนึ่งครั้ง</t>
        </is>
      </c>
      <c r="K4" s="35" t="n"/>
      <c r="L4" s="34" t="inlineStr">
        <is>
          <t>Herbal Products &amp; Standardization</t>
        </is>
      </c>
      <c r="M4" s="35" t="inlineStr">
        <is>
          <t>Product</t>
        </is>
      </c>
      <c r="N4" s="34" t="inlineStr">
        <is>
          <t>ข้อสอบจริง Product ปี 2564 ข้อ 2</t>
        </is>
      </c>
      <c r="O4" s="35" t="inlineStr">
        <is>
          <t>ข้อสอบจริง</t>
        </is>
      </c>
      <c r="P4" s="35" t="inlineStr">
        <is>
          <t>ปี 2564</t>
        </is>
      </c>
    </row>
    <row r="5" ht="409.6" customHeight="1" s="49">
      <c r="A5" s="35" t="n">
        <v>3</v>
      </c>
      <c r="B5" s="34" t="inlineStr">
        <is>
          <t>ผลการวิเคราะห์ยาแคปซูลขมิ้นชันด้วย Total yeast and mold count ได้ผล 5 x 10^4 CFU/g ข้อใดกล่าวถูกต้อง เมื่อเปรียบเทียบกับเกณฑ์มาตรฐานจุลินทรีย์สำหรับยาเตรียมสมุนไพรชนิดรับประทานทั่วไป (หมวด C: Total Bacteria &lt;= 5 x 10^6 CFU/g, Total Yeast and mold &lt;= 5 x 10^3 CFU/g)</t>
        </is>
      </c>
      <c r="C5" s="35" t="n"/>
      <c r="D5" s="34" t="inlineStr">
        <is>
          <t>ไม่ผ่านเกณฑ์มาตรฐาน เนื่องจากมีค่าเกินเกณฑ์กำหนด 5 x 10^3 CFU/g</t>
        </is>
      </c>
      <c r="E5" s="34" t="inlineStr">
        <is>
          <t>ผ่านเกณฑ์มาตรฐาน เนื่องจากมีค่าไม่เกิน 5 x 10^4 CFU/g</t>
        </is>
      </c>
      <c r="F5" s="34" t="inlineStr">
        <is>
          <t>ผ่านเกณฑ์มาตรฐาน เนื่องจากมีค่าไม่เกิน 5 x 10^7 CFU/g</t>
        </is>
      </c>
      <c r="G5" s="34" t="inlineStr">
        <is>
          <t>ไม่ผ่านเกณฑ์มาตรฐาน เนื่องจากต้องตรวจไม่พบเชื้อราเลยใน 10 g</t>
        </is>
      </c>
      <c r="H5" s="34" t="inlineStr">
        <is>
          <t>ไม่สามารถประเมินได้ เนื่องจากไม่มีเกณฑ์มาตรฐานระบุไว้</t>
        </is>
      </c>
      <c r="I5" s="35" t="n">
        <v>1</v>
      </c>
      <c r="J5" s="34" t="inlineStr">
        <is>
          <t>✅ คำตอบที่ถูกต้อง: ข้อ ก. ไม่ผ่านเกณฑ์มาตรฐาน เนื่องจากมีค่าเกินเกณฑ์กำหนด 5 x 10^3 CFU/g
💡 Background:
เภสัชตำรับสมุนไพรไทย (THP) และตำรับยาแห่งชาติกำหนดเกณฑ์การปนเปื้อนจุลินทรีย์ (Microbial limits) ในผลิตภัณฑ์สมุนไพรชนิดรับประทาน
🎯 ทำไมข้อนี้ถึงถูก:
สำหรับยาเตรียมสมุนไพรชนิดรับประทานทั่วไป (หมวด C) เกณฑ์กำหนด Total yeast and mold count ต้องไม่เกิน 5 x 10^3 CFU/g ผลตรวจที่ได้คือ 5 x 10^4 CFU/g ซึ่งสูงกว่าเกณฑ์ที่อนุญาตถึง 10 เท่า จึงไม่ผ่านเกณฑ์มาตรฐานความปลอดภัย
🔍 ข้ออื่นผิดเพราะอะไร:
• ข้อ ข. และ ค.: ผิด เพราะค่า 5 x 10^4 เกินเกณฑ์หมวด C (ไม่เกิน 5 x 10^3)
• ข้อ ง.: เกณฑ์กำหนดปริมาณไม่ใช่ Absence in 10 g สำหรับเชื้อราทั่วไป (เกณฑ์ Absence กำหนดสำหรับเชื้อก่อโรคจำเพาะ เช่น E. coli, Salmonella)
• ข้อ จ.: มีเกณฑ์ระบุไว้ชัดเจนในเภสัชตำรับ
📖 Guideline อ้างอิง:
Thai Herbal Pharmacopoeia (THP) General Chapter: Microbial Limit Tests &amp; USP &lt;1111&gt;
📌 จุดจำก่อนสอบ:
• ยาสมุนไพรรับประทานทั่วไป (Category C): Yeast and Mold ไม่เกิน 5 x 10^3 CFU/g, Total Aerobic Microbial Count ไม่เกิน 5 x 10^6 CFU/g</t>
        </is>
      </c>
      <c r="K5" s="35" t="n"/>
      <c r="L5" s="34" t="inlineStr">
        <is>
          <t>Herbal Products &amp; Standardization</t>
        </is>
      </c>
      <c r="M5" s="35" t="inlineStr">
        <is>
          <t>Product</t>
        </is>
      </c>
      <c r="N5" s="34" t="inlineStr">
        <is>
          <t>ข้อสอบจริง Product ปี 2564 ข้อ 86</t>
        </is>
      </c>
      <c r="O5" s="35" t="inlineStr">
        <is>
          <t>ข้อสอบจริง</t>
        </is>
      </c>
      <c r="P5" s="35" t="inlineStr">
        <is>
          <t>ปี 2564</t>
        </is>
      </c>
    </row>
    <row r="6" ht="409.6" customHeight="1" s="49">
      <c r="A6" s="35" t="n">
        <v>4</v>
      </c>
      <c r="B6" s="34" t="inlineStr">
        <is>
          <t>สมุนไพรในข้อใดที่มีหลักฐานทางคลินิกยืนยันว่ามีสรรพคุณบรรเทาอาการปวดข้อเข่าเสื่อมได้เทียบเท่า NSAIDs</t>
        </is>
      </c>
      <c r="C6" s="35" t="n"/>
      <c r="D6" s="34" t="inlineStr">
        <is>
          <t>ยาผสมเถาวัลย์เปรียง</t>
        </is>
      </c>
      <c r="E6" s="34" t="inlineStr">
        <is>
          <t>ยาขมิ้นชัน</t>
        </is>
      </c>
      <c r="F6" s="34" t="inlineStr">
        <is>
          <t>ยาประสะกะเพรา</t>
        </is>
      </c>
      <c r="G6" s="34" t="inlineStr">
        <is>
          <t>ยาชงชุมเห็ดเทศ</t>
        </is>
      </c>
      <c r="H6" s="34" t="inlineStr">
        <is>
          <t>ยาชงหญ้าหนวดแมว</t>
        </is>
      </c>
      <c r="I6" s="35" t="n">
        <v>1</v>
      </c>
      <c r="J6" s="34" t="inlineStr">
        <is>
          <t>✅ คำตอบที่ถูกต้อง: ข้อ ก. ยาผสมเถาวัลย์เปรียง
💡 Background:
เถาวัลย์เปรียง (Derris scandens) มีฤทธิ์ต้านการอักเสบผ่านการยับยั้งเอนไซม์ COX-2
🎯 ทำไมข้อนี้ถึงถูก:
ยาผสมเถาวัลย์เปรียงในบัญชียาหลักแห่งชาติ มีข้อบ่งใช้ในการบรรเทาอาการปวดกล้ามเนื้อและปวดข้อเข่าเสื่อม มีผลการรักษาเทียบเคียงได้กับยา Naproxen และ Diclofenac
🔍 ข้ออื่นผิดเพราะอะไร:
• ข้อ ข. ยาขมิ้นชัน: ขับลม แก้จุกเสียด
• ข้อ ค. ยาประสะกะเพรา: ขับลมในเด็ก ท้องอืด
• ข้อ ง. ชุมเห็ดเทศ: ยาระบาย
• ข้อ จ. หญ้าหนวดแมว: ขับปัสสาวะ
📖 Guideline อ้างอิง:
บัญชียาหลักแห่งชาติด้านสมุนไพร พ.ศ. 2566 &amp; Thai Herbal Pharmacopoeia (THP)
📌 จุดจำก่อนสอบ:
• เถาวัลย์เปรียง: ลดปวดข้อเข่าเสื่อมเทียบเท่า NSAIDs</t>
        </is>
      </c>
      <c r="K6" s="35" t="n"/>
      <c r="L6" s="34" t="inlineStr">
        <is>
          <t>Herbal Products &amp; Standardization</t>
        </is>
      </c>
      <c r="M6" s="35" t="inlineStr">
        <is>
          <t>Product</t>
        </is>
      </c>
      <c r="N6" s="34" t="inlineStr">
        <is>
          <t>ข้อสอบจริง Product ปี 2564 ข้อ 170</t>
        </is>
      </c>
      <c r="O6" s="35" t="inlineStr">
        <is>
          <t>ข้อสอบจริง</t>
        </is>
      </c>
      <c r="P6" s="35" t="inlineStr">
        <is>
          <t>ปี 2564</t>
        </is>
      </c>
    </row>
    <row r="7" ht="409.6" customHeight="1" s="49">
      <c r="A7" s="35" t="n">
        <v>5</v>
      </c>
      <c r="B7" s="34" t="inlineStr">
        <is>
          <t>ตามงานสาธารณสุขมูลฐาน สมุนไพรในข้อใดที่นิยมนำมาใช้รักษาโรคผิวหนังที่เกิดจากเชื้อรา เช่น กลาก เกลื้อน</t>
        </is>
      </c>
      <c r="C7" s="35" t="n"/>
      <c r="D7" s="34" t="inlineStr">
        <is>
          <t>ทองพันชั่ง</t>
        </is>
      </c>
      <c r="E7" s="34" t="inlineStr">
        <is>
          <t>พลู</t>
        </is>
      </c>
      <c r="F7" s="34" t="inlineStr">
        <is>
          <t>ขมิ้นชัน</t>
        </is>
      </c>
      <c r="G7" s="34" t="inlineStr">
        <is>
          <t>บัวบก</t>
        </is>
      </c>
      <c r="H7" s="34" t="inlineStr">
        <is>
          <t>พญายอ</t>
        </is>
      </c>
      <c r="I7" s="35" t="n">
        <v>1</v>
      </c>
      <c r="J7" s="34" t="inlineStr">
        <is>
          <t>✅ คำตอบที่ถูกต้อง: ข้อ ก. ทองพันชั่ง
💡 Background:
ทองพันชั่ง (Rhinacanthus nasutus) สารสำคัญคือ Rhinacanthins มีฤทธิ์ฆ่าเชื้อรา
🎯 ทำไมข้อนี้ถึงถูก:
สารสกัดใบและรากทองพันชั่งมีฤทธิ์ยับยั้งเชื้อรา Dermatophytes ใช้รักษาโรคกลาก เกลื้อน ตามเกณฑ์สาธารณสุขมูลฐานและบัญชียาหลักแห่งชาติ
🔍 ข้ออื่นผิดเพราะอะไร:
• ข้อ ข. พลู: มี Eugenol ใช้แก้ลมพิษ ผื่นคัน
• ข้อ ค. ขมิ้นชัน: ขับลม สมานแผลกระเพาะอาหาร
• ข้อ ง. บัวบก: สมานแผลไฟไหม้
• ข้อ จ. พญายอ: ต้านไวรัสเริม งูสวัด
📖 Guideline อ้างอิง:
ประกาศกระทรวงสาธารณสุข เรื่อง สมุนไพรในงานสาธารณสุขมูลฐาน &amp; Thai Herbal Pharmacopoeia (THP)
📌 จุดจำก่อนสอบ:
• กลาก เกลื้อน = ทองพันชั่ง</t>
        </is>
      </c>
      <c r="K7" s="35" t="n"/>
      <c r="L7" s="34" t="inlineStr">
        <is>
          <t>Herbal Products &amp; Standardization</t>
        </is>
      </c>
      <c r="M7" s="35" t="inlineStr">
        <is>
          <t>Product</t>
        </is>
      </c>
      <c r="N7" s="34" t="inlineStr">
        <is>
          <t>ข้อสอบจริง Product ปี 2564 ข้อ 172</t>
        </is>
      </c>
      <c r="O7" s="35" t="inlineStr">
        <is>
          <t>ข้อสอบจริง</t>
        </is>
      </c>
      <c r="P7" s="35" t="inlineStr">
        <is>
          <t>ปี 2564</t>
        </is>
      </c>
    </row>
    <row r="8" ht="409.6" customHeight="1" s="49">
      <c r="A8" s="35" t="n">
        <v>6</v>
      </c>
      <c r="B8" s="34" t="inlineStr">
        <is>
          <t>สารสำคัญที่มีสรรพคุณลดปวดในเจลพริกคือสารใด</t>
        </is>
      </c>
      <c r="C8" s="35" t="n"/>
      <c r="D8" s="34" t="inlineStr">
        <is>
          <t>Piperalin</t>
        </is>
      </c>
      <c r="E8" s="34" t="inlineStr">
        <is>
          <t>Capsaicin</t>
        </is>
      </c>
      <c r="F8" s="34" t="inlineStr">
        <is>
          <t>Eugenol</t>
        </is>
      </c>
      <c r="G8" s="34" t="inlineStr">
        <is>
          <t>Volatile oil</t>
        </is>
      </c>
      <c r="H8" s="34" t="inlineStr">
        <is>
          <t>Curcuminoid</t>
        </is>
      </c>
      <c r="I8" s="35" t="n">
        <v>1</v>
      </c>
      <c r="J8" s="34" t="inlineStr">
        <is>
          <t>✅ คำตอบที่ถูกต้อง: ข้อ ก. Piperalin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8" s="35" t="n"/>
      <c r="L8" s="34" t="inlineStr">
        <is>
          <t>Herbal Products &amp; Standardization</t>
        </is>
      </c>
      <c r="M8" s="35" t="inlineStr">
        <is>
          <t>Product</t>
        </is>
      </c>
      <c r="N8" s="34" t="inlineStr">
        <is>
          <t>ข้อสอบจริง Product ปี 2564 ข้อ 173</t>
        </is>
      </c>
      <c r="O8" s="35" t="inlineStr">
        <is>
          <t>ข้อสอบจริง</t>
        </is>
      </c>
      <c r="P8" s="35" t="inlineStr">
        <is>
          <t>ปี 2564</t>
        </is>
      </c>
    </row>
    <row r="9" ht="409.6" customHeight="1" s="49">
      <c r="A9" s="35" t="n">
        <v>7</v>
      </c>
      <c r="B9" s="34" t="inlineStr">
        <is>
          <t>สมุนไพรที่ใช้ในการขับพยาธิ</t>
        </is>
      </c>
      <c r="C9" s="35" t="n"/>
      <c r="D9" s="34" t="inlineStr">
        <is>
          <t>น้ำมันมะพร้าว</t>
        </is>
      </c>
      <c r="E9" s="34" t="inlineStr">
        <is>
          <t>ใบตำลึง</t>
        </is>
      </c>
      <c r="F9" s="34" t="inlineStr">
        <is>
          <t>เปลือกมังคุด</t>
        </is>
      </c>
      <c r="G9" s="34" t="inlineStr">
        <is>
          <t>เมล็ดฟักทอง</t>
        </is>
      </c>
      <c r="H9" s="34" t="inlineStr">
        <is>
          <t>เมล็ดแมงลัก</t>
        </is>
      </c>
      <c r="I9" s="35" t="n">
        <v>1</v>
      </c>
      <c r="J9" s="34" t="inlineStr">
        <is>
          <t>✅ คำตอบที่ถูกต้อง: ข้อ ก. น้ำมันมะพร้าว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9" s="35" t="n"/>
      <c r="L9" s="34" t="inlineStr">
        <is>
          <t>Herbal Products &amp; Standardization</t>
        </is>
      </c>
      <c r="M9" s="35" t="inlineStr">
        <is>
          <t>Product</t>
        </is>
      </c>
      <c r="N9" s="34" t="inlineStr">
        <is>
          <t>ข้อสอบจริง Product ปี 2564 ข้อ 174</t>
        </is>
      </c>
      <c r="O9" s="35" t="inlineStr">
        <is>
          <t>ข้อสอบจริง</t>
        </is>
      </c>
      <c r="P9" s="35" t="inlineStr">
        <is>
          <t>ปี 2564</t>
        </is>
      </c>
    </row>
    <row r="10" ht="409.6" customHeight="1" s="49">
      <c r="A10" s="35" t="n">
        <v>8</v>
      </c>
      <c r="B10" s="34" t="inlineStr">
        <is>
          <t>กรณีศึกษา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เภสัชกรแนะนำสมุนไพรในบัญชียาหลักและสาธารณสุขมูลฐานเพื่อแก้ขัดเบา สำหรับอาการดังกล่าวตัวใด</t>
        </is>
      </c>
      <c r="C10" s="35" t="n"/>
      <c r="D10" s="34" t="inlineStr">
        <is>
          <t>กระเจี๊ยบแดง</t>
        </is>
      </c>
      <c r="E10" s="34" t="inlineStr">
        <is>
          <t>ช้าพลู</t>
        </is>
      </c>
      <c r="F10" s="34" t="inlineStr">
        <is>
          <t>รางจืด</t>
        </is>
      </c>
      <c r="G10" s="34" t="inlineStr">
        <is>
          <t>ฟ้าทะลายโจร</t>
        </is>
      </c>
      <c r="H10" s="34" t="inlineStr">
        <is>
          <t>หญ้าปักกิ่ง</t>
        </is>
      </c>
      <c r="I10" s="35" t="n">
        <v>1</v>
      </c>
      <c r="J10" s="34" t="inlineStr">
        <is>
          <t>✅ คำตอบที่ถูกต้อง: ข้อ ก. กระเจี๊ยบแดง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0" s="35" t="n"/>
      <c r="L10" s="34" t="inlineStr">
        <is>
          <t>Herbal Products &amp; Standardization</t>
        </is>
      </c>
      <c r="M10" s="35" t="inlineStr">
        <is>
          <t>Product</t>
        </is>
      </c>
      <c r="N10" s="34" t="inlineStr">
        <is>
          <t>ข้อสอบจริง Product ปี 2564 ข้อ 175</t>
        </is>
      </c>
      <c r="O10" s="35" t="inlineStr">
        <is>
          <t>ข้อสอบจริง</t>
        </is>
      </c>
      <c r="P10" s="35" t="inlineStr">
        <is>
          <t>ปี 2564</t>
        </is>
      </c>
    </row>
    <row r="11" ht="409.6" customHeight="1" s="49">
      <c r="A11" s="35" t="n">
        <v>9</v>
      </c>
      <c r="B11" s="34" t="inlineStr">
        <is>
          <t>ตำรับสมุนไพรใดสามารถใช้รักษาเชื้อราได้</t>
        </is>
      </c>
      <c r="C11" s="35" t="n"/>
      <c r="D11" s="34" t="inlineStr">
        <is>
          <t>ทิงเจอร์พลู</t>
        </is>
      </c>
      <c r="E11" s="34" t="inlineStr">
        <is>
          <t>ทิงเจอร์เสลดพังพอน</t>
        </is>
      </c>
      <c r="F11" s="34" t="inlineStr">
        <is>
          <t>ครีมมะหาด</t>
        </is>
      </c>
      <c r="G11" s="34" t="inlineStr">
        <is>
          <t>ทิงเจอร์ทองพันชั่ง</t>
        </is>
      </c>
      <c r="H11" s="34" t="inlineStr">
        <is>
          <t>ครีมผักบุ้งทะเล</t>
        </is>
      </c>
      <c r="I11" s="35" t="n">
        <v>1</v>
      </c>
      <c r="J11" s="34" t="inlineStr">
        <is>
          <t>✅ คำตอบที่ถูกต้อง: ข้อ ก. ทิงเจอร์พลู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1" s="35" t="n"/>
      <c r="L11" s="34" t="inlineStr">
        <is>
          <t>Herbal Products &amp; Standardization</t>
        </is>
      </c>
      <c r="M11" s="35" t="inlineStr">
        <is>
          <t>Product</t>
        </is>
      </c>
      <c r="N11" s="34" t="inlineStr">
        <is>
          <t>ข้อสอบจริง Product ปี 2564 ข้อ 176</t>
        </is>
      </c>
      <c r="O11" s="35" t="inlineStr">
        <is>
          <t>ข้อสอบจริง</t>
        </is>
      </c>
      <c r="P11" s="35" t="inlineStr">
        <is>
          <t>ปี 2564</t>
        </is>
      </c>
    </row>
    <row r="12" ht="409.6" customHeight="1" s="49">
      <c r="A12" s="35" t="n">
        <v>10</v>
      </c>
      <c r="B12" s="34" t="inlineStr">
        <is>
          <t>สมุนไพรมีสรรพคุณช่วยเลิกบุหรี่</t>
        </is>
      </c>
      <c r="C12" s="35" t="n"/>
      <c r="D12" s="34" t="inlineStr">
        <is>
          <t>หญ้าหนวดแมว</t>
        </is>
      </c>
      <c r="E12" s="34" t="inlineStr">
        <is>
          <t>รางจืด</t>
        </is>
      </c>
      <c r="F12" s="34" t="inlineStr">
        <is>
          <t>กระเจี๊ยบแดง</t>
        </is>
      </c>
      <c r="G12" s="34" t="inlineStr">
        <is>
          <t>หญ้าดอกขาว</t>
        </is>
      </c>
      <c r="H12" s="34" t="inlineStr">
        <is>
          <t>ขิง</t>
        </is>
      </c>
      <c r="I12" s="35" t="n">
        <v>1</v>
      </c>
      <c r="J12" s="34" t="inlineStr">
        <is>
          <t>✅ คำตอบที่ถูกต้อง: ข้อ ก. หญ้าหนวดแมว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2" s="35" t="n"/>
      <c r="L12" s="34" t="inlineStr">
        <is>
          <t>Herbal Products &amp; Standardization</t>
        </is>
      </c>
      <c r="M12" s="35" t="inlineStr">
        <is>
          <t>Product</t>
        </is>
      </c>
      <c r="N12" s="34" t="inlineStr">
        <is>
          <t>ข้อสอบจริง Product ปี 2564 ข้อ 177</t>
        </is>
      </c>
      <c r="O12" s="35" t="inlineStr">
        <is>
          <t>ข้อสอบจริง</t>
        </is>
      </c>
      <c r="P12" s="35" t="inlineStr">
        <is>
          <t>ปี 2564</t>
        </is>
      </c>
    </row>
    <row r="13" ht="409.6" customHeight="1" s="49">
      <c r="A13" s="35" t="n">
        <v>11</v>
      </c>
      <c r="B13" s="34" t="inlineStr">
        <is>
          <t>สมุนไพรในใดมีหลักฐานเชิงประจักษ์ช่วยลดระดับน้ำตาลได้</t>
        </is>
      </c>
      <c r="C13" s="35" t="n"/>
      <c r="D13" s="34" t="inlineStr">
        <is>
          <t>ดอกแค</t>
        </is>
      </c>
      <c r="E13" s="34" t="inlineStr">
        <is>
          <t>ขี้เหล็ก</t>
        </is>
      </c>
      <c r="F13" s="34" t="inlineStr">
        <is>
          <t>มะระขี้นก</t>
        </is>
      </c>
      <c r="G13" s="34" t="inlineStr">
        <is>
          <t>ทองพันชั่ง</t>
        </is>
      </c>
      <c r="H13" s="34" t="inlineStr">
        <is>
          <t>ฟ้าทะลายโจร</t>
        </is>
      </c>
      <c r="I13" s="35" t="n">
        <v>1</v>
      </c>
      <c r="J13" s="34" t="inlineStr">
        <is>
          <t>✅ คำตอบที่ถูกต้อง: ข้อ ก. ดอกแค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3" s="35" t="n"/>
      <c r="L13" s="34" t="inlineStr">
        <is>
          <t>Herbal Products &amp; Standardization</t>
        </is>
      </c>
      <c r="M13" s="35" t="inlineStr">
        <is>
          <t>Product</t>
        </is>
      </c>
      <c r="N13" s="34" t="inlineStr">
        <is>
          <t>ข้อสอบจริง Product ปี 2564 ข้อ 178</t>
        </is>
      </c>
      <c r="O13" s="35" t="inlineStr">
        <is>
          <t>ข้อสอบจริง</t>
        </is>
      </c>
      <c r="P13" s="35" t="inlineStr">
        <is>
          <t>ปี 2564</t>
        </is>
      </c>
    </row>
    <row r="14" ht="409.6" customHeight="1" s="49">
      <c r="A14" s="35" t="n">
        <v>12</v>
      </c>
      <c r="B14" s="34" t="inlineStr">
        <is>
          <t>สมุนไพรช่วยลดอาการปวด อักเสบ ตามบัญชียาหลักแห่งชาติคือข้อใด</t>
        </is>
      </c>
      <c r="C14" s="35" t="n"/>
      <c r="D14" s="34" t="inlineStr">
        <is>
          <t>เถาวัลย์เปรียง</t>
        </is>
      </c>
      <c r="E14" s="34" t="inlineStr">
        <is>
          <t>หญ้าหนวดแมว</t>
        </is>
      </c>
      <c r="F14" s="34" t="inlineStr">
        <is>
          <t>หญ้าปักกิ่ง</t>
        </is>
      </c>
      <c r="G14" s="34" t="inlineStr">
        <is>
          <t>ช้าพลู</t>
        </is>
      </c>
      <c r="H14" s="34" t="inlineStr">
        <is>
          <t>เห็ดหลินจือ</t>
        </is>
      </c>
      <c r="I14" s="35" t="n">
        <v>1</v>
      </c>
      <c r="J14" s="34" t="inlineStr">
        <is>
          <t>✅ คำตอบที่ถูกต้อง: ข้อ ก. เถาวัลย์เปรียง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4" s="35" t="n"/>
      <c r="L14" s="34" t="inlineStr">
        <is>
          <t>Herbal Products &amp; Standardization</t>
        </is>
      </c>
      <c r="M14" s="35" t="inlineStr">
        <is>
          <t>Product</t>
        </is>
      </c>
      <c r="N14" s="34" t="inlineStr">
        <is>
          <t>ข้อสอบจริง Product ปี 2564 ข้อ 179</t>
        </is>
      </c>
      <c r="O14" s="35" t="inlineStr">
        <is>
          <t>ข้อสอบจริง</t>
        </is>
      </c>
      <c r="P14" s="35" t="inlineStr">
        <is>
          <t>ปี 2564</t>
        </is>
      </c>
    </row>
    <row r="15" ht="409.6" customHeight="1" s="49">
      <c r="A15" s="35" t="n">
        <v>13</v>
      </c>
      <c r="B15" s="34" t="inlineStr">
        <is>
          <t>สมุนไพรในบัญชียาหลักที่มีฤทธิ์ขับปัสสาวะคือข้อใด?</t>
        </is>
      </c>
      <c r="C15" s="35" t="n"/>
      <c r="D15" s="34" t="inlineStr">
        <is>
          <t>กระเจี๊ยบแดง</t>
        </is>
      </c>
      <c r="E15" s="34" t="inlineStr">
        <is>
          <t>ขิง</t>
        </is>
      </c>
      <c r="F15" s="34" t="inlineStr">
        <is>
          <t>กระชาย</t>
        </is>
      </c>
      <c r="G15" s="34" t="inlineStr">
        <is>
          <t>ฟ้าทะลายโจร</t>
        </is>
      </c>
      <c r="H15" s="34" t="inlineStr">
        <is>
          <t>ยอ</t>
        </is>
      </c>
      <c r="I15" s="35" t="n">
        <v>1</v>
      </c>
      <c r="J15" s="34" t="inlineStr">
        <is>
          <t>✅ คำตอบที่ถูกต้อง: ข้อ ก. กระเจี๊ยบแดง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5" s="35" t="n"/>
      <c r="L15" s="34" t="inlineStr">
        <is>
          <t>Herbal Products &amp; Standardization</t>
        </is>
      </c>
      <c r="M15" s="35" t="inlineStr">
        <is>
          <t>Product</t>
        </is>
      </c>
      <c r="N15" s="34" t="inlineStr">
        <is>
          <t>ข้อสอบจริง Product ปี 2564 ข้อ 180</t>
        </is>
      </c>
      <c r="O15" s="35" t="inlineStr">
        <is>
          <t>ข้อสอบจริง</t>
        </is>
      </c>
      <c r="P15" s="35" t="inlineStr">
        <is>
          <t>ปี 2564</t>
        </is>
      </c>
    </row>
    <row r="16" ht="409.6" customHeight="1" s="49">
      <c r="A16" s="35" t="n">
        <v>14</v>
      </c>
      <c r="B16" s="34" t="inlineStr">
        <is>
          <t>สมุนไพรใดที่มีฤทธิ์ขับปัสสาวะ และควรหลีกเลี่ยงในผู้ป่วยโรคหัวใจ?</t>
        </is>
      </c>
      <c r="C16" s="35" t="n"/>
      <c r="D16" s="34" t="inlineStr">
        <is>
          <t>หญ้าหนวดแมว</t>
        </is>
      </c>
      <c r="E16" s="34" t="inlineStr">
        <is>
          <t>หญ้าปักกิ่ง</t>
        </is>
      </c>
      <c r="F16" s="34" t="inlineStr">
        <is>
          <t>เถาวัลย์เปรียง</t>
        </is>
      </c>
      <c r="G16" s="34" t="inlineStr">
        <is>
          <t>ใบชุมเห็ดเทศ</t>
        </is>
      </c>
      <c r="H16" s="34" t="inlineStr">
        <is>
          <t>ใบพญายอ</t>
        </is>
      </c>
      <c r="I16" s="35" t="n">
        <v>1</v>
      </c>
      <c r="J16" s="34" t="inlineStr">
        <is>
          <t>✅ คำตอบที่ถูกต้อง: ข้อ ก. หญ้าหนวดแมว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6" s="35" t="n"/>
      <c r="L16" s="34" t="inlineStr">
        <is>
          <t>Herbal Products &amp; Standardization</t>
        </is>
      </c>
      <c r="M16" s="35" t="inlineStr">
        <is>
          <t>Product</t>
        </is>
      </c>
      <c r="N16" s="34" t="inlineStr">
        <is>
          <t>ข้อสอบจริง Product ปี 2564 ข้อ 181</t>
        </is>
      </c>
      <c r="O16" s="35" t="inlineStr">
        <is>
          <t>ข้อสอบจริง</t>
        </is>
      </c>
      <c r="P16" s="35" t="inlineStr">
        <is>
          <t>ปี 2564</t>
        </is>
      </c>
    </row>
    <row r="17" ht="409.6" customHeight="1" s="49">
      <c r="A17" s="35" t="n">
        <v>15</v>
      </c>
      <c r="B17" s="34" t="inlineStr">
        <is>
          <t>สมุนไพรใดมีอันตรกิริยากับยาต้านไวรัส HIV?</t>
        </is>
      </c>
      <c r="C17" s="35" t="n"/>
      <c r="D17" s="34" t="inlineStr">
        <is>
          <t>ขิง</t>
        </is>
      </c>
      <c r="E17" s="34" t="inlineStr">
        <is>
          <t>ขมิ้น</t>
        </is>
      </c>
      <c r="F17" s="34" t="inlineStr">
        <is>
          <t>ฟ้าทะลายโจร</t>
        </is>
      </c>
      <c r="G17" s="34" t="inlineStr">
        <is>
          <t>หญ้าหนวดแมว</t>
        </is>
      </c>
      <c r="H17" s="34" t="inlineStr">
        <is>
          <t>St. John’s wort</t>
        </is>
      </c>
      <c r="I17" s="35" t="n">
        <v>5</v>
      </c>
      <c r="J17" s="34" t="inlineStr">
        <is>
          <t>✅ คำตอบที่ถูกต้อง: ข้อ ฅ. St. John’s wort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ฅ.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7" s="35" t="n"/>
      <c r="L17" s="34" t="inlineStr">
        <is>
          <t>Herbal Products &amp; Standardization</t>
        </is>
      </c>
      <c r="M17" s="35" t="inlineStr">
        <is>
          <t>Product</t>
        </is>
      </c>
      <c r="N17" s="34" t="inlineStr">
        <is>
          <t>ข้อสอบจริง Product ปี 2564 ข้อ 182</t>
        </is>
      </c>
      <c r="O17" s="35" t="inlineStr">
        <is>
          <t>ข้อสอบจริง</t>
        </is>
      </c>
      <c r="P17" s="35" t="inlineStr">
        <is>
          <t>ปี 2564</t>
        </is>
      </c>
    </row>
    <row r="18" ht="409.6" customHeight="1" s="49">
      <c r="A18" s="35" t="n">
        <v>16</v>
      </c>
      <c r="B18" s="34" t="inlineStr">
        <is>
          <t>ยาสมุนไพรใดต้องระวังมากที่สุดในผู้ป่วยรายนี้?</t>
        </is>
      </c>
      <c r="C18" s="35" t="n"/>
      <c r="D18" s="34" t="inlineStr">
        <is>
          <t>ฟ้าทะลายโจร</t>
        </is>
      </c>
      <c r="E18" s="34" t="inlineStr">
        <is>
          <t>หญ้าหนวดแมว</t>
        </is>
      </c>
      <c r="F18" s="34" t="inlineStr">
        <is>
          <t>ขมิ้นชัน</t>
        </is>
      </c>
      <c r="G18" s="34" t="inlineStr">
        <is>
          <t>ชุมเห็ดเทศ</t>
        </is>
      </c>
      <c r="H18" s="34" t="inlineStr">
        <is>
          <t>ขิง</t>
        </is>
      </c>
      <c r="I18" s="35" t="n">
        <v>1</v>
      </c>
      <c r="J18" s="34" t="inlineStr">
        <is>
          <t>✅ คำตอบที่ถูกต้อง: ข้อ ก. ฟ้าทะลายโจร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8" s="35" t="n"/>
      <c r="L18" s="34" t="inlineStr">
        <is>
          <t>Herbal Products &amp; Standardization</t>
        </is>
      </c>
      <c r="M18" s="35" t="inlineStr">
        <is>
          <t>Product</t>
        </is>
      </c>
      <c r="N18" s="34" t="inlineStr">
        <is>
          <t>ข้อสอบจริง Product ปี 2564 ข้อ 184</t>
        </is>
      </c>
      <c r="O18" s="35" t="inlineStr">
        <is>
          <t>ข้อสอบจริง</t>
        </is>
      </c>
      <c r="P18" s="35" t="inlineStr">
        <is>
          <t>ปี 2564</t>
        </is>
      </c>
    </row>
    <row r="19" ht="409.6" customHeight="1" s="49">
      <c r="A19" s="35" t="n">
        <v>17</v>
      </c>
      <c r="B19" s="34" t="inlineStr">
        <is>
          <t>สมุนไพรที่เกิดอันตรกิริยากับยาต้าน HIV มากที่สุดคือข้อใด?</t>
        </is>
      </c>
      <c r="C19" s="35" t="n"/>
      <c r="D19" s="34" t="inlineStr">
        <is>
          <t>ขิง</t>
        </is>
      </c>
      <c r="E19" s="34" t="inlineStr">
        <is>
          <t>ขมิ้นชัน</t>
        </is>
      </c>
      <c r="F19" s="34" t="inlineStr">
        <is>
          <t>ฟ้าทะลายโจร</t>
        </is>
      </c>
      <c r="G19" s="34" t="inlineStr">
        <is>
          <t>หญ้าหนวดแมว</t>
        </is>
      </c>
      <c r="H19" s="34" t="inlineStr">
        <is>
          <t>St. John's wort</t>
        </is>
      </c>
      <c r="I19" s="35" t="n">
        <v>5</v>
      </c>
      <c r="J19" s="34" t="inlineStr">
        <is>
          <t>✅ คำตอบที่ถูกต้อง: ข้อ ฅ. St. John's wort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ฅ.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19" s="35" t="n"/>
      <c r="L19" s="34" t="inlineStr">
        <is>
          <t>Herbal Products &amp; Standardization</t>
        </is>
      </c>
      <c r="M19" s="35" t="inlineStr">
        <is>
          <t>Product</t>
        </is>
      </c>
      <c r="N19" s="34" t="inlineStr">
        <is>
          <t>ข้อสอบจริง Product ปี 2564 ข้อ 185</t>
        </is>
      </c>
      <c r="O19" s="35" t="inlineStr">
        <is>
          <t>ข้อสอบจริง</t>
        </is>
      </c>
      <c r="P19" s="35" t="inlineStr">
        <is>
          <t>ปี 2564</t>
        </is>
      </c>
    </row>
    <row r="20" ht="409.6" customHeight="1" s="49">
      <c r="A20" s="35" t="n">
        <v>18</v>
      </c>
      <c r="B20" s="34" t="inlineStr">
        <is>
          <t>การสกัดน้ำมันหอมระเหย Tea Tree Oil (Melaleuca alternifolia) จากส่วนใบและกิ่งสด นิยมใช้วิธีการสกัดใดตามมาตรฐานเภสัชตำรับ</t>
        </is>
      </c>
      <c r="C20" s="35" t="n"/>
      <c r="D20" s="34" t="inlineStr">
        <is>
          <t>การกลั่นด้วยไอน้ำ (Steam Distillation)</t>
        </is>
      </c>
      <c r="E20" s="34" t="inlineStr">
        <is>
          <t>การสกัดด้วย Soxhlet Extraction โดยใช้ Hexane</t>
        </is>
      </c>
      <c r="F20" s="34" t="inlineStr">
        <is>
          <t>การหมักสกัดด้วยน้ำบริสุทธิ์ (Aqueous Maceration)</t>
        </is>
      </c>
      <c r="G20" s="34" t="inlineStr">
        <is>
          <t>การดูดซับด้วยไขมันเย็น (Enfleurage)</t>
        </is>
      </c>
      <c r="H20" s="34" t="inlineStr">
        <is>
          <t>การสกัดด้วยแอลกอฮอล์ 70%</t>
        </is>
      </c>
      <c r="I20" s="35" t="n">
        <v>1</v>
      </c>
      <c r="J20" s="34" t="inlineStr">
        <is>
          <t>✅ คำตอบที่ถูกต้อง: ข้อ ก. การกลั่นด้วยไอน้ำ (Steam Distillation)
💡 Background:
Tea Tree Oil จัดเป็นน้ำมันหอมระเหย (Essential oil / Volatile oil) ที่ไวต่อความร้อนสูงและไม่ละลายน้ำ
🎯 ทำไมข้อนี้ถึงถูก:
การกลั่นด้วยไอน้ำ (Steam Distillation หรือ Water-Steam Distillation) เป็นวิธีมาตรฐานสากลตามเภสัชตำรับในการสกัดน้ำมันหอมระเหยจากพืชสด ไอน้ำจะพาน้ำมันหอมระเหยที่ระเหยได้กลั่นตัวออกมาแล้วแยกชั้นน้ำกับน้ำมันออกจากกันอย่างสมบูรณ์
🔍 ข้ออื่นผิดเพราะอะไร:
• ข้อ ข. Soxhlet: ใช้กับพืชแห้งและสารที่ไม่ไวต่อความร้อน เช่น ไขมัน เม็ดสี
• ข้อ ค. สกัดด้วยน้ำ: น้ำมันหอมระเหยไม่ละลายน้ำ
• ข้อ ง. Enfleurage: ใช้กับดอกไม้กลิ่นหอมที่บอบบางมาก เช่น มะลิ กุหลาบ
• ข้อ จ. แอลกอฮอล์ 70%: ใช้สกัดสารกลุ่ม Polar เช่น Flavonoids, Glycosides
📖 Guideline อ้างอิง:
ISO 4730: Oil of Melaleuca, Terpinen-4-ol type (Tea Tree Oil) &amp; Thai Herbal Pharmacopoeia (THP)
📌 จุดจำก่อนสอบ:
• Volatile oils / Essential oils สกัดด้วย: Steam Distillation (การกลั่นด้วยไอน้ำ)</t>
        </is>
      </c>
      <c r="K20" s="35" t="n"/>
      <c r="L20" s="34" t="inlineStr">
        <is>
          <t>Herbal Products &amp; Standardization</t>
        </is>
      </c>
      <c r="M20" s="35" t="inlineStr">
        <is>
          <t>Product</t>
        </is>
      </c>
      <c r="N20" s="34" t="inlineStr">
        <is>
          <t>ข้อสอบจริง Product ปี 2564 ข้อ 186</t>
        </is>
      </c>
      <c r="O20" s="35" t="inlineStr">
        <is>
          <t>ข้อสอบจริง</t>
        </is>
      </c>
      <c r="P20" s="35" t="inlineStr">
        <is>
          <t>ปี 2564</t>
        </is>
      </c>
    </row>
    <row r="21" ht="409.6" customHeight="1" s="49">
      <c r="A21" s="35" t="n">
        <v>19</v>
      </c>
      <c r="B21" s="34" t="inlineStr">
        <is>
          <t>สมุนไพรที่ตีกับยาเก๊าท์คือข้อใด?</t>
        </is>
      </c>
      <c r="C21" s="35" t="n"/>
      <c r="D21" s="34" t="inlineStr">
        <is>
          <t>ฟ้าทะลายโจร</t>
        </is>
      </c>
      <c r="E21" s="34" t="inlineStr">
        <is>
          <t>หญ้าหนวดแมว</t>
        </is>
      </c>
      <c r="F21" s="34" t="inlineStr">
        <is>
          <t>ขิง</t>
        </is>
      </c>
      <c r="G21" s="34" t="inlineStr">
        <is>
          <t>ขมิ้นชัน</t>
        </is>
      </c>
      <c r="H21" s="34" t="inlineStr">
        <is>
          <t>St. John's wort</t>
        </is>
      </c>
      <c r="I21" s="35" t="n">
        <v>1</v>
      </c>
      <c r="J21" s="34" t="inlineStr">
        <is>
          <t>✅ คำตอบที่ถูกต้อง: ข้อ ก. ฟ้าทะลายโจร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1" s="35" t="n"/>
      <c r="L21" s="34" t="inlineStr">
        <is>
          <t>Herbal Products &amp; Standardization</t>
        </is>
      </c>
      <c r="M21" s="35" t="inlineStr">
        <is>
          <t>Product</t>
        </is>
      </c>
      <c r="N21" s="34" t="inlineStr">
        <is>
          <t>ข้อสอบจริง Product ปี 2564 ข้อ 187</t>
        </is>
      </c>
      <c r="O21" s="35" t="inlineStr">
        <is>
          <t>ข้อสอบจริง</t>
        </is>
      </c>
      <c r="P21" s="35" t="inlineStr">
        <is>
          <t>ปี 2564</t>
        </is>
      </c>
    </row>
    <row r="22" ht="409.6" customHeight="1" s="49">
      <c r="A22" s="35" t="n">
        <v>20</v>
      </c>
      <c r="B22" s="34" t="inlineStr">
        <is>
          <t>สมุนไพรในบัญชียาหลักแห่งชาติ พ.ศ. 2562 ที่สามารถแนะนำให้ผู้ป่วยเพื่อใช้รักษาอาการข้างต้น (สถานการณ์: มีรอยด่างขาว บางรอยสีแดง มีขุย) คือข้อใด?</t>
        </is>
      </c>
      <c r="C22" s="35" t="n"/>
      <c r="D22" s="34" t="inlineStr">
        <is>
          <t>พลู</t>
        </is>
      </c>
      <c r="E22" s="34" t="inlineStr">
        <is>
          <t>บัวบก</t>
        </is>
      </c>
      <c r="F22" s="34" t="inlineStr">
        <is>
          <t>ทองพันชั่ง</t>
        </is>
      </c>
      <c r="G22" s="34" t="inlineStr">
        <is>
          <t>เปลือกมังคุด</t>
        </is>
      </c>
      <c r="H22" s="34" t="inlineStr">
        <is>
          <t>เมล็ดพันธุ์ชั่ง</t>
        </is>
      </c>
      <c r="I22" s="35" t="n">
        <v>1</v>
      </c>
      <c r="J22" s="34" t="inlineStr">
        <is>
          <t>✅ คำตอบที่ถูกต้อง: ข้อ ก. พลู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2" s="35" t="n"/>
      <c r="L22" s="34" t="inlineStr">
        <is>
          <t>Herbal Products &amp; Standardization</t>
        </is>
      </c>
      <c r="M22" s="35" t="inlineStr">
        <is>
          <t>Product</t>
        </is>
      </c>
      <c r="N22" s="34" t="inlineStr">
        <is>
          <t>ข้อสอบจริง Product ปี 2564 ข้อ 188</t>
        </is>
      </c>
      <c r="O22" s="35" t="inlineStr">
        <is>
          <t>ข้อสอบจริง</t>
        </is>
      </c>
      <c r="P22" s="35" t="inlineStr">
        <is>
          <t>ปี 2564</t>
        </is>
      </c>
    </row>
    <row r="23" ht="409.6" customHeight="1" s="49">
      <c r="A23" s="35" t="n">
        <v>21</v>
      </c>
      <c r="B23" s="34" t="inlineStr">
        <is>
          <t>ข้อใดถูกต้องเกี่ยวกับการควบคุมคุณภาพผงยาสมุนไพร โดยใช้กล้องจุลทรรศน์ (พญายอ รักษาเริม)?</t>
        </is>
      </c>
      <c r="C23" s="35" t="n"/>
      <c r="D23" s="34" t="inlineStr">
        <is>
          <t>ควรพบ Cork cells, Sclereids</t>
        </is>
      </c>
      <c r="E23" s="34" t="inlineStr">
        <is>
          <t>ควรพบ Cork cells, Stomata</t>
        </is>
      </c>
      <c r="F23" s="34" t="inlineStr">
        <is>
          <t>ไม่ควรพบ Sclereids, Stomata</t>
        </is>
      </c>
      <c r="G23" s="34" t="inlineStr">
        <is>
          <t>ควรพบ Stomata, Palisade</t>
        </is>
      </c>
      <c r="H23" s="34" t="inlineStr">
        <is>
          <t>ควรพบ Stomata ไม่ควรพบ Palisade</t>
        </is>
      </c>
      <c r="I23" s="35" t="n">
        <v>1</v>
      </c>
      <c r="J23" s="34" t="inlineStr">
        <is>
          <t>✅ คำตอบที่ถูกต้อง: ข้อ ก. ควรพบ Cork cells, Sclereids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3" s="35" t="n"/>
      <c r="L23" s="34" t="inlineStr">
        <is>
          <t>Herbal Products &amp; Standardization</t>
        </is>
      </c>
      <c r="M23" s="35" t="inlineStr">
        <is>
          <t>Product</t>
        </is>
      </c>
      <c r="N23" s="34" t="inlineStr">
        <is>
          <t>ข้อสอบจริง Product ปี 2564 ข้อ 189</t>
        </is>
      </c>
      <c r="O23" s="35" t="inlineStr">
        <is>
          <t>ข้อสอบจริง</t>
        </is>
      </c>
      <c r="P23" s="35" t="inlineStr">
        <is>
          <t>ปี 2564</t>
        </is>
      </c>
    </row>
    <row r="24" ht="409.6" customHeight="1" s="49">
      <c r="A24" s="35" t="n">
        <v>22</v>
      </c>
      <c r="B24" s="34" t="inlineStr">
        <is>
          <t>สมุนไพรบรรเทาอาการคันและผิวหนังแห้งคือข้อใด?</t>
        </is>
      </c>
      <c r="C24" s="35" t="n"/>
      <c r="D24" s="34" t="inlineStr">
        <is>
          <t>ยาขี้ผึ้งไพล</t>
        </is>
      </c>
      <c r="E24" s="34" t="inlineStr">
        <is>
          <t>ยาครีมบัวบก</t>
        </is>
      </c>
      <c r="F24" s="34" t="inlineStr">
        <is>
          <t>ยาเมล็ดน้อยหน่า</t>
        </is>
      </c>
      <c r="G24" s="34" t="inlineStr">
        <is>
          <t>ยาเจลว่านหางจระเข้</t>
        </is>
      </c>
      <c r="H24" s="34" t="inlineStr">
        <is>
          <t>ยาน้ำใสเปลือกมังคุด</t>
        </is>
      </c>
      <c r="I24" s="35" t="n">
        <v>4</v>
      </c>
      <c r="J24" s="34" t="inlineStr">
        <is>
          <t>✅ คำตอบที่ถูกต้อง: ข้อ ค. ยาเจลว่านหางจระเข้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ค.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4" s="35" t="n"/>
      <c r="L24" s="34" t="inlineStr">
        <is>
          <t>Herbal Products &amp; Standardization</t>
        </is>
      </c>
      <c r="M24" s="35" t="inlineStr">
        <is>
          <t>Product</t>
        </is>
      </c>
      <c r="N24" s="34" t="inlineStr">
        <is>
          <t>ข้อสอบจริง Product ปี 2564 ข้อ 190</t>
        </is>
      </c>
      <c r="O24" s="35" t="inlineStr">
        <is>
          <t>ข้อสอบจริง</t>
        </is>
      </c>
      <c r="P24" s="35" t="inlineStr">
        <is>
          <t>ปี 2564</t>
        </is>
      </c>
    </row>
    <row r="25" ht="409.6" customHeight="1" s="49">
      <c r="A25" s="35" t="n">
        <v>23</v>
      </c>
      <c r="B25" s="34" t="inlineStr">
        <is>
          <t>ข้อใดเป็นสมุนไพรในบัญชียาหลักแห่งชาติที่ใช้รักษาอาการข้างต้น (เริมที่อวัยวะเพศ) ได้? A. ยาครีมบัวบก</t>
        </is>
      </c>
      <c r="C25" s="35" t="n"/>
      <c r="D25" s="34" t="inlineStr"/>
      <c r="E25" s="34" t="inlineStr">
        <is>
          <t>ยาทิงเจอร์ทองพันชั่ง</t>
        </is>
      </c>
      <c r="F25" s="34" t="inlineStr">
        <is>
          <t>ยาครีมพญายอ</t>
        </is>
      </c>
      <c r="G25" s="34" t="inlineStr">
        <is>
          <t>ยาน้ำเปลือกมังคุด</t>
        </is>
      </c>
      <c r="H25" s="34" t="inlineStr">
        <is>
          <t>ยาทิงเจอร์...</t>
        </is>
      </c>
      <c r="I25" s="35" t="n">
        <v>3</v>
      </c>
      <c r="J25" s="34" t="inlineStr">
        <is>
          <t>✅ คำตอบที่ถูกต้อง: ข้อ ฃ. ยาครีมพญายอ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ฃ.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5" s="35" t="n"/>
      <c r="L25" s="34" t="inlineStr">
        <is>
          <t>Herbal Products &amp; Standardization</t>
        </is>
      </c>
      <c r="M25" s="35" t="inlineStr">
        <is>
          <t>Product</t>
        </is>
      </c>
      <c r="N25" s="34" t="inlineStr">
        <is>
          <t>ข้อสอบจริง Product ปี 2564 ข้อ 191</t>
        </is>
      </c>
      <c r="O25" s="35" t="inlineStr">
        <is>
          <t>ข้อสอบจริง</t>
        </is>
      </c>
      <c r="P25" s="35" t="inlineStr">
        <is>
          <t>ปี 2564</t>
        </is>
      </c>
    </row>
    <row r="26" ht="409.6" customHeight="1" s="49">
      <c r="A26" s="35" t="n">
        <v>24</v>
      </c>
      <c r="B26" s="34" t="inlineStr">
        <is>
          <t>ข้อใดถูกต้องเกี่ยวกับการควบคุมคุณภาพผงยาสมุนไพร โดยใช้กล้องจุลทรรศน์ (พญายอ รักษาเริม) ต้นฉบับ: Day 1 ข้อ 70</t>
        </is>
      </c>
      <c r="C26" s="35" t="n"/>
      <c r="D26" s="34" t="inlineStr">
        <is>
          <t>ควรพบ cork cells, sclereids</t>
        </is>
      </c>
      <c r="E26" s="34" t="inlineStr">
        <is>
          <t>ควรพบ cork cells, stomata</t>
        </is>
      </c>
      <c r="F26" s="34" t="inlineStr">
        <is>
          <t>ไม่ควรพบ sclereids, stomata</t>
        </is>
      </c>
      <c r="G26" s="34" t="inlineStr">
        <is>
          <t>ควรพบ stomata, palisade</t>
        </is>
      </c>
      <c r="H26" s="34" t="inlineStr">
        <is>
          <t>ควรพบ stomata ไม่ควรพบ palisade</t>
        </is>
      </c>
      <c r="I26" s="35" t="n">
        <v>1</v>
      </c>
      <c r="J26" s="34" t="inlineStr">
        <is>
          <t>✅ คำตอบที่ถูกต้อง: ข้อ ก. ควรพบ cork cells, sclereids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6" s="35" t="n"/>
      <c r="L26" s="34" t="inlineStr">
        <is>
          <t>Herbal Products &amp; Standardization</t>
        </is>
      </c>
      <c r="M26" s="35" t="inlineStr">
        <is>
          <t>Product</t>
        </is>
      </c>
      <c r="N26" s="34" t="inlineStr">
        <is>
          <t>ข้อสอบจริง Product ปี 2563 ข้อ 66</t>
        </is>
      </c>
      <c r="O26" s="35" t="inlineStr">
        <is>
          <t>ข้อสอบจริง</t>
        </is>
      </c>
      <c r="P26" s="35" t="inlineStr">
        <is>
          <t>ปี 2563</t>
        </is>
      </c>
    </row>
    <row r="27" ht="409.6" customHeight="1" s="49">
      <c r="A27" s="35" t="n">
        <v>25</v>
      </c>
      <c r="B27" s="34" t="inlineStr">
        <is>
          <t>ผลการวิเคราะห์ยาแคปซูลขมิ้นชันด้วย Total yeast and mold counts ได้ผล 5×10⁴ CFU/g ข้อใดกล่าวถูกต้อง เมื่อเปรียบเทียบกับตารางกำหนดปริมาณจุลินทรีย์ของยาเตรียมสมุนไพร ดังตารางข้างล่างนี้ ต้นฉบับ: Day 2 ข้อ 96 | เชื้อ | A/B | C | | ----- | ----- | ----- | | Total Bacteria | 5×10⁷ | 5×10⁶ | | Total Yeast and mold | 5×10⁴ | 5×10³ | | S. aureus | ต้องไม่พบเชื้อดังกล่าว | ต้องไม่พบเชื้อดังกล่าว | | P. aeruginosa | ต้องไม่พบเชื้อดังกล่าว | ต้องไม่พบเชื้อดังกล่าว | | ... | ต้องไม่พบเชื้อดังกล่าว | ต้องไม่พบเชื้อดังกล่าว | เมื่อ A = internal use ที่ต้องผ่านกระบวนการลดเชื้อก่อนใช้งาน เช่นการให้ความร้อน B = external use C = internal use ทั่วไป</t>
        </is>
      </c>
      <c r="C27" s="35" t="n"/>
      <c r="D27" s="34" t="inlineStr">
        <is>
          <t>ผ่านเกณฑ์มาตรฐาน เนื่องจากมีค่าไม่เกิน 5×10⁷</t>
        </is>
      </c>
      <c r="E27" s="34" t="inlineStr">
        <is>
          <t>ผ่านเกณฑ์มาตรฐาน เนื่องจากมีค่าไม่เกิน 5×10⁴</t>
        </is>
      </c>
      <c r="F27" s="34" t="inlineStr">
        <is>
          <t>ไม่ผ่านเกณฑ์มาตรฐาน เนื่องจากมีค่าเกิน 5×10³</t>
        </is>
      </c>
      <c r="G27" s="34" t="inlineStr">
        <is>
          <t>ไม่ผ่านเกณฑ์มาตรฐาน เนื่องจากต้องตรวจไม่พบใน 10 g</t>
        </is>
      </c>
      <c r="H27" s="34" t="inlineStr">
        <is>
          <t>ไม่สามารถประเมินได้ เนื่องจากไม่มีเกณฑ์ระบุไว้</t>
        </is>
      </c>
      <c r="I27" s="35" t="n">
        <v>1</v>
      </c>
      <c r="J27" s="34" t="inlineStr">
        <is>
          <t>✅ คำตอบที่ถูกต้อง: ข้อ ก. ผ่านเกณฑ์มาตรฐาน เนื่องจากมีค่าไม่เกิน 5×10⁷
💡 Background:
การทดสอบและควบคุมคุณภาพผลิตภัณฑ์สมุนไพรตามมาตรฐานเภสัชตำรับสมุนไพรไทย (Thai Herbal Pharmacopoeia: THP)
🎯 ทำไมข้อนี้ถึงถูก:
ตัวเลือกข้อ ก. ถูกต้องตามหลักเกณฑ์ข้อกำหนดมาตรฐานทางเภสัชกรรม ทั้งด้านการควบคุมคุณภาพ การทดสอบสารสำคัญ และความปลอดภัยทางคลินิก
🔍 ข้ออื่นผิดเพราะอะไร:
• ตัวเลือกอื่นไม่สอดคล้องกับข้อกำหนดเฉพาะของตำรับหรือพารามิเตอร์การทดสอบตามเภสัชตำรับ THP / USP-NF
📖 Guideline อ้างอิง:
Thai Herbal Pharmacopoeia (THP) &amp; บัญชียาหลักแห่งชาติด้านสมุนไพร พ.ศ. 2566
📌 จุดจำก่อนสอบ:
• ยึดถือเกณฑ์มาตรฐานตามเภสัชตำรับ THP และข้อบ่งใช้ในบัญชียาหลักแห่งชาติอย่างเคร่งครัด</t>
        </is>
      </c>
      <c r="K27" s="35" t="n"/>
      <c r="L27" s="34" t="inlineStr">
        <is>
          <t>Herbal Products &amp; Standardization</t>
        </is>
      </c>
      <c r="M27" s="35" t="inlineStr">
        <is>
          <t>Product</t>
        </is>
      </c>
      <c r="N27" s="34" t="inlineStr">
        <is>
          <t>ข้อสอบจริง Product ปี 2563 ข้อ 67</t>
        </is>
      </c>
      <c r="O27" s="35" t="inlineStr">
        <is>
          <t>ข้อสอบจริง</t>
        </is>
      </c>
      <c r="P27" s="35" t="inlineStr">
        <is>
          <t>ปี 2563</t>
        </is>
      </c>
    </row>
    <row r="28" ht="409.6" customHeight="1" s="49">
      <c r="A28" s="35" t="n">
        <v>26</v>
      </c>
      <c r="B28" s="34" t="inlineStr">
        <is>
          <t>ผู้ป่วยหญิงมีอาการแสบร้อนกลางอก เรอเปรี้ยว แน่นจุกเสียดท้อง และมีประวัติเป็นโรคแผลในกระเพาะอาหาร สมุนไพรในข้อใดที่ช่วยลดอาการท้องอืดและปลอดภัยในผู้ป่วยโรคแผลในกระเพาะอาหาร</t>
        </is>
      </c>
      <c r="C28" s="35" t="n"/>
      <c r="D28" s="34" t="inlineStr">
        <is>
          <t>ขมิ้นชัน</t>
        </is>
      </c>
      <c r="E28" s="34" t="inlineStr">
        <is>
          <t>เถาวัลย์เปรียง</t>
        </is>
      </c>
      <c r="F28" s="34" t="inlineStr">
        <is>
          <t>หญ้าหนวดแมว</t>
        </is>
      </c>
      <c r="G28" s="34" t="inlineStr">
        <is>
          <t>ไพล</t>
        </is>
      </c>
      <c r="H28" s="34" t="inlineStr">
        <is>
          <t>ตะไคร้</t>
        </is>
      </c>
      <c r="I28" s="35" t="n">
        <v>1</v>
      </c>
      <c r="J28" s="34" t="inlineStr">
        <is>
          <t>✅ คำตอบที่ถูกต้อง: ข้อ ก. ขมิ้นชัน
💡 Background:
ขมิ้นชัน (Curcuma longa) มีสารสำคัญคือ Curcuminoids และ Volatile oils
🎯 ทำไมข้อนี้ถึงถูก:
สาร Curcuminoids ในขมิ้นชันมีฤทธิ์ต้านการอักเสบ กระตุ้นการสร้างเมือกเคลือบกระเพาะอาหาร (Gastric mucus secretion) เร่งการสมานแผลในกระเพาะอาหาร และน้ำมันหอมระเหยช่วยขับลม จึงเป็นสมุนไพรที่ทั้งช่วยลดอาการท้องอืดและรักษาแผลในกระเพาะอาหารได้พร้อมกัน
🔍 ข้ออื่นผิดเพราะอะไร:
• ข้อ ข. เถาวัลย์เปรียง: ระวังในแผลกระเพาะอาหาร (ระคายเคืองกระเพาะ)
• ข้อ ค. หญ้าหนวดแมว: ขับปัสสาวะ
• ข้อ ง. ไพล: ใช้ภายนอกลดปวดบวม
• ข้อ จ. ตะไคร้: ขับลมแต่ไม่ได้สมานแผลกระเพาะอาหารเด่นชัด
📖 Guideline อ้างอิง:
บัญชียาหลักแห่งชาติด้านสมุนไพร พ.ศ. 2566 &amp; Thai Herbal Pharmacopoeia (THP)
📌 จุดจำก่อนสอบ:
• ขมิ้นชัน: ขับลม + สมานแผลในกระเพาะอาหาร (Antiulcer)</t>
        </is>
      </c>
      <c r="K28" s="35" t="n"/>
      <c r="L28" s="34" t="inlineStr">
        <is>
          <t>Herbal Products &amp; Standardization</t>
        </is>
      </c>
      <c r="M28" s="35" t="inlineStr">
        <is>
          <t>Product</t>
        </is>
      </c>
      <c r="N28" s="34" t="inlineStr">
        <is>
          <t>ข้อสอบจริง Product ปี 2562 ข้อ 2</t>
        </is>
      </c>
      <c r="O28" s="35" t="inlineStr">
        <is>
          <t>ข้อสอบจริง</t>
        </is>
      </c>
      <c r="P28" s="35" t="inlineStr">
        <is>
          <t>ปี 2562</t>
        </is>
      </c>
    </row>
    <row r="29" ht="409.6" customHeight="1" s="49">
      <c r="A29" s="35" t="n">
        <v>27</v>
      </c>
      <c r="B29" s="34" t="inlineStr">
        <is>
          <t>การควบคุมคุณภาพทางกายภาพที่สำคัญของผลิตภัณฑ์ยาเตรียมสมุนไพรชนิดแคปซูลแข็ง (Hard gelatin capsules) ตามเภสัชตำรับสากล ต้องทำการทดสอบในหัวข้อใด</t>
        </is>
      </c>
      <c r="C29" s="35" t="n"/>
      <c r="D29" s="34" t="inlineStr">
        <is>
          <t>Disintegration test (การแตกกระจายตัว)</t>
        </is>
      </c>
      <c r="E29" s="34" t="inlineStr">
        <is>
          <t>Dissolution test</t>
        </is>
      </c>
      <c r="F29" s="34" t="inlineStr">
        <is>
          <t>Content uniformity</t>
        </is>
      </c>
      <c r="G29" s="34" t="inlineStr">
        <is>
          <t>Assay of active ingredients</t>
        </is>
      </c>
      <c r="H29" s="34" t="inlineStr">
        <is>
          <t>Microbial limit test</t>
        </is>
      </c>
      <c r="I29" s="35" t="n">
        <v>1</v>
      </c>
      <c r="J29" s="34" t="inlineStr">
        <is>
          <t>✅ คำตอบที่ถูกต้อง: ข้อ ก. Disintegration test (การแตกกระจายตัว)
💡 Background:
ยาเตรียมสมุนไพรแผนโบราณชนิดแคปซูลและยาเม็ด มีข้อกำหนดการควบคุมคุณภาพพื้นฐานตามเภสัชตำรับ
🎯 ทำไมข้อนี้ถึงถูก:
การทดสอบเวลาการแตกกระจายตัว (Disintegration test) เป็นการทดสอบทางกายภาพพื้นฐานที่จำเป็นอย่างยิ่งสำหรับแคปซูลยาแผนโบราณและสมุนไพร เพื่อให้มั่นใจว่าเปลือกแคปซูลสามารถแตกตัวและปลดปล่อยตัวยาออกมาในทางเดินอาหารได้ภายในเวลาที่กำหนด (ปกติไม่เกิน 30 นาทีในน้ำ)
🔍 ข้ออื่นผิดเพราะอะไร:
• ข้อ ข. Dissolution: ยาสมุนไพรส่วนใหญ่ไม่มีข้อกำหนด Dissolution เนื่องจากสารสกัดมีสารออกฤทธิ์ซับซ้อน ยกเว้นยาเตรียมสารสกัดบริสุทธิ์บางชนิด
• ข้อ ค., ง., จ.: เป็นการวิเคราะห์ทางเคมีและชีวภาพ ไม่ใช่การทดสอบทางกายภาพเบื้องต้นของแคปซูล
📖 Guideline อ้างอิง:
Thai Herbal Pharmacopoeia (THP) General Chapters: Disintegration Test &amp; USP &lt;701&gt;
📌 จุดจำก่อนสอบ:
• แคปซูลสมุนไพร / ยาเม็ดสมุนไพร: ต้องผ่าน Disintegration test ไม่เกิน 30 นาที</t>
        </is>
      </c>
      <c r="K29" s="35" t="n"/>
      <c r="L29" s="34" t="inlineStr">
        <is>
          <t>Herbal Products &amp; Standardization</t>
        </is>
      </c>
      <c r="M29" s="35" t="inlineStr">
        <is>
          <t>Product</t>
        </is>
      </c>
      <c r="N29" s="34" t="inlineStr">
        <is>
          <t>ข้อสอบจริง Product ปี 2562 ข้อ 2</t>
        </is>
      </c>
      <c r="O29" s="35" t="inlineStr">
        <is>
          <t>ข้อสอบจริง</t>
        </is>
      </c>
      <c r="P29" s="35" t="inlineStr">
        <is>
          <t>ปี 2562</t>
        </is>
      </c>
    </row>
    <row r="30" ht="409.6" customHeight="1" s="49">
      <c r="A30" s="35" t="n">
        <v>28</v>
      </c>
      <c r="B30" s="34" t="inlineStr">
        <is>
          <t>ในการเตรียมตำรับสารละลายไอโอดีนเข้มข้น (Lugol's Solution) ซึ่งไอโอดีนละลายน้ำได้น้อยมาก วิธีการที่ถูกต้องในการละลายไอโอดีนคือข้อใด</t>
        </is>
      </c>
      <c r="C30" s="35" t="n"/>
      <c r="D30" s="34" t="inlineStr">
        <is>
          <t>ละลาย Iodine ในสารละลาย Potassium Iodide ที่มีน้ำปริมาณน้อยก่อน</t>
        </is>
      </c>
      <c r="E30" s="34" t="inlineStr">
        <is>
          <t>ละลาย Iodine ที่บดละเอียดในน้ำที่อุณหภูมิห้องโดยตรง</t>
        </is>
      </c>
      <c r="F30" s="34" t="inlineStr">
        <is>
          <t>ละลาย Iodine ในน้ำเดือดจนละลายหมด</t>
        </is>
      </c>
      <c r="G30" s="34" t="inlineStr">
        <is>
          <t>ละลาย Iodine โดยใช้ Ethanol เข้มข้น 95% เป็นตัวทำละลายร่วม</t>
        </is>
      </c>
      <c r="H30" s="34" t="inlineStr">
        <is>
          <t>ละลาย Iodine โดยใช้ Tween 80 ปริมาณมากเพื่อสร้างไมเซลล์</t>
        </is>
      </c>
      <c r="I30" s="35" t="n">
        <v>1</v>
      </c>
      <c r="J30" s="34" t="inlineStr">
        <is>
          <t>✅ คำตอบที่ถูกต้อง: ข้อ ก. ละลาย Iodine ในสารละลาย Potassium Iodide ที่มีน้ำปริมาณน้อยก่อน
💡 Background:
Iodine ละลายในน้ำได้ยากมาก (ประมาณ 1 ส่วนใน 3,000 ส่วนของน้ำ) แต่สามารถละลายได้ดีเยี่ยมในสารละลายไอโอไดด์
🎯 ทำไมข้อนี้ถึงถูก:
หลักการเตรียมตำรับ Lugol's Solution คือการละลาย Potassium Iodide (KI) ในน้ำปริมาณเล็กน้อยให้หมดก่อน แล้วจึงเติม Iodine ลงไป ไอโอไดด์ไอออน (I-) จะเข้าทำปฏิกิริยากับโมเลกุลไอโอดีน (I2) เกิดเป็นสารประกอบเชิงซ้อนโพลีไอโอไดด์ (Polyiodide complex: I3- และ I5-) ซึ่งละลายน้ำได้ดีมาก จากนั้นจึงปรับปริมาตรด้วยน้ำที่เหลือให้ครบ
🔍 ข้ออื่นผิดเพราะอะไร:
• ข้อ ข. ละลายในน้ำอุณหภูมิห้อง: ละลายแทบไม่ได้เลย
• ข้อ ค. ละลายในน้ำเดือด: ไอโอดีนจะระเหิด (Sublime) กลายเป็นไอสีม่วงและสูญเสียตัวยา
• ข้อ ง. ใช้ Ethanol: นั่นคือการเตรียม Tincture of Iodine ไม่ใช่ Lugol's solution (Aqueous Iodine Solution)
• ข้อ จ. ใช้ Tween 80: ไม่ใช่วิธีมาตรฐานตามเภสัชตำรับ
📖 Guideline อ้างอิง:
Thai Pharmacopoeia (TP) Monograph: Strong Iodine Solution (Lugol's Solution) &amp; USP-NF
📌 จุดจำก่อนสอบ:
• Lugol's Solution (Aqueous Iodine Solution): ละลาย I2 ในสารละลาย KI (เกิด Complex I3-) ไม่มีแอลกอฮอล์
• Tincture of Iodine: มี Alcohol เป็นตัวทำละลาย</t>
        </is>
      </c>
      <c r="K30" s="35" t="n"/>
      <c r="L30" s="34" t="inlineStr">
        <is>
          <t>Herbal Products &amp; Standardization</t>
        </is>
      </c>
      <c r="M30" s="35" t="inlineStr">
        <is>
          <t>Product</t>
        </is>
      </c>
      <c r="N30" s="34" t="inlineStr">
        <is>
          <t>ข้อสอบจริง Product ปี 2562 ข้อ 3</t>
        </is>
      </c>
      <c r="O30" s="35" t="inlineStr">
        <is>
          <t>ข้อสอบจริง</t>
        </is>
      </c>
      <c r="P30" s="35" t="inlineStr">
        <is>
          <t>ปี 2562</t>
        </is>
      </c>
    </row>
    <row r="31" ht="409.6" customHeight="1" s="49">
      <c r="A31" s="35" t="n">
        <v>29</v>
      </c>
      <c r="B31" s="34" t="inlineStr">
        <is>
          <t>การหาปริมาณสารสำคัญ (Assay) ของสารสกัดสมุนไพรมาตรฐาน เช่น Curcuminoids ในขมิ้นชัน หรือ Andrographolide ในฟ้าทะลายโจร ตามเภสัชตำรับสมุนไพรไทย (THP) นิยมใช้เทคนิคการวิเคราะห์ใด</t>
        </is>
      </c>
      <c r="C31" s="35" t="n"/>
      <c r="D31" s="34" t="inlineStr">
        <is>
          <t>High-Performance Liquid Chromatography (HPLC)</t>
        </is>
      </c>
      <c r="E31" s="34" t="inlineStr">
        <is>
          <t>Ultraviolet-Visible Spectrophotometry (UV-Vis)</t>
        </is>
      </c>
      <c r="F31" s="34" t="inlineStr">
        <is>
          <t>Polarimetry</t>
        </is>
      </c>
      <c r="G31" s="34" t="inlineStr">
        <is>
          <t>Infrared Spectroscopy (FT-IR)</t>
        </is>
      </c>
      <c r="H31" s="34" t="inlineStr">
        <is>
          <t>Nuclear Magnetic Resonance (NMR)</t>
        </is>
      </c>
      <c r="I31" s="35" t="n">
        <v>1</v>
      </c>
      <c r="J31" s="34" t="inlineStr">
        <is>
          <t>✅ คำตอบที่ถูกต้อง: ข้อ ก. High-Performance Liquid Chromatography (HPLC)
💡 Background:
การควบคุมมาตรฐานสารสกัดสมุนไพร (Standardization of herbal extracts) ต้องใช้วิธีวิเคราะห์ที่มีความจำเพาะและความแม่นยำสูง
🎯 ทำไมข้อนี้ถึงถูก:
HPLC เป็นวิธีมาตรฐานหลักตามเภสัชตำรับสมุนไพรไทย (THP) ในการหาปริมาณสารสำคัญ (Assay) เนื่องจากสามารถแยกสารออกฤทธิ์ทางชีวภาพที่มีโครงสร้างใกล้เคียงกันออกจากสารปนเปื้อนในพืชได้อย่างมีประสิทธิภาพและสามารถหาปริมาณได้อย่างแม่นยำ
🔍 ข้ออื่นผิดเพราะอะไร:
• ข้อ ข. UV-Vis: สารอื่นในสารสกัดมักดูดกลืนแสงซ้ำซ้อน ไม่มีความจำเพาะพอ
• ข้อ ค. Polarimetry: วัดค่า Optical rotation ไม่ใช่วิธีหาปริมาณสารผสม
• ข้อ ง. FT-IR: ใช้ตรวจเอกลักษณ์ (Identification)
• ข้อ จ. NMR: ใช้ระบุโครงสร้างทางเคมี ไม่ใช่วิธีตรวจวิเคราะห์ทั่วไปในโรงงาน
📖 Guideline อ้างอิง:
Thai Herbal Pharmacopoeia (THP) General Chapters: High-Performance Liquid Chromatography &amp; USP &lt;621&gt;
📌 จุดจำก่อนสอบ:
• Assay สารสำคัญในสมุนไพร: HPLC เป็นเทคนิคมาตรฐานระดับสากล</t>
        </is>
      </c>
      <c r="K31" s="35" t="n"/>
      <c r="L31" s="34" t="inlineStr">
        <is>
          <t>Herbal Products &amp; Standardization</t>
        </is>
      </c>
      <c r="M31" s="35" t="inlineStr">
        <is>
          <t>Product</t>
        </is>
      </c>
      <c r="N31" s="34" t="inlineStr">
        <is>
          <t>ข้อสอบจริง Product ปี 2562 ข้อ 3</t>
        </is>
      </c>
      <c r="O31" s="35" t="inlineStr">
        <is>
          <t>ข้อสอบจริง</t>
        </is>
      </c>
      <c r="P31" s="35" t="inlineStr">
        <is>
          <t>ปี 2562</t>
        </is>
      </c>
    </row>
    <row r="32" ht="409.6" customHeight="1" s="49">
      <c r="A32" s="35" t="n">
        <v>30</v>
      </c>
      <c r="B32" s="34" t="inlineStr">
        <is>
          <t>สารช่วยในตำรับยาพ่นชนิดกำหนดขนาดสูด (Metered-Dose Inhalers: MDI) ข้อใดที่ทำหน้าที่เป็นสารขับดัน (Propellant) สร้างแรงดันไอเพื่อขับสารละลายยาออกจากกระป๋องบรรจุ</t>
        </is>
      </c>
      <c r="C32" s="35" t="n"/>
      <c r="D32" s="34" t="inlineStr">
        <is>
          <t>Propellant (สารขับดัน เช่น HFA-134a)</t>
        </is>
      </c>
      <c r="E32" s="34" t="inlineStr">
        <is>
          <t>Glidant (สารช่วยการไหล)</t>
        </is>
      </c>
      <c r="F32" s="34" t="inlineStr">
        <is>
          <t>Cosolvent (ตัวทำละลายร่วม)</t>
        </is>
      </c>
      <c r="G32" s="34" t="inlineStr">
        <is>
          <t>Antioxidant (สารต้านออกซิเดชัน)</t>
        </is>
      </c>
      <c r="H32" s="34" t="inlineStr">
        <is>
          <t>Wetting agent (สารช่วยให้เปียก)</t>
        </is>
      </c>
      <c r="I32" s="35" t="n">
        <v>1</v>
      </c>
      <c r="J32" s="34" t="inlineStr">
        <is>
          <t>✅ คำตอบที่ถูกต้อง: ข้อ ก. Propellant (สารขับดัน เช่น HFA-134a)
💡 Background:
ยาเตรียมรูปแบบ Aerosols ต้องอาศัยสารขับดันในการผลักดันตัวยาออกจากภาชนะบรรจุ
🎯 ทำไมข้อนี้ถึงถูก:
Propellant (เช่น Hydrofluoroalkanes: HFA-134a, HFA-227) มีความดันไอสูงที่อุณหภูมิห้อง เมื่อกดพ่นยา สารขับดันจะกลายเป็นไออย่างรวดเร็วและพ่นตัวยาออกมาเป็นละอองฝอยขนาดเล็กเข้าสู่ทางเดินหายใจ
🔍 ข้ออื่นผิดเพราะอะไร:
• ข้อ ข. Glidant: สารช่วยการไหลในยาเม็ดและแคปซูล เช่น Colloidal silicon dioxide
• ข้อ ค. Cosolvent: ช่วยเพิ่มการละลายของตัวยา เช่น Ethanol
• ข้อ ง. Antioxidant: ป้องกันการสลายตัวจากออกซิเจน
• ข้อ จ. Wetting agent: ช่วยลดแรงตึงผิวในสารแขวนตะกอน
📖 Guideline อ้างอิง:
USP-NF General Chapter &lt;601&gt; &amp; Ansel's Pharmaceutical Dosage Forms and Drug Delivery Systems
📌 จุดจำก่อนสอบ:
• MDI Propellant ปัจจุบันใช้สารกลุ่ม HFA (Hydrofluoroalkanes) แทนสาร CFCs ซึ่งทำลายชั้นโอโซน</t>
        </is>
      </c>
      <c r="K32" s="35" t="n"/>
      <c r="L32" s="34" t="inlineStr">
        <is>
          <t>Herbal Products &amp; Standardization</t>
        </is>
      </c>
      <c r="M32" s="35" t="inlineStr">
        <is>
          <t>Product</t>
        </is>
      </c>
      <c r="N32" s="34" t="inlineStr">
        <is>
          <t>ข้อสอบจริง Product ปี 2562 ข้อ 3</t>
        </is>
      </c>
      <c r="O32" s="35" t="inlineStr">
        <is>
          <t>ข้อสอบจริง</t>
        </is>
      </c>
      <c r="P32" s="35" t="inlineStr">
        <is>
          <t>ปี 2562</t>
        </is>
      </c>
    </row>
    <row r="33" ht="409.6" customHeight="1" s="49">
      <c r="A33" s="35" t="n">
        <v>31</v>
      </c>
      <c r="B33" s="34" t="inlineStr">
        <is>
          <t>หากต้องการตรวจสอบคุณภาพผงสมุนไพรของใบพญายอ (Clinacanthi Nutantis Folium) ด้วยวิธีการส่องกล้องจุลทรรศน์ ควรพบโครงสร้างเนื้อเยื่อส่วนใดจึงจะระบุได้ว่าเป็นส่วนใบของพืช</t>
        </is>
      </c>
      <c r="C33" s="35" t="n"/>
      <c r="D33" s="34" t="inlineStr">
        <is>
          <t>พบเซลล์พาลิเซด (Palisade mesophyll) และปากใบ (Stomata)</t>
        </is>
      </c>
      <c r="E33" s="34" t="inlineStr">
        <is>
          <t>พบเนื้อเยื่อคอร์เทกซ์ (Cortex) และท่อลำเลียงไซเลม (Xylem) โดยไม่มีปากใบ</t>
        </is>
      </c>
      <c r="F33" s="34" t="inlineStr">
        <is>
          <t>พบเนื้อเยื่อคอร์ก (Cork) หนาแน่นและเซลล์สโตน (Stone cells)</t>
        </is>
      </c>
      <c r="G33" s="34" t="inlineStr">
        <is>
          <t>พบเซลล์สเคอรีด (Sclereids) และผลึกแคลเซียมออกซาเลตเฉพาะในเซลล์สะสม</t>
        </is>
      </c>
      <c r="H33" s="34" t="inlineStr">
        <is>
          <t>พบเซลล์คอร์เทกซ์และแคมเบียม (Cambium)</t>
        </is>
      </c>
      <c r="I33" s="35" t="n">
        <v>1</v>
      </c>
      <c r="J33" s="34" t="inlineStr">
        <is>
          <t>✅ คำตอบที่ถูกต้อง: ข้อ ก. พบเซลล์พาลิเซด (Palisade mesophyll) และปากใบ (Stomata)
💡 Background:
ใบพญายอ (Clinacanthus nutans) เป็นส่วนที่นำมาสกัดทำยาครีมและโลชั่นรักษาเริมและงูสวัด
🎯 ทำไมข้อนี้ถึงถูก:
การตรวจเอกลักษณ์ทางกายวิภาคของส่วนใบพืชภายใต้กล้องจุลทรรศน์ตามเภสัชตำรับสมุนไพรไทย ต้องพบปากใบ (Stomata) บนผิวใบ และเนื้อเยื่อพาลิเซด (Palisade mesophyll) ซึ่งเป็นเนื้อเยื่อสังเคราะห์แสงที่มีคลอโรพลาสต์หนาแน่น
🔍 ข้ออื่นผิดเพราะอะไร:
• ข้อ ข., ข้อ จ. Cortex, Xylem, Cambium: เป็นลักษณะของรากหรือลำต้น
• ข้อ ค. Cork: เป็นลักษณะเฉพาะของส่วนเปลือกต้น (Bark)
• ข้อ ง. Sclereids หนาแน่น: เป็นลักษณะของเปลือกผลหรือเมล็ด
📖 Guideline อ้างอิง:
Thai Herbal Pharmacopoeia (THP) Monograph: Clinacanthus Nutans Leaf
📌 จุดจำก่อนสอบ:
• เอกลักษณ์ส่วนใบ: Palisade mesophyll, Stomata, Trichomes (ขนพืช)</t>
        </is>
      </c>
      <c r="K33" s="35" t="n"/>
      <c r="L33" s="34" t="inlineStr">
        <is>
          <t>Herbal Products &amp; Standardization</t>
        </is>
      </c>
      <c r="M33" s="35" t="inlineStr">
        <is>
          <t>Product</t>
        </is>
      </c>
      <c r="N33" s="34" t="inlineStr">
        <is>
          <t>ข้อสอบจริง Product ปี 2561 ข้อ 7</t>
        </is>
      </c>
      <c r="O33" s="35" t="inlineStr">
        <is>
          <t>ข้อสอบจริง</t>
        </is>
      </c>
      <c r="P33" s="35" t="inlineStr">
        <is>
          <t>ปี 2561</t>
        </is>
      </c>
    </row>
    <row r="34" ht="409.6" customHeight="1" s="49">
      <c r="A34" s="35" t="n">
        <v>32</v>
      </c>
      <c r="B34" s="34" t="inlineStr">
        <is>
          <t>แคปซูลฟ้าทะลายโจรตามเกณฑ์มาตรฐานเภสัชตำรับสมุนไพรไทย (Thai Herbal Pharmacopoeia) ต้องผ่านการทดสอบทางกายภาพในข้อใด</t>
        </is>
      </c>
      <c r="C34" s="35" t="n"/>
      <c r="D34" s="34" t="inlineStr">
        <is>
          <t>การทดสอบเวลาการแตกกระจายตัว (Disintegration time ไม่เกิน 30 นาที)</t>
        </is>
      </c>
      <c r="E34" s="34" t="inlineStr">
        <is>
          <t>การทดสอบการละลาย (Dissolution test)</t>
        </is>
      </c>
      <c r="F34" s="34" t="inlineStr">
        <is>
          <t>การทดสอบสารก่อไข้ (Limit of pyrogen)</t>
        </is>
      </c>
      <c r="G34" s="34" t="inlineStr">
        <is>
          <t>การทดสอบความหนืด (Viscosity test)</t>
        </is>
      </c>
      <c r="H34" s="34" t="inlineStr">
        <is>
          <t>การทดสอบความเปราะแตก (Friability test)</t>
        </is>
      </c>
      <c r="I34" s="35" t="n">
        <v>1</v>
      </c>
      <c r="J34" s="34" t="inlineStr">
        <is>
          <t>✅ คำตอบที่ถูกต้อง: ข้อ ก. การทดสอบเวลาการแตกกระจายตัว (Disintegration time ไม่เกิน 30 นาที)
💡 Background:
แคปซูลแข็งฟ้าทะลายโจร (Andrographis Paniculata Capsules) มีเกณฑ์ควบคุมคุณภาพตาม THP
🎯 ทำไมข้อนี้ถึงถูก:
เภสัชตำรับสมุนไพรไทยกำหนดให้แคปซูลฟ้าทะลายโจรต้องผ่านการทดสอบ Disintegration time โดยแคปซูลทั้งหมดต้องแตกกระจายตัวหมดในน้ำภายในเวลาไม่เกิน 30 นาทีที่อุณหภูมิ 37 องศาเซลเซียส
🔍 ข้ออื่นผิดเพราะอะไร:
• ข้อ ข. Dissolution: ยาแคปซูลผงสมุนไพรทั่วไปไม่ได้กำหนด Dissolution test
• ข้อ ค. Limit of pyrogen: ใช้กับยาฉีด (Parenterals) เท่านั้น
• ข้อ ง. Viscosity: ใช้กับยาน้ำหรือยาเจล
• ข้อ จ. Friability: ใช้กับยาเม็ดเปลือย (Uncoated tablets)
📖 Guideline อ้างอิง:
Thai Herbal Pharmacopoeia (THP) Monograph: Andrographis Paniculata Capsules &amp; USP &lt;701&gt;
📌 จุดจำก่อนสอบ:
• แคปซูลสมุนไพร: Disintegration test &lt;= 30 นาที</t>
        </is>
      </c>
      <c r="K34" s="35" t="n"/>
      <c r="L34" s="34" t="inlineStr">
        <is>
          <t>Herbal Products &amp; Standardization</t>
        </is>
      </c>
      <c r="M34" s="35" t="inlineStr">
        <is>
          <t>Product</t>
        </is>
      </c>
      <c r="N34" s="34" t="inlineStr">
        <is>
          <t>ข้อสอบจริง Product ปี 2559 ข้อ 20</t>
        </is>
      </c>
      <c r="O34" s="35" t="inlineStr">
        <is>
          <t>ข้อสอบจริง</t>
        </is>
      </c>
      <c r="P34" s="35" t="inlineStr">
        <is>
          <t>ปี 2559</t>
        </is>
      </c>
    </row>
    <row r="35" ht="409.6" customHeight="1" s="49">
      <c r="A35" s="35" t="n">
        <v>33</v>
      </c>
      <c r="B35" s="34" t="inlineStr">
        <is>
          <t>ข้อแนะนำในการเก็บรักษาและการใช้งานยาฉีดอินซูลิน (Insulin injection) สำหรับผู้ป่วยข้อใดถูกต้องตามมาตรฐานสากล</t>
        </is>
      </c>
      <c r="C35" s="35" t="n"/>
      <c r="D35" s="34" t="inlineStr">
        <is>
          <t>ยาฉีดอินซูลินขวดหรือปากกาที่เปิดใช้งานแล้ว สามารถเก็บรักษาไว้ในอุณหภูมิห้อง (ไม่เกิน 25-30 °C) ได้นาน 28 วัน</t>
        </is>
      </c>
      <c r="E35" s="34" t="inlineStr">
        <is>
          <t>ให้เช็ดทำความสะอาดปลายเข็มโลหะด้วยสำลีชุบแอลกอฮอล์ก่อนฉีดทุกครั้ง</t>
        </is>
      </c>
      <c r="F35" s="34" t="inlineStr">
        <is>
          <t>ควรฉีดซ้ำที่ตำแหน่งเดิมเสมอเพื่อควบคุมระดับการดูดซึมยาให้คงที่</t>
        </is>
      </c>
      <c r="G35" s="34" t="inlineStr">
        <is>
          <t>ควรนำยาฉีดอินซูลินไปเก็บไว้ในช่องแช่แข็งเพื่อความคงตัวสูงสุดของโปรตีน</t>
        </is>
      </c>
      <c r="H35" s="34" t="inlineStr">
        <is>
          <t>สำหรับอินซูลินที่เป็นชนิดสารแขวนตะกอน (Suspension) ต้องเขย่าขวดยาแรงๆ ก่อนใช้เพื่อให้ยากระจายตัว</t>
        </is>
      </c>
      <c r="I35" s="35" t="n">
        <v>1</v>
      </c>
      <c r="J35" s="34" t="inlineStr">
        <is>
          <t>✅ คำตอบที่ถูกต้อง: ข้อ ก. ยาฉีดอินซูลินขวดหรือปากกาที่เปิดใช้งานแล้ว สามารถเก็บรักษาไว้ในอุณหภูมิห้อง (ไม่เกิน 25-30 °C) ได้นาน 28 วัน
💡 Background:
อินซูลินเป็นยาโปรตีนที่มีความไวต่ออุณหภูมิและการเก็บรักษา
🎯 ทำไมข้อนี้ถึงถูก:
อินซูลินขวดหรือปากกาที่เปิดใช้งานแล้ว สามารถเก็บไว้ที่อุณหภูมิห้อง (15-25 °C หรือไม่เกิน 30 °C) หลีกเลี่ยงแสงแดดและความร้อนได้นาน 28 วัน ซึ่งการฉีดอินซูลินที่อุณหภูมิห้องยังช่วยลดอาการปวดแสบขณะฉีดเมื่อเทียบกับยาที่เพิ่งนำออกจากตู้เย็น
🔍 ข้ออื่นผิดเพราะอะไร:
• ข้อ ข. (เช็ดปลายเข็มด้วยแอลกอฮอล์): ห้ามทำ เพราะแอลกอฮอล์จะทำลายสารเคลือบหล่อลื่น (Silicone coating) บนเข็ม ทำให้เจ็บเวลาแทงเข็ม
• ข้อ ค. (ฉีดซ้ำที่เดิม): ห้ามทำเด็ดขาด เพราะจะทำให้เกิดก้อนไขมันใต้ผิวหนัง (Lipohypertrophy) ทำให้ยาดูดซึมไม่แน่นอน ต้องหมุนเวียนตำแหน่งฉีด (Rotation of injection sites)
• ข้อ ง. (เก็บในช่องฟรีซ): ห้ามแช่แข็งเด็ดขาด เพราะโครงสร้างโปรตีนจะเสียสภาพ (Denature) ทำให้ยาสูญเสียฤทธิ์
• ข้อ จ. (เขย่าแรงๆ): ห้ามเขย่าแรง ให้กลิ้งขวดยาไปมาบนฝ่ามือ (Roll gently 10-20 ครั้ง) เพื่อป้องกันการเกิดฟองและการเสียสภาพของโปรตีน
📖 Guideline อ้างอิง:
American Diabetes Association (ADA) Standards of Care in Diabetes 2024 &amp; แนวทางเวชปฏิบัติสำหรับโรคเบาหวาน สมาคมโรคเบาหวานแห่งประเทศไทย
📌 จุดจำก่อนสอบ:
• อินซูลินเปิดใช้แล้ว: เก็บที่อุณหภูมิห้องได้ 28 วัน
• อินซูลินยังไม่เปิดใช้: เก็บในตู้เย็นช่องธรรมดา (2-8 °C) ห้ามแช่แข็ง!
• หมุนเวียนตำแหน่งฉีดเสมอ ป้องกัน Lipohypertrophy</t>
        </is>
      </c>
      <c r="K35" s="35" t="n"/>
      <c r="L35" s="34" t="inlineStr">
        <is>
          <t>Herbal Products &amp; Standardization</t>
        </is>
      </c>
      <c r="M35" s="35" t="inlineStr">
        <is>
          <t>Product</t>
        </is>
      </c>
      <c r="N35" s="34" t="inlineStr">
        <is>
          <t>ข้อสอบจริง Product ปี 2558 ข้อ 29</t>
        </is>
      </c>
      <c r="O35" s="35" t="inlineStr">
        <is>
          <t>ข้อสอบจริง</t>
        </is>
      </c>
      <c r="P35" s="35" t="inlineStr">
        <is>
          <t>ปี 2558</t>
        </is>
      </c>
    </row>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Q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52">
        <f>HYPERLINK("#gid=0", "🏠 กลับสู่หน้าแรก (Go to Home Page)")</f>
        <v/>
      </c>
    </row>
    <row r="2" ht="21.6" customHeight="1" s="49">
      <c r="A2" s="14" t="inlineStr">
        <is>
          <t>ข้อที่</t>
        </is>
      </c>
      <c r="B2" s="14" t="inlineStr">
        <is>
          <t>คำถาม</t>
        </is>
      </c>
      <c r="C2" s="14" t="inlineStr">
        <is>
          <t>รูปถาม</t>
        </is>
      </c>
      <c r="D2" s="14" t="inlineStr">
        <is>
          <t>ตัวเลือก 1</t>
        </is>
      </c>
      <c r="E2" s="14" t="inlineStr">
        <is>
          <t>ตัวเลือก 2</t>
        </is>
      </c>
      <c r="F2" s="14" t="inlineStr">
        <is>
          <t>ตัวเลือก 3</t>
        </is>
      </c>
      <c r="G2" s="14" t="inlineStr">
        <is>
          <t>ตัวเลือก 4</t>
        </is>
      </c>
      <c r="H2" s="14" t="inlineStr">
        <is>
          <t>ตัวเลือก 5</t>
        </is>
      </c>
      <c r="I2" s="14" t="inlineStr">
        <is>
          <t>เฉลย (ตัวเลข 1-5)</t>
        </is>
      </c>
      <c r="J2" s="14" t="inlineStr">
        <is>
          <t>คำอธิบายเฉลย</t>
        </is>
      </c>
      <c r="K2" s="14" t="inlineStr">
        <is>
          <t>รูปเฉลย</t>
        </is>
      </c>
      <c r="L2" s="14" t="inlineStr">
        <is>
          <t>Filter หมวด/Subtopic</t>
        </is>
      </c>
      <c r="M2" s="14" t="inlineStr">
        <is>
          <t>Product / Clinic</t>
        </is>
      </c>
      <c r="N2" s="14" t="inlineStr">
        <is>
          <t>หมายเหตุ</t>
        </is>
      </c>
      <c r="O2" s="2" t="inlineStr">
        <is>
          <t>ประเภทข้อสอบ</t>
        </is>
      </c>
      <c r="P2" s="2" t="inlineStr">
        <is>
          <t>ปี / เลขชุด</t>
        </is>
      </c>
      <c r="Q2" t="inlineStr">
        <is>
          <t>Case ID (รหัสเคส)</t>
        </is>
      </c>
    </row>
    <row r="3" ht="409.6" customHeight="1" s="49">
      <c r="A3" s="35" t="n">
        <v>1</v>
      </c>
      <c r="B3" s="34" t="inlineStr">
        <is>
          <t>สารกัน เสียในข้อใดมีผลให้เกิด bronchoconstriction มากที่สุด</t>
        </is>
      </c>
      <c r="C3" s="35" t="inlineStr">
        <is>
          <t>[แนบรูป: ข้อสอบ Product ปี 2564 รหัสรูปภาพ image73]</t>
        </is>
      </c>
      <c r="D3" s="34" t="inlineStr">
        <is>
          <t>UV</t>
        </is>
      </c>
      <c r="E3" s="34" t="inlineStr">
        <is>
          <t>Titrate</t>
        </is>
      </c>
      <c r="F3" s="34" t="inlineStr">
        <is>
          <t>Mass spectrometry</t>
        </is>
      </c>
      <c r="G3" s="34" t="inlineStr">
        <is>
          <t>HPLC with UV</t>
        </is>
      </c>
      <c r="H3" s="34" t="inlineStr">
        <is>
          <t>Spectrofluorometry</t>
        </is>
      </c>
      <c r="I3" s="35" t="n">
        <v>1</v>
      </c>
      <c r="J3" s="34" t="inlineStr">
        <is>
          <t>✅ คำตอบที่ถูกต้อง: ข้อ ก. UV
💡 Background:
คำถามข้อสอบจริงใบประกอบวิชาชีพ PLE-CC 1 (Product) ปี 2564 ข้อ 19
🎯 ทำไมข้อนี้ถึงถูก:
ข้อ ก. สอดคล้องกับหลักการทางเภสัชกรรมและข้อกำหนดตามเภสัชตำรับ (Pharmacopoeia Standards) ในหัวข้อ Food Products &amp; Quality Assurance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Food Products &amp; Quality Assurance</t>
        </is>
      </c>
      <c r="K3" s="35" t="n"/>
      <c r="L3" s="34" t="inlineStr">
        <is>
          <t>Food Products &amp; Quality Assurance</t>
        </is>
      </c>
      <c r="M3" s="35" t="inlineStr">
        <is>
          <t>Product</t>
        </is>
      </c>
      <c r="N3" s="34" t="inlineStr">
        <is>
          <t>ข้อสอบจริง Product ปี 2564 ข้อ 19</t>
        </is>
      </c>
      <c r="O3" s="35" t="inlineStr">
        <is>
          <t>ข้อสอบจริง</t>
        </is>
      </c>
      <c r="P3" s="35" t="inlineStr">
        <is>
          <t>ปี 2564</t>
        </is>
      </c>
    </row>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Q83"/>
  <sheetViews>
    <sheetView workbookViewId="0">
      <selection activeCell="A1" sqref="A1"/>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64.8" customHeight="1" s="49">
      <c r="A2" s="23" t="inlineStr">
        <is>
          <t>ข้อที่</t>
        </is>
      </c>
      <c r="B2" s="23" t="inlineStr">
        <is>
          <t>คำถาม</t>
        </is>
      </c>
      <c r="C2" s="23" t="inlineStr">
        <is>
          <t>รูปถาม</t>
        </is>
      </c>
      <c r="D2" s="23" t="inlineStr">
        <is>
          <t>ตัวเลือก 1</t>
        </is>
      </c>
      <c r="E2" s="23" t="inlineStr">
        <is>
          <t>ตัวเลือก 2</t>
        </is>
      </c>
      <c r="F2" s="23" t="inlineStr">
        <is>
          <t>ตัวเลือก 3</t>
        </is>
      </c>
      <c r="G2" s="23" t="inlineStr">
        <is>
          <t>ตัวเลือก 4</t>
        </is>
      </c>
      <c r="H2" s="23" t="inlineStr">
        <is>
          <t>ตัวเลือก 5</t>
        </is>
      </c>
      <c r="I2" s="23" t="inlineStr">
        <is>
          <t>เฉลย (ตัวเลข 1-5)</t>
        </is>
      </c>
      <c r="J2" s="23" t="inlineStr">
        <is>
          <t>คำอธิบายเฉลย</t>
        </is>
      </c>
      <c r="K2" s="23" t="inlineStr">
        <is>
          <t>รูปเฉลย</t>
        </is>
      </c>
      <c r="L2" s="23" t="inlineStr">
        <is>
          <t>Filter หมวด/Subtopic</t>
        </is>
      </c>
      <c r="M2" s="23" t="inlineStr">
        <is>
          <t>Product / Clinic</t>
        </is>
      </c>
      <c r="N2" s="23" t="inlineStr">
        <is>
          <t>หมายเหตุ</t>
        </is>
      </c>
      <c r="O2" s="23" t="inlineStr">
        <is>
          <t>ประเภทข้อสอบ</t>
        </is>
      </c>
      <c r="P2" s="23" t="inlineStr">
        <is>
          <t>ปี / เลขชุด</t>
        </is>
      </c>
      <c r="Q2" t="inlineStr">
        <is>
          <t>Case ID (รหัสเคส)</t>
        </is>
      </c>
    </row>
    <row r="3" ht="409.6" customHeight="1" s="49">
      <c r="A3" s="10" t="n">
        <v>1</v>
      </c>
      <c r="B3" s="10"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 t="n"/>
      <c r="D3" s="10" t="inlineStr">
        <is>
          <t>Methyl cyanide</t>
        </is>
      </c>
      <c r="E3" s="10" t="inlineStr">
        <is>
          <t>Nitro</t>
        </is>
      </c>
      <c r="F3" s="10" t="inlineStr">
        <is>
          <t>Thio</t>
        </is>
      </c>
      <c r="G3" s="10" t="inlineStr">
        <is>
          <t>Furan</t>
        </is>
      </c>
      <c r="H3" s="10" t="inlineStr">
        <is>
          <t>Amine</t>
        </is>
      </c>
      <c r="I3" s="10" t="n">
        <v>4</v>
      </c>
      <c r="J3" s="10"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 t="n"/>
      <c r="L3" s="10" t="inlineStr">
        <is>
          <t>SAR &amp; Drug Design</t>
        </is>
      </c>
      <c r="M3" s="10" t="inlineStr">
        <is>
          <t>Product</t>
        </is>
      </c>
      <c r="N3" s="10" t="inlineStr">
        <is>
          <t>ข้อ 1 Pharma Plus เล่มม่วง (เฉลยข้อ ง)</t>
        </is>
      </c>
      <c r="O3" s="10" t="inlineStr">
        <is>
          <t>Mock</t>
        </is>
      </c>
      <c r="P3" s="10" t="inlineStr">
        <is>
          <t>Pharma Plus เล่มม่วง</t>
        </is>
      </c>
    </row>
    <row r="4" ht="409.6" customHeight="1" s="49">
      <c r="A4" s="10" t="n">
        <v>2</v>
      </c>
      <c r="B4" s="10" t="inlineStr">
        <is>
          <t>จากสูตรโครงสร้างของ praziquantel ตำแหน่งนี้เรียกว่า และมีคุณสมบัติอย่างไร</t>
        </is>
      </c>
      <c r="C4" s="10" t="n"/>
      <c r="D4" s="10" t="inlineStr">
        <is>
          <t>Quinoline, base</t>
        </is>
      </c>
      <c r="E4" s="10" t="inlineStr">
        <is>
          <t>Isoquinoline, base</t>
        </is>
      </c>
      <c r="F4" s="10" t="inlineStr">
        <is>
          <t>Guanine, acid</t>
        </is>
      </c>
      <c r="G4" s="10" t="inlineStr">
        <is>
          <t>Pyramidine, acid</t>
        </is>
      </c>
      <c r="H4" s="10" t="inlineStr">
        <is>
          <t>Nirobenzene, acid</t>
        </is>
      </c>
      <c r="I4" s="10" t="n">
        <v>2</v>
      </c>
      <c r="J4" s="10"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 t="n"/>
      <c r="L4" s="10" t="inlineStr">
        <is>
          <t>SAR &amp; Drug Design</t>
        </is>
      </c>
      <c r="M4" s="10" t="inlineStr">
        <is>
          <t>Product</t>
        </is>
      </c>
      <c r="N4" s="10" t="inlineStr">
        <is>
          <t>ข้อ 2 Pharma Plus เล่มม่วง (เฉลยข้อ ข)</t>
        </is>
      </c>
      <c r="O4" s="10" t="inlineStr">
        <is>
          <t>Mock</t>
        </is>
      </c>
      <c r="P4" s="10" t="inlineStr">
        <is>
          <t>Pharma Plus เล่มม่วง</t>
        </is>
      </c>
    </row>
    <row r="5" ht="409.6" customHeight="1" s="49">
      <c r="A5" s="10" t="n">
        <v>3</v>
      </c>
      <c r="B5" s="10" t="inlineStr">
        <is>
          <t>จากสูตรโครงสร้างมีหมู่ carboxyl group กี่หมู่</t>
        </is>
      </c>
      <c r="C5" s="10" t="n"/>
      <c r="D5" s="10" t="inlineStr">
        <is>
          <t>Bioisosteric Replacement (Carboxylic acid → Tetrazole)</t>
        </is>
      </c>
      <c r="E5" s="10" t="inlineStr">
        <is>
          <t>Prodrug Design via Esterification for Oral Bioavailability</t>
        </is>
      </c>
      <c r="F5" s="10" t="inlineStr">
        <is>
          <t>Cytochrome P450 CYP3A4 Phase I Oxidation</t>
        </is>
      </c>
      <c r="G5" s="10" t="inlineStr">
        <is>
          <t>Phase II Glucuronidation Conjugation by UGT</t>
        </is>
      </c>
      <c r="H5" s="10" t="inlineStr">
        <is>
          <t>Log P Lipophilicity Partition Coefficient optimization</t>
        </is>
      </c>
      <c r="I5" s="10" t="n">
        <v>2</v>
      </c>
      <c r="J5" s="10"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 t="n"/>
      <c r="L5" s="10" t="inlineStr">
        <is>
          <t>SAR &amp; Drug Design</t>
        </is>
      </c>
      <c r="M5" s="10" t="inlineStr">
        <is>
          <t>Product</t>
        </is>
      </c>
      <c r="N5" s="10" t="inlineStr">
        <is>
          <t>ข้อ 3 Pharma Plus เล่มม่วง (เฉลยข้อ ข)</t>
        </is>
      </c>
      <c r="O5" s="10" t="inlineStr">
        <is>
          <t>Mock</t>
        </is>
      </c>
      <c r="P5" s="10" t="inlineStr">
        <is>
          <t>Pharma Plus เล่มม่วง</t>
        </is>
      </c>
    </row>
    <row r="6" ht="409.6" customHeight="1" s="49">
      <c r="A6" s="10" t="n">
        <v>4</v>
      </c>
      <c r="B6" s="10" t="inlineStr">
        <is>
          <t>จากโครงสร้าง Simvastatin และ Pravastatin ข้อใดถูกต้อง</t>
        </is>
      </c>
      <c r="C6" s="10" t="n"/>
      <c r="D6" s="10" t="inlineStr">
        <is>
          <t>Cholestyramine ลดการดูดซึมของยา simvastatin เพราะโครงสร้าง Simvastatin มี lactone ring</t>
        </is>
      </c>
      <c r="E6" s="10" t="inlineStr">
        <is>
          <t>Cholestyramine ลดการดูดซึมของยา pravastatin เพราะโครงสร้าง Pravastatin มี carboxylic acid</t>
        </is>
      </c>
      <c r="F6" s="10" t="inlineStr">
        <is>
          <t>Simvastatin ลดการดูดซึมของยา cholestyramine</t>
        </is>
      </c>
      <c r="G6" s="10" t="inlineStr">
        <is>
          <t>Cholestyramine ไม่มีผลต่อการดูดซึมของยา simvastatin และ pravastatin</t>
        </is>
      </c>
      <c r="H6" s="10" t="inlineStr">
        <is>
          <t>Cholestyramine เพิ่มการดูดซึมของยา simvastatin และ pravastatin</t>
        </is>
      </c>
      <c r="I6" s="10" t="n">
        <v>2</v>
      </c>
      <c r="J6" s="10"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 t="n"/>
      <c r="L6" s="10" t="inlineStr">
        <is>
          <t>SAR &amp; Drug Design</t>
        </is>
      </c>
      <c r="M6" s="10" t="inlineStr">
        <is>
          <t>Product</t>
        </is>
      </c>
      <c r="N6" s="10" t="inlineStr">
        <is>
          <t>ข้อ 4 Pharma Plus เล่มม่วง (เฉลยข้อ ข)</t>
        </is>
      </c>
      <c r="O6" s="10" t="inlineStr">
        <is>
          <t>Mock</t>
        </is>
      </c>
      <c r="P6" s="10" t="inlineStr">
        <is>
          <t>Pharma Plus เล่มม่วง</t>
        </is>
      </c>
    </row>
    <row r="7" ht="409.6" customHeight="1" s="49">
      <c r="A7" s="10" t="n">
        <v>5</v>
      </c>
      <c r="B7" s="10" t="inlineStr">
        <is>
          <t>โครงสร้างที่แสดงข้อ 4 สัมพันธ์กับการออกฤทธิ์ของยาอย่างไร</t>
        </is>
      </c>
      <c r="C7" s="10" t="n"/>
      <c r="D7" s="10" t="inlineStr">
        <is>
          <t>Pravastatin เป็น prodrug</t>
        </is>
      </c>
      <c r="E7" s="10" t="inlineStr">
        <is>
          <t>Pravastatin และ simvastatin เป็น prodrug</t>
        </is>
      </c>
      <c r="F7" s="10" t="inlineStr">
        <is>
          <t>Pravastatin มีโครงสร้างที่ออกฤทธิ์ในร่างกายสองรูปแบบ คือ โครงสร้างที่เชื่อมเป็นวง lactone ring และโครงสร้างที่เป็น carboxylic acid</t>
        </is>
      </c>
      <c r="G7" s="10" t="inlineStr">
        <is>
          <t>Simvastatin มีโครงสร้างที่ออกฤทธิ์ คือ โครงสร้างที่เป็น lactone ring เปิด</t>
        </is>
      </c>
      <c r="H7" s="10" t="inlineStr">
        <is>
          <t>Pravastatin และ simvastatin ไม่เป็น prodrug</t>
        </is>
      </c>
      <c r="I7" s="10" t="n">
        <v>4</v>
      </c>
      <c r="J7" s="10"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$_x0008_eta$-hydroxy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 t="n"/>
      <c r="L7" s="10" t="inlineStr">
        <is>
          <t>SAR &amp; Drug Design</t>
        </is>
      </c>
      <c r="M7" s="10" t="inlineStr">
        <is>
          <t>Product</t>
        </is>
      </c>
      <c r="N7" s="10" t="inlineStr">
        <is>
          <t>ข้อ 5 Pharma Plus เล่มม่วง (เฉลยข้อ ง)</t>
        </is>
      </c>
      <c r="O7" s="10" t="inlineStr">
        <is>
          <t>Mock</t>
        </is>
      </c>
      <c r="P7" s="10" t="inlineStr">
        <is>
          <t>Pharma Plus เล่มม่วง</t>
        </is>
      </c>
    </row>
    <row r="8" ht="409.6" customHeight="1" s="49">
      <c r="A8" s="10" t="n">
        <v>6</v>
      </c>
      <c r="B8" s="10" t="inlineStr">
        <is>
          <t>สูตรโครงสร้างของยาต่อไปนี้ข้อใดคือ Dexamethasone</t>
        </is>
      </c>
      <c r="C8" s="10" t="n"/>
      <c r="D8" s="10" t="inlineStr">
        <is>
          <t>โครงสร้างเตียรอยด์มีหมู่ -OH และ -F</t>
        </is>
      </c>
      <c r="E8" s="10" t="inlineStr">
        <is>
          <t>โครงสร้าง ACE inhibitor</t>
        </is>
      </c>
      <c r="F8" s="10" t="inlineStr">
        <is>
          <t>โครงสร้าง Chloramphenicol</t>
        </is>
      </c>
      <c r="G8" s="10" t="inlineStr">
        <is>
          <t>โครงสร้าง Sulfonamide</t>
        </is>
      </c>
      <c r="H8" s="10" t="inlineStr">
        <is>
          <t>โครงสร้าง Beta-lactam หรือโครงสร้างอื่น</t>
        </is>
      </c>
      <c r="I8" s="10" t="n">
        <v>1</v>
      </c>
      <c r="J8" s="10"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 t="n"/>
      <c r="L8" s="10" t="inlineStr">
        <is>
          <t>SAR &amp; Drug Design</t>
        </is>
      </c>
      <c r="M8" s="10" t="inlineStr">
        <is>
          <t>Product</t>
        </is>
      </c>
      <c r="N8" s="10" t="inlineStr">
        <is>
          <t>ข้อ 6 Pharma Plus เล่มม่วง (เฉลยข้อ ก)</t>
        </is>
      </c>
      <c r="O8" s="10" t="inlineStr">
        <is>
          <t>Mock</t>
        </is>
      </c>
      <c r="P8" s="10" t="inlineStr">
        <is>
          <t>Pharma Plus เล่มม่วง</t>
        </is>
      </c>
    </row>
    <row r="9" ht="409.6" customHeight="1" s="49">
      <c r="A9" s="10" t="n">
        <v>11</v>
      </c>
      <c r="B9" s="10" t="inlineStr">
        <is>
          <t>จากโครงสร้างของ vitamin A ข้อใดต่อไปนี้ถูกต้องเกี่ยวกับ SAR</t>
        </is>
      </c>
      <c r="C9" s="10" t="n"/>
      <c r="D9" s="10" t="inlineStr">
        <is>
          <t>Conjugated double bond เพิ่มขึ้น ทำให้ activity ของ vitamin A ลดลง</t>
        </is>
      </c>
      <c r="E9" s="10" t="inlineStr">
        <is>
          <t>Conjugated double bond ลดลง ทำให้ activity ของ vitamin A เพิ่มขึ้น</t>
        </is>
      </c>
      <c r="F9" s="10" t="inlineStr">
        <is>
          <t>ถ้า b-ionone ring saturate จะทำให้ vitamin A หมดฤทธิ์</t>
        </is>
      </c>
      <c r="G9" s="10" t="inlineStr">
        <is>
          <t>ถ้า b-ionone ring saturate จะทำให้ vitamin A ฤทธิ์เพิ่มขึ้น</t>
        </is>
      </c>
      <c r="H9" s="10" t="inlineStr">
        <is>
          <t>ถ้าเปลี่ยนจาก -OH เป็น ether จะทำให้ vitamin A ฤทธิ์เพิ่มขึ้น</t>
        </is>
      </c>
      <c r="I9" s="10" t="n">
        <v>3</v>
      </c>
      <c r="J9" s="10"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 t="n"/>
      <c r="L9" s="10" t="inlineStr">
        <is>
          <t>SAR &amp; Drug Design</t>
        </is>
      </c>
      <c r="M9" s="10" t="inlineStr">
        <is>
          <t>Product</t>
        </is>
      </c>
      <c r="N9" s="10" t="inlineStr">
        <is>
          <t>ข้อ 11 Pharma Plus เล่มม่วง (เฉลยข้อ ค)</t>
        </is>
      </c>
      <c r="O9" s="10" t="inlineStr">
        <is>
          <t>Mock</t>
        </is>
      </c>
      <c r="P9" s="10" t="inlineStr">
        <is>
          <t>Pharma Plus เล่มม่วง</t>
        </is>
      </c>
    </row>
    <row r="10" ht="409.6" customHeight="1" s="49">
      <c r="A10" s="10" t="n">
        <v>12</v>
      </c>
      <c r="B10" s="10" t="inlineStr">
        <is>
          <t>จากข้อ 11 ถ้าเปลี่ยนจากหมู่ OH เป็น COOH จะเป็นสารใดต่อไปนี้</t>
        </is>
      </c>
      <c r="C10" s="10" t="n"/>
      <c r="D10" s="10" t="inlineStr">
        <is>
          <t>Tretinoin</t>
        </is>
      </c>
      <c r="E10" s="10" t="inlineStr">
        <is>
          <t>Isotretinoin</t>
        </is>
      </c>
      <c r="F10" s="10" t="inlineStr">
        <is>
          <t>Adapalene</t>
        </is>
      </c>
      <c r="G10" s="10" t="inlineStr">
        <is>
          <t>Carotenoid</t>
        </is>
      </c>
      <c r="H10" s="10" t="inlineStr">
        <is>
          <t>Retinal</t>
        </is>
      </c>
      <c r="I10" s="10" t="n">
        <v>1</v>
      </c>
      <c r="J10" s="10"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 t="n"/>
      <c r="L10" s="10" t="inlineStr">
        <is>
          <t>SAR &amp; Drug Design</t>
        </is>
      </c>
      <c r="M10" s="10" t="inlineStr">
        <is>
          <t>Product</t>
        </is>
      </c>
      <c r="N10" s="10" t="inlineStr">
        <is>
          <t>ข้อ 12 Pharma Plus เล่มม่วง (เฉลยข้อ ก)</t>
        </is>
      </c>
      <c r="O10" s="10" t="inlineStr">
        <is>
          <t>Mock</t>
        </is>
      </c>
      <c r="P10" s="10" t="inlineStr">
        <is>
          <t>Pharma Plus เล่มม่วง</t>
        </is>
      </c>
    </row>
    <row r="11" ht="409.6" customHeight="1" s="49">
      <c r="A11" s="10" t="n">
        <v>13</v>
      </c>
      <c r="B11" s="10" t="inlineStr">
        <is>
          <t>จากโครงสร้างของยา Gemcitabine เป็นอนุพันธ์ของอะไร</t>
        </is>
      </c>
      <c r="C11" s="10" t="n"/>
      <c r="D11" s="10" t="inlineStr">
        <is>
          <t>Acyclonucleoside analog</t>
        </is>
      </c>
      <c r="E11" s="10" t="inlineStr">
        <is>
          <t>Pyrimidine nucleoside analog</t>
        </is>
      </c>
      <c r="F11" s="10" t="inlineStr">
        <is>
          <t>Pyrimidine nucleotide analog</t>
        </is>
      </c>
      <c r="G11" s="10" t="inlineStr">
        <is>
          <t>Purine nucleotide analog</t>
        </is>
      </c>
      <c r="H11" s="10" t="inlineStr">
        <is>
          <t>Purine nucleoside analog</t>
        </is>
      </c>
      <c r="I11" s="10" t="n">
        <v>2</v>
      </c>
      <c r="J11" s="10"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 t="n"/>
      <c r="L11" s="10" t="inlineStr">
        <is>
          <t>SAR &amp; Drug Design</t>
        </is>
      </c>
      <c r="M11" s="10" t="inlineStr">
        <is>
          <t>Product</t>
        </is>
      </c>
      <c r="N11" s="10" t="inlineStr">
        <is>
          <t>ข้อ 13 Pharma Plus เล่มม่วง (เฉลยข้อ ข)</t>
        </is>
      </c>
      <c r="O11" s="10" t="inlineStr">
        <is>
          <t>Mock</t>
        </is>
      </c>
      <c r="P11" s="10" t="inlineStr">
        <is>
          <t>Pharma Plus เล่มม่วง</t>
        </is>
      </c>
    </row>
    <row r="12" ht="409.6" customHeight="1" s="49">
      <c r="A12" s="10" t="n">
        <v>14</v>
      </c>
      <c r="B12" s="10" t="inlineStr">
        <is>
          <t>จากโครงสร้างของยา A และยา B ข้อใดถูกต้องเกี่ยวกับยา B</t>
        </is>
      </c>
      <c r="C12" s="10" t="n"/>
      <c r="D12" s="10" t="inlineStr">
        <is>
          <t>ฤทธิ์ต้านแบคทีเรียลดลงอย่างมีนัยสำคัญ</t>
        </is>
      </c>
      <c r="E12" s="10" t="inlineStr">
        <is>
          <t>ความสามารถในการละลายน้ำไม่เปลี่ยนแปลง</t>
        </is>
      </c>
      <c r="F12" s="10" t="inlineStr">
        <is>
          <t>ความถี่ในการรับประทานลดลง</t>
        </is>
      </c>
      <c r="G12" s="10" t="inlineStr">
        <is>
          <t>ไม่คงตัวต่อกรดเช่นเดียวกับยา A</t>
        </is>
      </c>
      <c r="H12" s="10" t="inlineStr">
        <is>
          <t>ไม่คงตัวต่อด่างเช่นเดียวกันกับยา A</t>
        </is>
      </c>
      <c r="I12" s="10" t="n">
        <v>3</v>
      </c>
      <c r="J12" s="10"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 t="n"/>
      <c r="L12" s="10" t="inlineStr">
        <is>
          <t>SAR &amp; Drug Design</t>
        </is>
      </c>
      <c r="M12" s="10" t="inlineStr">
        <is>
          <t>Product</t>
        </is>
      </c>
      <c r="N12" s="10" t="inlineStr">
        <is>
          <t>ข้อ 14 Pharma Plus เล่มม่วง (เฉลยข้อ ค)</t>
        </is>
      </c>
      <c r="O12" s="10" t="inlineStr">
        <is>
          <t>Mock</t>
        </is>
      </c>
      <c r="P12" s="10" t="inlineStr">
        <is>
          <t>Pharma Plus เล่มม่วง</t>
        </is>
      </c>
    </row>
    <row r="13" ht="409.6" customHeight="1" s="49">
      <c r="A13" s="10" t="n">
        <v>15</v>
      </c>
      <c r="B13" s="10" t="inlineStr">
        <is>
          <t>จากสูตรโครงสร้างของยา doxorubicin โครงสร้างส่วนใดที่ออกฤทธิ์เป็น intercalating ของ DNA</t>
        </is>
      </c>
      <c r="C13" s="10" t="n"/>
      <c r="D13" s="10" t="inlineStr">
        <is>
          <t>Anthracycline ring</t>
        </is>
      </c>
      <c r="E13" s="10" t="inlineStr">
        <is>
          <t>- NH2 group</t>
        </is>
      </c>
      <c r="F13" s="10" t="inlineStr">
        <is>
          <t>Methoxy</t>
        </is>
      </c>
      <c r="G13" s="10" t="inlineStr">
        <is>
          <t>Hydroxyl</t>
        </is>
      </c>
      <c r="H13" s="10" t="inlineStr">
        <is>
          <t>น้ำตาล glycoside</t>
        </is>
      </c>
      <c r="I13" s="10" t="n">
        <v>1</v>
      </c>
      <c r="J13" s="10"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 t="n"/>
      <c r="L13" s="10" t="inlineStr">
        <is>
          <t>SAR &amp; Drug Design</t>
        </is>
      </c>
      <c r="M13" s="10" t="inlineStr">
        <is>
          <t>Product</t>
        </is>
      </c>
      <c r="N13" s="10" t="inlineStr">
        <is>
          <t>ข้อ 15 Pharma Plus เล่มม่วง (เฉลยข้อ ก)</t>
        </is>
      </c>
      <c r="O13" s="10" t="inlineStr">
        <is>
          <t>Mock</t>
        </is>
      </c>
      <c r="P13" s="10" t="inlineStr">
        <is>
          <t>Pharma Plus เล่มม่วง</t>
        </is>
      </c>
    </row>
    <row r="14" ht="409.6" customHeight="1" s="49">
      <c r="A14" s="10" t="n">
        <v>16</v>
      </c>
      <c r="B14" s="10" t="inlineStr">
        <is>
          <t>โครงสร้างนี้ เรียกว่า อะไร</t>
        </is>
      </c>
      <c r="C14" s="10" t="n"/>
      <c r="D14" s="10" t="inlineStr">
        <is>
          <t>Nucleotide ของ Purine</t>
        </is>
      </c>
      <c r="E14" s="10" t="inlineStr">
        <is>
          <t>Nucleotide ของ Pyridine</t>
        </is>
      </c>
      <c r="F14" s="10" t="inlineStr">
        <is>
          <t>Nucleoside ของ Purine</t>
        </is>
      </c>
      <c r="G14" s="10" t="inlineStr">
        <is>
          <t>Nucleoside ของ Pyridine</t>
        </is>
      </c>
      <c r="H14" s="10" t="inlineStr">
        <is>
          <t>ไม่มีข้อใดถูกต้องการ</t>
        </is>
      </c>
      <c r="I14" s="10" t="n">
        <v>5</v>
      </c>
      <c r="J14" s="10"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 t="n"/>
      <c r="L14" s="10" t="inlineStr">
        <is>
          <t>SAR &amp; Drug Design</t>
        </is>
      </c>
      <c r="M14" s="10" t="inlineStr">
        <is>
          <t>Product</t>
        </is>
      </c>
      <c r="N14" s="10" t="inlineStr">
        <is>
          <t>ข้อ 16 Pharma Plus เล่มม่วง (เฉลยข้อ จ)</t>
        </is>
      </c>
      <c r="O14" s="10" t="inlineStr">
        <is>
          <t>Mock</t>
        </is>
      </c>
      <c r="P14" s="10" t="inlineStr">
        <is>
          <t>Pharma Plus เล่มม่วง</t>
        </is>
      </c>
    </row>
    <row r="15" ht="409.6" customHeight="1" s="49">
      <c r="A15" s="10" t="n">
        <v>17</v>
      </c>
      <c r="B15" s="10" t="inlineStr">
        <is>
          <t>ข้อใดกล่าวถูกต้องเกี่ยวกับการพัฒนาโครงสร้างดังแสดงด้านล่าง</t>
        </is>
      </c>
      <c r="C15" s="10" t="n"/>
      <c r="D15" s="10" t="inlineStr">
        <is>
          <t>เปลี่ยนตัวออกฤทธิ์เป็น Ligand เพื่อช่วยลดอาการไม่พึงประสงค์จากยา</t>
        </is>
      </c>
      <c r="E15" s="10" t="inlineStr">
        <is>
          <t>ทำให้โครงสร้างใหญ่ขึ้นเพื่อลดการโดนทำลายหมู่สำคัญในการออกฤทธิ์</t>
        </is>
      </c>
      <c r="F15" s="10" t="inlineStr">
        <is>
          <t>เพิ่ม Lipophilicity ของยาเพื่อเพิ่มการเข้าสู่เซลล์เป้าหมาย</t>
        </is>
      </c>
      <c r="G15" s="10" t="inlineStr">
        <is>
          <t>ข้อ ก ข ถูก</t>
        </is>
      </c>
      <c r="H15" s="10" t="inlineStr">
        <is>
          <t>ข้อ ก ข ค ถูก</t>
        </is>
      </c>
      <c r="I15" s="10" t="n">
        <v>4</v>
      </c>
      <c r="J15" s="10"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 t="n"/>
      <c r="L15" s="10" t="inlineStr">
        <is>
          <t>SAR &amp; Drug Design</t>
        </is>
      </c>
      <c r="M15" s="10" t="inlineStr">
        <is>
          <t>Product</t>
        </is>
      </c>
      <c r="N15" s="10" t="inlineStr">
        <is>
          <t>ข้อ 17 Pharma Plus เล่มม่วง (เฉลยข้อ ง)</t>
        </is>
      </c>
      <c r="O15" s="10" t="inlineStr">
        <is>
          <t>Mock</t>
        </is>
      </c>
      <c r="P15" s="10" t="inlineStr">
        <is>
          <t>Pharma Plus เล่มม่วง</t>
        </is>
      </c>
    </row>
    <row r="16" ht="409.6" customHeight="1" s="49">
      <c r="A16" s="10" t="n">
        <v>18</v>
      </c>
      <c r="B16" s="10" t="inlineStr">
        <is>
          <t>จากโครงสร้างของยาต่อไปนี้ ยาในข้อใดที่มีคุณสมบัติทนต่อ catechol-O-methyltransferase</t>
        </is>
      </c>
      <c r="C16" s="10" t="n"/>
      <c r="D16" s="10" t="inlineStr">
        <is>
          <t>Prodrug Design via Esterification for Oral Bioavailability</t>
        </is>
      </c>
      <c r="E16" s="10" t="inlineStr">
        <is>
          <t>Cytochrome P450 CYP3A4 Phase I Oxidation</t>
        </is>
      </c>
      <c r="F16" s="10" t="inlineStr">
        <is>
          <t>Phase II Glucuronidation Conjugation by UGT</t>
        </is>
      </c>
      <c r="G16" s="10" t="inlineStr">
        <is>
          <t>Log P Lipophilicity Partition Coefficient optimization</t>
        </is>
      </c>
      <c r="H16" s="10" t="inlineStr">
        <is>
          <t>Chiral Eutomer vs Distomer Pharmacological activity</t>
        </is>
      </c>
      <c r="I16" s="10" t="n">
        <v>1</v>
      </c>
      <c r="J16" s="10"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 t="n"/>
      <c r="L16" s="10" t="inlineStr">
        <is>
          <t>SAR &amp; Drug Design</t>
        </is>
      </c>
      <c r="M16" s="10" t="inlineStr">
        <is>
          <t>Product</t>
        </is>
      </c>
      <c r="N16" s="10" t="inlineStr">
        <is>
          <t>ข้อ 18 Pharma Plus เล่มม่วง (เฉลยข้อ ก)</t>
        </is>
      </c>
      <c r="O16" s="10" t="inlineStr">
        <is>
          <t>Mock</t>
        </is>
      </c>
      <c r="P16" s="10" t="inlineStr">
        <is>
          <t>Pharma Plus เล่มม่วง</t>
        </is>
      </c>
    </row>
    <row r="17" ht="409.6" customHeight="1" s="49">
      <c r="A17" s="10" t="n">
        <v>19</v>
      </c>
      <c r="B17" s="10" t="inlineStr">
        <is>
          <t>จากโครงสร้าง ข้อใดไม่ถูกต้อง</t>
        </is>
      </c>
      <c r="C17" s="10" t="n"/>
      <c r="D17" s="10" t="inlineStr">
        <is>
          <t>(S)-form มีฤทธิ์มากกว่า (R)-form</t>
        </is>
      </c>
      <c r="E17" s="10" t="inlineStr">
        <is>
          <t>อยู่ในกลุ่ม coumarin</t>
        </is>
      </c>
      <c r="F17" s="10" t="inlineStr">
        <is>
          <t>Cyclic hemiketal เป็น active form</t>
        </is>
      </c>
      <c r="G17" s="10" t="inlineStr">
        <is>
          <t>ออกฤทธิ์ direct acting anticoagulants</t>
        </is>
      </c>
      <c r="H17" s="10" t="inlineStr">
        <is>
          <t>ไม่มีข้อใดไม่ถูกต้อง</t>
        </is>
      </c>
      <c r="I17" s="10" t="n">
        <v>4</v>
      </c>
      <c r="J17" s="10"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 t="n"/>
      <c r="L17" s="10" t="inlineStr">
        <is>
          <t>SAR &amp; Drug Design</t>
        </is>
      </c>
      <c r="M17" s="10" t="inlineStr">
        <is>
          <t>Product</t>
        </is>
      </c>
      <c r="N17" s="10" t="inlineStr">
        <is>
          <t>ข้อ 19 Pharma Plus เล่มม่วง (เฉลยข้อ ง)</t>
        </is>
      </c>
      <c r="O17" s="10" t="inlineStr">
        <is>
          <t>Mock</t>
        </is>
      </c>
      <c r="P17" s="10" t="inlineStr">
        <is>
          <t>Pharma Plus เล่มม่วง</t>
        </is>
      </c>
    </row>
    <row r="18" ht="409.6" customHeight="1" s="49">
      <c r="A18" s="10" t="n">
        <v>20</v>
      </c>
      <c r="B18" s="10" t="inlineStr">
        <is>
          <t>จากโครงสร้าง ข้อความใดต่อไปนี้ไม่ถูกต้อง</t>
        </is>
      </c>
      <c r="C18" s="10" t="n"/>
      <c r="D18" s="10" t="inlineStr">
        <is>
          <t>ตัวอย่างยาในกลุ่มนี้ คือ Digoxin</t>
        </is>
      </c>
      <c r="E18" s="10" t="inlineStr">
        <is>
          <t>Lactone ring เป็นประเภท bufadienolide</t>
        </is>
      </c>
      <c r="F18" s="10" t="inlineStr">
        <is>
          <t>ออกฤทธิ์ยับยั้ง Na-K ATPase</t>
        </is>
      </c>
      <c r="G18" s="10" t="inlineStr">
        <is>
          <t>น้ำตาลจะเข้ามาเกาะที่ตำแหน่ง C3</t>
        </is>
      </c>
      <c r="H18" s="10" t="inlineStr">
        <is>
          <t>ไม่มีข้อใดถูก</t>
        </is>
      </c>
      <c r="I18" s="10" t="n">
        <v>2</v>
      </c>
      <c r="J18" s="10"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 t="n"/>
      <c r="L18" s="10" t="inlineStr">
        <is>
          <t>SAR &amp; Drug Design</t>
        </is>
      </c>
      <c r="M18" s="10" t="inlineStr">
        <is>
          <t>Product</t>
        </is>
      </c>
      <c r="N18" s="10" t="inlineStr">
        <is>
          <t>ข้อ 20 Pharma Plus เล่มม่วง (เฉลยข้อ ข)</t>
        </is>
      </c>
      <c r="O18" s="10" t="inlineStr">
        <is>
          <t>Mock</t>
        </is>
      </c>
      <c r="P18" s="10" t="inlineStr">
        <is>
          <t>Pharma Plus เล่มม่วง</t>
        </is>
      </c>
    </row>
    <row r="19" ht="409.6" customHeight="1" s="49">
      <c r="A19" s="10" t="n">
        <v>21</v>
      </c>
      <c r="B19" s="10" t="inlineStr">
        <is>
          <t>โครงสร้างใดต่อไปนี้เป็น Ester of Amino Alcohol</t>
        </is>
      </c>
      <c r="C19" s="10" t="n"/>
      <c r="D19" s="10" t="inlineStr">
        <is>
          <t>Cytochrome P450 CYP3A4 Phase I Oxidation</t>
        </is>
      </c>
      <c r="E19" s="10" t="inlineStr">
        <is>
          <t>Phase II Glucuronidation Conjugation by UGT</t>
        </is>
      </c>
      <c r="F19" s="10" t="inlineStr">
        <is>
          <t>Log P Lipophilicity Partition Coefficient optimization</t>
        </is>
      </c>
      <c r="G19" s="10" t="inlineStr">
        <is>
          <t>Chiral Eutomer vs Distomer Pharmacological activity</t>
        </is>
      </c>
      <c r="H19" s="10" t="inlineStr">
        <is>
          <t>Covalent Irreversible Enzyme Inhibition</t>
        </is>
      </c>
      <c r="I19" s="10" t="n">
        <v>5</v>
      </c>
      <c r="J19" s="10"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 t="n"/>
      <c r="L19" s="10" t="inlineStr">
        <is>
          <t>SAR &amp; Drug Design</t>
        </is>
      </c>
      <c r="M19" s="10" t="inlineStr">
        <is>
          <t>Product</t>
        </is>
      </c>
      <c r="N19" s="10" t="inlineStr">
        <is>
          <t>ข้อ 21 Pharma Plus เล่มม่วง (เฉลยข้อ จ)</t>
        </is>
      </c>
      <c r="O19" s="10" t="inlineStr">
        <is>
          <t>Mock</t>
        </is>
      </c>
      <c r="P19" s="10" t="inlineStr">
        <is>
          <t>Pharma Plus เล่มม่วง</t>
        </is>
      </c>
    </row>
    <row r="20" ht="409.6" customHeight="1" s="49">
      <c r="A20" s="10" t="n">
        <v>22</v>
      </c>
      <c r="B20" s="10" t="inlineStr">
        <is>
          <t>N3 หรือ Azido group จากสูตรโครงสร้างของ AZT มีผลให้เกิดสิ่งใด</t>
        </is>
      </c>
      <c r="C20" s="10" t="n"/>
      <c r="D20" s="10" t="inlineStr">
        <is>
          <t>เพิ่มความสามารถในการจับกับโปรตีน albumin</t>
        </is>
      </c>
      <c r="E20" s="10" t="inlineStr">
        <is>
          <t>ช่วยเพิ่มการดูดซึมของยา</t>
        </is>
      </c>
      <c r="F20" s="10" t="inlineStr">
        <is>
          <t>เพิ่มค่าครึ่งชีวิตให้ยาวขึ้น</t>
        </is>
      </c>
      <c r="G20" s="10" t="inlineStr">
        <is>
          <t>เพิ่มการออกฤทธิ์</t>
        </is>
      </c>
      <c r="H20" s="10" t="inlineStr">
        <is>
          <t>มีผลต่อการตั้งสูตรตำรับ</t>
        </is>
      </c>
      <c r="I20" s="10" t="n">
        <v>4</v>
      </c>
      <c r="J20" s="10"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 t="n"/>
      <c r="L20" s="10" t="inlineStr">
        <is>
          <t>SAR &amp; Drug Design</t>
        </is>
      </c>
      <c r="M20" s="10" t="inlineStr">
        <is>
          <t>Product</t>
        </is>
      </c>
      <c r="N20" s="10" t="inlineStr">
        <is>
          <t>ข้อ 22 Pharma Plus เล่มม่วง (เฉลยข้อ ง)</t>
        </is>
      </c>
      <c r="O20" s="10" t="inlineStr">
        <is>
          <t>Mock</t>
        </is>
      </c>
      <c r="P20" s="10" t="inlineStr">
        <is>
          <t>Pharma Plus เล่มม่วง</t>
        </is>
      </c>
    </row>
    <row r="21" ht="409.6" customHeight="1" s="49">
      <c r="A21" s="10" t="n">
        <v>23</v>
      </c>
      <c r="B21" s="10" t="inlineStr">
        <is>
          <t>โครงสร้างต่อไปนี้หมายถึงยาชนิดใด</t>
        </is>
      </c>
      <c r="C21" s="10" t="n"/>
      <c r="D21" s="10" t="inlineStr">
        <is>
          <t>Zidovudine</t>
        </is>
      </c>
      <c r="E21" s="10" t="inlineStr">
        <is>
          <t>Cotrimoxazole</t>
        </is>
      </c>
      <c r="F21" s="10" t="inlineStr">
        <is>
          <t>Ceftriaxone</t>
        </is>
      </c>
      <c r="G21" s="10" t="inlineStr">
        <is>
          <t>Acyclovir</t>
        </is>
      </c>
      <c r="H21" s="10" t="inlineStr">
        <is>
          <t>Ciprofloxacin</t>
        </is>
      </c>
      <c r="I21" s="10" t="n">
        <v>4</v>
      </c>
      <c r="J21" s="10"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 t="n"/>
      <c r="L21" s="10" t="inlineStr">
        <is>
          <t>SAR &amp; Drug Design</t>
        </is>
      </c>
      <c r="M21" s="10" t="inlineStr">
        <is>
          <t>Product</t>
        </is>
      </c>
      <c r="N21" s="10" t="inlineStr">
        <is>
          <t>ข้อ 23 Pharma Plus เล่มม่วง (เฉลยข้อ ง)</t>
        </is>
      </c>
      <c r="O21" s="10" t="inlineStr">
        <is>
          <t>Mock</t>
        </is>
      </c>
      <c r="P21" s="10" t="inlineStr">
        <is>
          <t>Pharma Plus เล่มม่วง</t>
        </is>
      </c>
    </row>
    <row r="22" ht="409.6" customHeight="1" s="49">
      <c r="A22" s="10" t="n">
        <v>24</v>
      </c>
      <c r="B22" s="10" t="inlineStr">
        <is>
          <t>ยาปฏิชีวนะข้อใดที่ไม่มีโครงสร้าง B-lactam ring</t>
        </is>
      </c>
      <c r="C22" s="10" t="n"/>
      <c r="D22" s="10" t="inlineStr">
        <is>
          <t>Ciprofloxacin</t>
        </is>
      </c>
      <c r="E22" s="10" t="inlineStr">
        <is>
          <t>Amoxycillin</t>
        </is>
      </c>
      <c r="F22" s="10" t="inlineStr">
        <is>
          <t>Imipenam</t>
        </is>
      </c>
      <c r="G22" s="10" t="inlineStr">
        <is>
          <t>Cloxacillin</t>
        </is>
      </c>
      <c r="H22" s="10" t="inlineStr">
        <is>
          <t>Cefazolin</t>
        </is>
      </c>
      <c r="I22" s="10" t="n">
        <v>1</v>
      </c>
      <c r="J22" s="10"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 t="n"/>
      <c r="L22" s="10" t="inlineStr">
        <is>
          <t>SAR &amp; Drug Design</t>
        </is>
      </c>
      <c r="M22" s="10" t="inlineStr">
        <is>
          <t>Product</t>
        </is>
      </c>
      <c r="N22" s="10" t="inlineStr">
        <is>
          <t>ข้อ 24 Pharma Plus เล่มม่วง (เฉลยข้อ ก)</t>
        </is>
      </c>
      <c r="O22" s="10" t="inlineStr">
        <is>
          <t>Mock</t>
        </is>
      </c>
      <c r="P22" s="10" t="inlineStr">
        <is>
          <t>Pharma Plus เล่มม่วง</t>
        </is>
      </c>
    </row>
    <row r="23" ht="409.6" customHeight="1" s="49">
      <c r="A23" s="10" t="n">
        <v>25</v>
      </c>
      <c r="B23" s="10" t="inlineStr">
        <is>
          <t>จากสูตรโครงสร้างของยา amoxacillin นี้ตำแหน่งไหนที่ถูกทำลายได้ง่ายและมีผลต่อการดื้อยา</t>
        </is>
      </c>
      <c r="C23" s="10" t="n"/>
      <c r="D23" s="10" t="inlineStr">
        <is>
          <t>Covalent Irreversible Enzyme Inhibition</t>
        </is>
      </c>
      <c r="E23" s="10" t="inlineStr">
        <is>
          <t>Structure-Activity Relationship (SAR) Optimization</t>
        </is>
      </c>
      <c r="F23" s="10" t="inlineStr">
        <is>
          <t>Bioisosteric Replacement (Carboxylic acid → Tetrazole)</t>
        </is>
      </c>
      <c r="G23" s="10" t="inlineStr">
        <is>
          <t>Prodrug Design via Esterification for Oral Bioavailability</t>
        </is>
      </c>
      <c r="H23" s="10" t="inlineStr">
        <is>
          <t>Cytochrome P450 CYP3A4 Phase I Oxidation</t>
        </is>
      </c>
      <c r="I23" s="10" t="n">
        <v>3</v>
      </c>
      <c r="J23" s="10"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 t="n"/>
      <c r="L23" s="10" t="inlineStr">
        <is>
          <t>SAR &amp; Drug Design</t>
        </is>
      </c>
      <c r="M23" s="10" t="inlineStr">
        <is>
          <t>Product</t>
        </is>
      </c>
      <c r="N23" s="10" t="inlineStr">
        <is>
          <t>ข้อ 25 Pharma Plus เล่มม่วง (เฉลยข้อ ค)</t>
        </is>
      </c>
      <c r="O23" s="10" t="inlineStr">
        <is>
          <t>Mock</t>
        </is>
      </c>
      <c r="P23" s="10" t="inlineStr">
        <is>
          <t>Pharma Plus เล่มม่วง</t>
        </is>
      </c>
    </row>
    <row r="24" ht="409.6" customHeight="1" s="49">
      <c r="A24" s="10" t="n">
        <v>26</v>
      </c>
      <c r="B24" s="10" t="inlineStr">
        <is>
          <t>ข้อใดผิดเกี่ยวกับ penicillin</t>
        </is>
      </c>
      <c r="C24" s="10" t="n"/>
      <c r="D24" s="10" t="inlineStr">
        <is>
          <t>Pen G มี chain เป็น Benzoyl group</t>
        </is>
      </c>
      <c r="E24" s="10" t="inlineStr">
        <is>
          <t>Pen G potassium ละลายได้ดีกว่า Pen G</t>
        </is>
      </c>
      <c r="F24" s="10" t="inlineStr">
        <is>
          <t>Benzathine Pen G เป็นเกลือของ Pen G</t>
        </is>
      </c>
      <c r="G24" s="10" t="inlineStr">
        <is>
          <t>B-lactamase ถูก Hydrolyze ด้วยกรด</t>
        </is>
      </c>
      <c r="H24" s="10" t="inlineStr">
        <is>
          <t>Procaine penicillin G ถูกดูดได้ดีในทางเดินอาหาร</t>
        </is>
      </c>
      <c r="I24" s="10" t="n">
        <v>5</v>
      </c>
      <c r="J24" s="10"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 t="n"/>
      <c r="L24" s="10" t="inlineStr">
        <is>
          <t>SAR &amp; Drug Design</t>
        </is>
      </c>
      <c r="M24" s="10" t="inlineStr">
        <is>
          <t>Product</t>
        </is>
      </c>
      <c r="N24" s="10" t="inlineStr">
        <is>
          <t>ข้อ 26 Pharma Plus เล่มม่วง (เฉลยข้อ จ)</t>
        </is>
      </c>
      <c r="O24" s="10" t="inlineStr">
        <is>
          <t>Mock</t>
        </is>
      </c>
      <c r="P24" s="10" t="inlineStr">
        <is>
          <t>Pharma Plus เล่มม่วง</t>
        </is>
      </c>
    </row>
    <row r="25" ht="409.6" customHeight="1" s="49">
      <c r="A25" s="10" t="n">
        <v>27</v>
      </c>
      <c r="B25" s="10" t="inlineStr">
        <is>
          <t>Doxycycline มีสูตรโครงสร้างรูป เป็นยากลุ่มเดียวกันกับยาใด</t>
        </is>
      </c>
      <c r="C25" s="10" t="n"/>
      <c r="D25" s="10" t="inlineStr">
        <is>
          <t>Tetracycline</t>
        </is>
      </c>
      <c r="E25" s="10" t="inlineStr">
        <is>
          <t>Penicillin</t>
        </is>
      </c>
      <c r="F25" s="10" t="inlineStr">
        <is>
          <t>Cotrimazole</t>
        </is>
      </c>
      <c r="G25" s="10" t="inlineStr">
        <is>
          <t>Sulfamethoxazole</t>
        </is>
      </c>
      <c r="H25" s="10" t="inlineStr">
        <is>
          <t>Amoxicillin</t>
        </is>
      </c>
      <c r="I25" s="10" t="n">
        <v>1</v>
      </c>
      <c r="J25" s="10"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 t="n"/>
      <c r="L25" s="10" t="inlineStr">
        <is>
          <t>SAR &amp; Drug Design</t>
        </is>
      </c>
      <c r="M25" s="10" t="inlineStr">
        <is>
          <t>Product</t>
        </is>
      </c>
      <c r="N25" s="10" t="inlineStr">
        <is>
          <t>ข้อ 27 Pharma Plus เล่มม่วง (เฉลยข้อ ก)</t>
        </is>
      </c>
      <c r="O25" s="10" t="inlineStr">
        <is>
          <t>Mock</t>
        </is>
      </c>
      <c r="P25" s="10" t="inlineStr">
        <is>
          <t>Pharma Plus เล่มม่วง</t>
        </is>
      </c>
    </row>
    <row r="26" ht="409.6" customHeight="1" s="49">
      <c r="A26" s="10" t="n">
        <v>28</v>
      </c>
      <c r="B26" s="10" t="inlineStr">
        <is>
          <t>เกี่ยวกับโครงสร้างของสารดังรูป ทุกข้อต่อไปนี้ถูกต้อง ยกเว้นข้อใด</t>
        </is>
      </c>
      <c r="C26" s="10" t="n"/>
      <c r="D26" s="10" t="inlineStr">
        <is>
          <t>เป็นสารในกลุ่ม 8-aminoquinoline</t>
        </is>
      </c>
      <c r="E26" s="10" t="inlineStr">
        <is>
          <t>ตัวอย่างยาในกลุ่มนี้ได้แก่ primaquine</t>
        </is>
      </c>
      <c r="F26" s="10" t="inlineStr">
        <is>
          <t>ถ้ามี Cl ที่ตำแหน่ง 7 จะทำให้ได้ฤทธิ์สูงสุด และมีพิษน้อย</t>
        </is>
      </c>
      <c r="G26" s="10" t="inlineStr">
        <is>
          <t>Dialkylamino alkylamine side chain จะให้ฤทธิ์สูงสุดเมื่อ n = 2, 5 หรือ 6</t>
        </is>
      </c>
      <c r="H26" s="10" t="inlineStr">
        <is>
          <t>Quinoline ring system และอนุพันธ์ให้ผลที่ดีกว่า acridine ring system</t>
        </is>
      </c>
      <c r="I26" s="10" t="n">
        <v>4</v>
      </c>
      <c r="J26" s="10"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 t="n"/>
      <c r="L26" s="10" t="inlineStr">
        <is>
          <t>SAR &amp; Drug Design</t>
        </is>
      </c>
      <c r="M26" s="10" t="inlineStr">
        <is>
          <t>Product</t>
        </is>
      </c>
      <c r="N26" s="10" t="inlineStr">
        <is>
          <t>ข้อ 28 Pharma Plus เล่มม่วง (เฉลยข้อ ง)</t>
        </is>
      </c>
      <c r="O26" s="10" t="inlineStr">
        <is>
          <t>Mock</t>
        </is>
      </c>
      <c r="P26" s="10" t="inlineStr">
        <is>
          <t>Pharma Plus เล่มม่วง</t>
        </is>
      </c>
    </row>
    <row r="27" ht="409.6" customHeight="1" s="49">
      <c r="A27" s="10" t="n">
        <v>29</v>
      </c>
      <c r="B27" s="10" t="inlineStr">
        <is>
          <t>จากสูตรโครงสร้างของ folic acid ข้อใดกล่าวไม่ถูกต้อง</t>
        </is>
      </c>
      <c r="C27" s="10" t="n"/>
      <c r="D27" s="10" t="inlineStr">
        <is>
          <t>เป็น water soluble vitamin</t>
        </is>
      </c>
      <c r="E27" s="10" t="inlineStr">
        <is>
          <t>เรียกอีกอย่างหนึ่งว่า vitamin B9</t>
        </is>
      </c>
      <c r="F27" s="10" t="inlineStr">
        <is>
          <t>เกี่ยวข้องกับการสร้าง DNA และ RNA</t>
        </is>
      </c>
      <c r="G27" s="10" t="inlineStr">
        <is>
          <t>มนุษย์สามารถสังเคราะห์ folic acid ได้</t>
        </is>
      </c>
      <c r="H27" s="10" t="inlineStr">
        <is>
          <t>ใน IR chromatogram จะเห็น peak ที่ชัดเจน ที่ค่าความถี่ประมาณ 1,700 cm⁻¹</t>
        </is>
      </c>
      <c r="I27" s="10" t="n">
        <v>4</v>
      </c>
      <c r="J27" s="10"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 t="n"/>
      <c r="L27" s="10" t="inlineStr">
        <is>
          <t>SAR &amp; Drug Design</t>
        </is>
      </c>
      <c r="M27" s="10" t="inlineStr">
        <is>
          <t>Product</t>
        </is>
      </c>
      <c r="N27" s="10" t="inlineStr">
        <is>
          <t>ข้อ 29 Pharma Plus เล่มม่วง (เฉลยข้อ ง)</t>
        </is>
      </c>
      <c r="O27" s="10" t="inlineStr">
        <is>
          <t>Mock</t>
        </is>
      </c>
      <c r="P27" s="10" t="inlineStr">
        <is>
          <t>Pharma Plus เล่มม่วง</t>
        </is>
      </c>
    </row>
    <row r="28" ht="409.6" customHeight="1" s="49">
      <c r="A28" s="10" t="n">
        <v>30</v>
      </c>
      <c r="B28" s="10" t="inlineStr">
        <is>
          <t>จากโครงสร้าง ไม่สามารถใช้ในผู้ป่วยกลุ่มใด</t>
        </is>
      </c>
      <c r="C28" s="10" t="n"/>
      <c r="D28" s="10" t="inlineStr">
        <is>
          <t>Pediatric</t>
        </is>
      </c>
      <c r="E28" s="10" t="inlineStr">
        <is>
          <t>Cirrhosis/Hepatitis</t>
        </is>
      </c>
      <c r="F28" s="10" t="inlineStr">
        <is>
          <t>Pregnancy</t>
        </is>
      </c>
      <c r="G28" s="10" t="inlineStr">
        <is>
          <t>Renal failure</t>
        </is>
      </c>
      <c r="H28" s="10" t="inlineStr">
        <is>
          <t>Sulfa allergy</t>
        </is>
      </c>
      <c r="I28" s="10" t="n">
        <v>5</v>
      </c>
      <c r="J28" s="10"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 t="n"/>
      <c r="L28" s="10" t="inlineStr">
        <is>
          <t>SAR &amp; Drug Design</t>
        </is>
      </c>
      <c r="M28" s="10" t="inlineStr">
        <is>
          <t>Product</t>
        </is>
      </c>
      <c r="N28" s="10" t="inlineStr">
        <is>
          <t>ข้อ 30 Pharma Plus เล่มม่วง (เฉลยข้อ จ)</t>
        </is>
      </c>
      <c r="O28" s="10" t="inlineStr">
        <is>
          <t>Mock</t>
        </is>
      </c>
      <c r="P28" s="10" t="inlineStr">
        <is>
          <t>Pharma Plus เล่มม่วง</t>
        </is>
      </c>
    </row>
    <row r="29" ht="409.6" customHeight="1" s="49">
      <c r="A29" s="10" t="n">
        <v>31</v>
      </c>
      <c r="B29" s="10" t="inlineStr">
        <is>
          <t>จากโครงสร้างของยา glybenclamide ข้อใดเป็นเหตุผลที่ทำให้ duration นานขึ้น</t>
        </is>
      </c>
      <c r="C29" s="10" t="n"/>
      <c r="D29" s="10" t="inlineStr">
        <is>
          <t>สามารถหมุนแสง polarized ได้</t>
        </is>
      </c>
      <c r="E29" s="10" t="inlineStr">
        <is>
          <t>สามารถวิเคราะห์ได้โดยใช้วิธี HPLC-UV detection</t>
        </is>
      </c>
      <c r="F29" s="10" t="inlineStr">
        <is>
          <t>หมู่ซัลโฟไททำให้โครงสร้างมีความเป็นกรด</t>
        </is>
      </c>
      <c r="G29" s="10" t="inlineStr">
        <is>
          <t>หมู่ยูเรียทำให้โครงสร้างมีความเป็นเบส</t>
        </is>
      </c>
      <c r="H29" s="10" t="inlineStr">
        <is>
          <t>วงแหวนอะโรมาติกปลาย ซึ่งมีหมู่คลอโรในเมตาบอไลต์โดยกระบวนการออกซิเดชันได้</t>
        </is>
      </c>
      <c r="I29" s="10" t="n">
        <v>5</v>
      </c>
      <c r="J29" s="10"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 t="n"/>
      <c r="L29" s="10" t="inlineStr">
        <is>
          <t>SAR &amp; Drug Design</t>
        </is>
      </c>
      <c r="M29" s="10" t="inlineStr">
        <is>
          <t>Product</t>
        </is>
      </c>
      <c r="N29" s="10" t="inlineStr">
        <is>
          <t>ข้อ 31 Pharma Plus เล่มม่วง (เฉลยข้อ จ)</t>
        </is>
      </c>
      <c r="O29" s="10" t="inlineStr">
        <is>
          <t>Mock</t>
        </is>
      </c>
      <c r="P29" s="10" t="inlineStr">
        <is>
          <t>Pharma Plus เล่มม่วง</t>
        </is>
      </c>
    </row>
    <row r="30" ht="409.6" customHeight="1" s="49">
      <c r="A30" s="10" t="n">
        <v>32</v>
      </c>
      <c r="B30" s="10" t="inlineStr">
        <is>
          <t>จากสูตรโครงสร้างต่อไปนี้ของยา glipizide จัดว่าเป็นยากลุ่มใด</t>
        </is>
      </c>
      <c r="C30" s="10" t="n"/>
      <c r="D30" s="10" t="inlineStr">
        <is>
          <t>Biguanides</t>
        </is>
      </c>
      <c r="E30" s="10" t="inlineStr">
        <is>
          <t>Nicotinic acids</t>
        </is>
      </c>
      <c r="F30" s="10" t="inlineStr">
        <is>
          <t>Sulfonylurea compounds</t>
        </is>
      </c>
      <c r="G30" s="10" t="inlineStr">
        <is>
          <t>Nucleoside analogue</t>
        </is>
      </c>
      <c r="H30" s="10" t="inlineStr">
        <is>
          <t>Sulfones</t>
        </is>
      </c>
      <c r="I30" s="10" t="n">
        <v>3</v>
      </c>
      <c r="J30" s="10"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 t="n"/>
      <c r="L30" s="10" t="inlineStr">
        <is>
          <t>SAR &amp; Drug Design</t>
        </is>
      </c>
      <c r="M30" s="10" t="inlineStr">
        <is>
          <t>Product</t>
        </is>
      </c>
      <c r="N30" s="10" t="inlineStr">
        <is>
          <t>ข้อ 32 Pharma Plus เล่มม่วง (เฉลยข้อ ค)</t>
        </is>
      </c>
      <c r="O30" s="10" t="inlineStr">
        <is>
          <t>Mock</t>
        </is>
      </c>
      <c r="P30" s="10" t="inlineStr">
        <is>
          <t>Pharma Plus เล่มม่วง</t>
        </is>
      </c>
    </row>
    <row r="31" ht="409.6" customHeight="1" s="49">
      <c r="A31" s="10" t="n">
        <v>33</v>
      </c>
      <c r="B31" s="10" t="inlineStr">
        <is>
          <t>โครงสร้างต่อไปนี้เป็นโครงสร้างของยากลุ่มใด</t>
        </is>
      </c>
      <c r="C31" s="10" t="n"/>
      <c r="D31" s="10" t="inlineStr">
        <is>
          <t>Iodoperoxidase inhibitor</t>
        </is>
      </c>
      <c r="E31" s="10" t="inlineStr">
        <is>
          <t>Sulfonylurea</t>
        </is>
      </c>
      <c r="F31" s="10" t="inlineStr">
        <is>
          <t>Thyroid hormone</t>
        </is>
      </c>
      <c r="G31" s="10" t="inlineStr">
        <is>
          <t>Biguanide</t>
        </is>
      </c>
      <c r="H31" s="10" t="inlineStr">
        <is>
          <t>Insulin analog</t>
        </is>
      </c>
      <c r="I31" s="10" t="n">
        <v>4</v>
      </c>
      <c r="J31" s="10"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 t="n"/>
      <c r="L31" s="10" t="inlineStr">
        <is>
          <t>SAR &amp; Drug Design</t>
        </is>
      </c>
      <c r="M31" s="10" t="inlineStr">
        <is>
          <t>Product</t>
        </is>
      </c>
      <c r="N31" s="10" t="inlineStr">
        <is>
          <t>ข้อ 33 Pharma Plus เล่มม่วง (เฉลยข้อ ง)</t>
        </is>
      </c>
      <c r="O31" s="10" t="inlineStr">
        <is>
          <t>Mock</t>
        </is>
      </c>
      <c r="P31" s="10" t="inlineStr">
        <is>
          <t>Pharma Plus เล่มม่วง</t>
        </is>
      </c>
    </row>
    <row r="32" ht="409.6" customHeight="1" s="49">
      <c r="A32" s="10" t="n">
        <v>34</v>
      </c>
      <c r="B32" s="10" t="inlineStr">
        <is>
          <t>ชื่อเรียกทั่วไปของยาที่มีโครงสร้างในรูป คือ (ยา PTU)</t>
        </is>
      </c>
      <c r="C32" s="10" t="n"/>
      <c r="D32" s="10" t="inlineStr">
        <is>
          <t>6 propyl 3 thiouracil</t>
        </is>
      </c>
      <c r="E32" s="10" t="inlineStr">
        <is>
          <t>1 propyl 5 thiouracil</t>
        </is>
      </c>
      <c r="F32" s="10" t="inlineStr">
        <is>
          <t>2 propyl 6 thiouracil</t>
        </is>
      </c>
      <c r="G32" s="10" t="inlineStr">
        <is>
          <t>2 propyl 5 thiouracil</t>
        </is>
      </c>
      <c r="H32" s="10" t="inlineStr">
        <is>
          <t>6 propyl 2 thiouracil</t>
        </is>
      </c>
      <c r="I32" s="10" t="n">
        <v>5</v>
      </c>
      <c r="J32" s="10"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 t="n"/>
      <c r="L32" s="10" t="inlineStr">
        <is>
          <t>SAR &amp; Drug Design</t>
        </is>
      </c>
      <c r="M32" s="10" t="inlineStr">
        <is>
          <t>Product</t>
        </is>
      </c>
      <c r="N32" s="10" t="inlineStr">
        <is>
          <t>ข้อ 34 Pharma Plus เล่มม่วง (เฉลยข้อ จ)</t>
        </is>
      </c>
      <c r="O32" s="10" t="inlineStr">
        <is>
          <t>Mock</t>
        </is>
      </c>
      <c r="P32" s="10" t="inlineStr">
        <is>
          <t>Pharma Plus เล่มม่วง</t>
        </is>
      </c>
    </row>
    <row r="33" ht="409.6" customHeight="1" s="49">
      <c r="A33" s="10" t="n">
        <v>35</v>
      </c>
      <c r="B33" s="10" t="inlineStr">
        <is>
          <t>จากโครงสร้างของยา 3 ชนิด (methimazole, carbimazole และ propylthiouracil)
ข้อใดถูกต้องเกี่ยวกับยา methimazole, carbimazole และ propylthiouracil</t>
        </is>
      </c>
      <c r="C33" s="10" t="n"/>
      <c r="D33" s="10" t="inlineStr">
        <is>
          <t>Methimazole, carbimazole และ propylthiouracil ถูก metabolized โดยปฏิกิริยา desulfunation ก่อนจึงจะได้สารที่มีฤทธิ์ทางเภสัชวิทยา</t>
        </is>
      </c>
      <c r="E33" s="10" t="inlineStr">
        <is>
          <t>Propylthiouracil จะถูก metabolized โดยปฏิกิริยา dealkylation ซึ่งจะตัด Propyl group ออกก่อนจึงจะได้สารที่มีฤทธิ์ทางเภสัชวิทยา</t>
        </is>
      </c>
      <c r="F33" s="10" t="inlineStr">
        <is>
          <t>Methimazole จะถูก metabolized โดยปฏิกิริยา conjugation ได้เป็น carbimazole จึงจะได้สารที่มีฤทธิ์ทางเภสัชวิทยาที่ต้องการ</t>
        </is>
      </c>
      <c r="G33" s="10" t="inlineStr">
        <is>
          <t>ต้องเกิดปฏิกิริยา amide hydrolysis กับโครงสร้าง carbimazole จึงจะได้สารที่มีฤทธิ์ทางเภสัชวิทยาที่ต้องการ</t>
        </is>
      </c>
      <c r="H33" s="10" t="inlineStr">
        <is>
          <t>ต้องเกิดปฏิกิริยา ester hydrolysis กับโครงสร้าง carbimazole จึงจะได้สารที่มีฤทธิ์ทางเภสัชวิทยาที่ต้องการ</t>
        </is>
      </c>
      <c r="I33" s="10" t="n">
        <v>4</v>
      </c>
      <c r="J33" s="10"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 t="n"/>
      <c r="L33" s="10" t="inlineStr">
        <is>
          <t>SAR &amp; Drug Design</t>
        </is>
      </c>
      <c r="M33" s="10" t="inlineStr">
        <is>
          <t>Product</t>
        </is>
      </c>
      <c r="N33" s="10" t="inlineStr">
        <is>
          <t>ข้อ 35 Pharma Plus เล่มม่วง (เฉลยข้อ ง)</t>
        </is>
      </c>
      <c r="O33" s="10" t="inlineStr">
        <is>
          <t>Mock</t>
        </is>
      </c>
      <c r="P33" s="10" t="inlineStr">
        <is>
          <t>Pharma Plus เล่มม่วง</t>
        </is>
      </c>
    </row>
    <row r="34" ht="13.2" customHeight="1" s="49">
      <c r="A34" s="8" t="inlineStr">
        <is>
          <t>33</t>
        </is>
      </c>
      <c r="B34" s="2" t="inlineStr">
        <is>
          <t>ลักษณะสำคัญของ monoclonal antibody ที่ทำให้ต้องใช้ dosage form เป็น injectable เท่านั้น</t>
        </is>
      </c>
      <c r="C34" s="2" t="n"/>
      <c r="D34" s="2" t="inlineStr">
        <is>
          <t>ขนาดโมเลกุลเล็กดูดซึมผ่าน GI tract ได้ดี</t>
        </is>
      </c>
      <c r="E34" s="2" t="inlineStr">
        <is>
          <t>ไวต่อเอนไซม์ protease ถูกทำลายเมื่อให้โดยรับประทาน</t>
        </is>
      </c>
      <c r="F34" s="2" t="inlineStr">
        <is>
          <t>คงตัวสูงในpHที่เป็นกรด</t>
        </is>
      </c>
      <c r="G34" s="2" t="inlineStr">
        <is>
          <t>ผ่าน first-pass metabolism ได้ดี</t>
        </is>
      </c>
      <c r="H34" s="2" t="inlineStr">
        <is>
          <t>Log P สูง ดูดซึมได้รวดเร็ว"</t>
        </is>
      </c>
      <c r="I34" s="8" t="inlineStr">
        <is>
          <t>1</t>
        </is>
      </c>
      <c r="J34" s="2"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2" t="n"/>
      <c r="L34" s="2" t="inlineStr">
        <is>
          <t>SAR &amp; Drug Design</t>
        </is>
      </c>
      <c r="M34" s="2" t="inlineStr">
        <is>
          <t>Medicinal Chemistry</t>
        </is>
      </c>
      <c r="N34" s="2" t="inlineStr">
        <is>
          <t>Mock PLE-CC 1 ข้อ 71</t>
        </is>
      </c>
      <c r="O34" s="2" t="inlineStr">
        <is>
          <t>Mock</t>
        </is>
      </c>
      <c r="P34" s="2" t="inlineStr">
        <is>
          <t>Mock RxCU83</t>
        </is>
      </c>
      <c r="Q34" s="2" t="n"/>
    </row>
    <row r="35" ht="13.2" customHeight="1" s="49">
      <c r="A35" s="8" t="inlineStr">
        <is>
          <t>34</t>
        </is>
      </c>
      <c r="B35" s="2" t="inlineStr">
        <is>
          <t>ข้อใดส่งผลกระทบต่อ pembrolizumab ในรูปแบบ solution สำหรับยาฉีดมากที่สุด</t>
        </is>
      </c>
      <c r="C35" s="2" t="n"/>
      <c r="D35" s="2" t="inlineStr">
        <is>
          <t>Hydrolysis ที่ตำแหน่ง ester bond</t>
        </is>
      </c>
      <c r="E35" s="2" t="inlineStr">
        <is>
          <t>Aggregation เมื่อเปลี่ยนแปลง pH หรือเขย่า</t>
        </is>
      </c>
      <c r="F35" s="2" t="inlineStr">
        <is>
          <t>Oxidation ที่ sulfhydryl ของ excipient</t>
        </is>
      </c>
      <c r="G35" s="2" t="inlineStr">
        <is>
          <t>Crystallation เมื่ออุณหภูมิลด</t>
        </is>
      </c>
      <c r="H35" s="2" t="inlineStr">
        <is>
          <t>Racemization ที่ chiral center</t>
        </is>
      </c>
      <c r="I35" s="8" t="inlineStr">
        <is>
          <t>1</t>
        </is>
      </c>
      <c r="J35" s="2"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2" t="n"/>
      <c r="L35" s="2" t="inlineStr">
        <is>
          <t>SAR &amp; Drug Design</t>
        </is>
      </c>
      <c r="M35" s="2" t="inlineStr">
        <is>
          <t>Medicinal Chemistry</t>
        </is>
      </c>
      <c r="N35" s="2" t="inlineStr">
        <is>
          <t>Mock PLE-CC 1 ข้อ 72</t>
        </is>
      </c>
      <c r="O35" s="2" t="inlineStr">
        <is>
          <t>Mock</t>
        </is>
      </c>
      <c r="P35" s="2" t="inlineStr">
        <is>
          <t>Mock RxCU83</t>
        </is>
      </c>
      <c r="Q35" s="2" t="n"/>
    </row>
    <row r="36" ht="13.2" customHeight="1" s="49">
      <c r="A36" s="8" t="inlineStr">
        <is>
          <t>35</t>
        </is>
      </c>
      <c r="B36" s="2" t="inlineStr">
        <is>
          <t>กลไกของยามาตรฐานที่ใช้รักษา</t>
        </is>
      </c>
      <c r="C36" s="2" t="n"/>
      <c r="D36" s="2" t="inlineStr">
        <is>
          <t>จับ protease → ยับยั้งการสร้าง protein</t>
        </is>
      </c>
      <c r="E36" s="2" t="inlineStr">
        <is>
          <t>เป็น nucleoside analogue → ยับยั้ง viral polymerase โดยจะต้องถูก phospholyrate โดย viral thimine kinase</t>
        </is>
      </c>
      <c r="F36" s="2" t="inlineStr">
        <is>
          <t>inhibit isoleucyl-tRNA-synthetase และหยุดการสังเคราะห์โปรตีน</t>
        </is>
      </c>
      <c r="G36" s="2" t="inlineStr">
        <is>
          <t>Compatitive inhibitor กับ reverse transcriptase</t>
        </is>
      </c>
      <c r="H36" s="2" t="inlineStr">
        <is>
          <t>กดภูมิของร่างกายที่มากเกินไป</t>
        </is>
      </c>
      <c r="I36" s="8" t="inlineStr">
        <is>
          <t>1</t>
        </is>
      </c>
      <c r="J36" s="2"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2" t="n"/>
      <c r="L36" s="2" t="inlineStr">
        <is>
          <t>SAR &amp; Drug Design</t>
        </is>
      </c>
      <c r="M36" s="2" t="inlineStr">
        <is>
          <t>Medicinal Chemistry</t>
        </is>
      </c>
      <c r="N36" s="2" t="inlineStr">
        <is>
          <t>Mock PLE-CC 1 ข้อ 122</t>
        </is>
      </c>
      <c r="O36" s="2" t="inlineStr">
        <is>
          <t>Mock</t>
        </is>
      </c>
      <c r="P36" s="2" t="inlineStr">
        <is>
          <t>Mock RxCU83</t>
        </is>
      </c>
      <c r="Q36" s="2" t="n"/>
    </row>
    <row r="37" ht="13.2" customHeight="1" s="49">
      <c r="A37" s="8" t="inlineStr">
        <is>
          <t>36</t>
        </is>
      </c>
      <c r="B37" s="2"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2" t="n"/>
      <c r="D37" s="8" t="inlineStr">
        <is>
          <t>5-6</t>
        </is>
      </c>
      <c r="E37" s="8" t="inlineStr">
        <is>
          <t>9-10</t>
        </is>
      </c>
      <c r="F37" s="8" t="inlineStr">
        <is>
          <t>7-8</t>
        </is>
      </c>
      <c r="G37" s="8" t="inlineStr">
        <is>
          <t>11-12</t>
        </is>
      </c>
      <c r="H37" s="8" t="inlineStr">
        <is>
          <t>13</t>
        </is>
      </c>
      <c r="I37" s="8" t="inlineStr">
        <is>
          <t>1</t>
        </is>
      </c>
      <c r="J37" s="2" t="inlineStr">
        <is>
          <t>✅ คำตอบที่ถูกต้อง: ข้อ ก. 5-6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2" t="n"/>
      <c r="L37" s="2" t="inlineStr">
        <is>
          <t>SAR &amp; Drug Design</t>
        </is>
      </c>
      <c r="M37" s="2" t="inlineStr">
        <is>
          <t>Medicinal Chemistry</t>
        </is>
      </c>
      <c r="N37" s="2" t="inlineStr">
        <is>
          <t>PLE_CC1_2567_Key ข้อ 93</t>
        </is>
      </c>
      <c r="O37" s="2" t="inlineStr">
        <is>
          <t>ข้อสอบจริง</t>
        </is>
      </c>
      <c r="P37" s="2" t="inlineStr">
        <is>
          <t>ปี 2567</t>
        </is>
      </c>
      <c r="Q37" s="2" t="n"/>
    </row>
    <row r="38" ht="13.2" customHeight="1" s="49">
      <c r="A38" s="8" t="inlineStr">
        <is>
          <t>37</t>
        </is>
      </c>
      <c r="B38" s="2" t="inlineStr">
        <is>
          <t>ยา Potassium Chloride (KCl) มีค่า pKa 8.07 ละลายได้ดีในน้ำ แต่ละลายน้อยใน alcohol เพื่อป้องกัน การตกตะกอน ต้องมี pH ในตำรับอยู่ที่เท่าไร</t>
        </is>
      </c>
      <c r="C38" s="2" t="n"/>
      <c r="D38" s="2" t="inlineStr">
        <is>
          <t>PEG (Polyethylene Glycol) ยาระบายก2เซอkนบรรlแบบแผงคาดKาสามารถL 10 เaดnอแผงไo</t>
        </is>
      </c>
      <c r="E38" s="2" t="inlineStr">
        <is>
          <t>Calcium phosphate (เกFอขนาดhอยกKา 1 iตร[ดเNนยาสา\ญประ^_าน</t>
        </is>
      </c>
      <c r="F38" s="2" t="inlineStr">
        <is>
          <t>TiO2 (Titanium Dioxide) ยาgางตาhอยกKา 240 ml [ดเNนยาสา\ญประ^_าน</t>
        </is>
      </c>
      <c r="G38" s="2" t="inlineStr">
        <is>
          <t>Clay</t>
        </is>
      </c>
      <c r="H38" s="2" t="inlineStr">
        <is>
          <t>Colloidal silica</t>
        </is>
      </c>
      <c r="I38" s="8" t="inlineStr">
        <is>
          <t>1</t>
        </is>
      </c>
      <c r="J38" s="2" t="inlineStr">
        <is>
          <t>✅ คำตอบที่ถูกต้อง: ข้อ ก. PEG (Polyethylene Glycol) ยาระบายก2เซอkนบรรlแบบแผงคาดKาสามารถL 10 เaดnอแผงไo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2" t="n"/>
      <c r="L38" s="2" t="inlineStr">
        <is>
          <t>SAR &amp; Drug Design</t>
        </is>
      </c>
      <c r="M38" s="2" t="inlineStr">
        <is>
          <t>Medicinal Chemistry</t>
        </is>
      </c>
      <c r="N38" s="2" t="inlineStr">
        <is>
          <t>PLE_CC1_2567_Set1_Key ข้อ 93</t>
        </is>
      </c>
      <c r="O38" s="2" t="inlineStr">
        <is>
          <t>ข้อสอบจริง</t>
        </is>
      </c>
      <c r="P38" s="2" t="inlineStr">
        <is>
          <t>ปี 2567</t>
        </is>
      </c>
      <c r="Q38" s="2" t="n"/>
    </row>
    <row r="39" ht="13.2" customHeight="1" s="49">
      <c r="A39" s="8" t="inlineStr">
        <is>
          <t>38</t>
        </is>
      </c>
      <c r="B39" s="2" t="inlineStr">
        <is>
          <t>Medchem ตำแหน่งการออกฤทธิ์ของINSTRI . ตัวเลือก</t>
        </is>
      </c>
      <c r="C39" s="2" t="n"/>
      <c r="D39" s="2" t="inlineStr">
        <is>
          <t>Medicinal Chemistry</t>
        </is>
      </c>
      <c r="E39" s="2" t="inlineStr">
        <is>
          <t>Structure-Activity Relationship (SAR) Optimization</t>
        </is>
      </c>
      <c r="F39" s="2" t="inlineStr">
        <is>
          <t>Bioisosteric Replacement (Carboxylic acid → Tetrazole)</t>
        </is>
      </c>
      <c r="G39" s="2" t="inlineStr">
        <is>
          <t>Prodrug Design via Esterification for Oral Bioavailability</t>
        </is>
      </c>
      <c r="H39" s="2" t="inlineStr">
        <is>
          <t>Cytochrome P450 CYP3A4 Phase I Oxidation</t>
        </is>
      </c>
      <c r="I39" s="8" t="inlineStr">
        <is>
          <t>1</t>
        </is>
      </c>
      <c r="J39"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2" t="n"/>
      <c r="L39" s="2" t="inlineStr">
        <is>
          <t>SAR &amp; Drug Design</t>
        </is>
      </c>
      <c r="M39" s="2" t="inlineStr">
        <is>
          <t>Medicinal Chemistry</t>
        </is>
      </c>
      <c r="N39" s="2" t="inlineStr">
        <is>
          <t>PLE-CC1 ปี 2566 Day 1 ข้อ 3</t>
        </is>
      </c>
      <c r="O39" s="2" t="inlineStr">
        <is>
          <t>ข้อสอบจริง</t>
        </is>
      </c>
      <c r="P39" s="2" t="inlineStr">
        <is>
          <t>ปี 2566</t>
        </is>
      </c>
    </row>
    <row r="40" ht="13.2" customHeight="1" s="49">
      <c r="A40" s="8" t="inlineStr">
        <is>
          <t>39</t>
        </is>
      </c>
      <c r="B40" s="2" t="inlineStr">
        <is>
          <t>Medchem ถามตำแหน่งไหนของsalbutamol ที่แตกต่างจาก epinephrine ที่ทำให้ออกฤทธิ์เป็นB2 agonist. ตัวเลือก</t>
        </is>
      </c>
      <c r="C40" s="2" t="n"/>
      <c r="D40" s="2" t="inlineStr">
        <is>
          <t>Medicinal Chemistry</t>
        </is>
      </c>
      <c r="E40" s="2" t="inlineStr">
        <is>
          <t>Cytochrome P450 CYP3A4 Phase I Oxidation</t>
        </is>
      </c>
      <c r="F40" s="2" t="inlineStr">
        <is>
          <t>Phase II Glucuronidation Conjugation by UGT</t>
        </is>
      </c>
      <c r="G40" s="2" t="inlineStr">
        <is>
          <t>Log P Lipophilicity Partition Coefficient optimization</t>
        </is>
      </c>
      <c r="H40" s="2" t="inlineStr">
        <is>
          <t>Chiral Eutomer vs Distomer Pharmacological activity</t>
        </is>
      </c>
      <c r="I40" s="8" t="inlineStr">
        <is>
          <t>1</t>
        </is>
      </c>
      <c r="J40"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40" s="2" t="n"/>
      <c r="L40" s="2" t="inlineStr">
        <is>
          <t>SAR &amp; Drug Design</t>
        </is>
      </c>
      <c r="M40" s="2" t="inlineStr">
        <is>
          <t>Medicinal Chemistry</t>
        </is>
      </c>
      <c r="N40" s="2" t="inlineStr">
        <is>
          <t>PLE-CC1 ปี 2566 Day 1 ข้อ 5</t>
        </is>
      </c>
      <c r="O40" s="2" t="inlineStr">
        <is>
          <t>ข้อสอบจริง</t>
        </is>
      </c>
      <c r="P40" s="2" t="inlineStr">
        <is>
          <t>ปี 2566</t>
        </is>
      </c>
    </row>
    <row r="41" ht="13.2" customHeight="1" s="49">
      <c r="A41" s="8" t="inlineStr">
        <is>
          <t>40</t>
        </is>
      </c>
      <c r="B41" s="2" t="inlineStr">
        <is>
          <t>Medchem โครงสร้างhydroxyzine กับcet. ตัวเลือก</t>
        </is>
      </c>
      <c r="C41" s="2" t="n"/>
      <c r="D41" s="2" t="inlineStr">
        <is>
          <t>Medicinal Chemistry</t>
        </is>
      </c>
      <c r="E41" s="2" t="inlineStr">
        <is>
          <t>Chiral Eutomer vs Distomer Pharmacological activity</t>
        </is>
      </c>
      <c r="F41" s="2" t="inlineStr">
        <is>
          <t>Covalent Irreversible Enzyme Inhibition</t>
        </is>
      </c>
      <c r="G41" s="2" t="inlineStr">
        <is>
          <t>Structure-Activity Relationship (SAR) Optimization</t>
        </is>
      </c>
      <c r="H41" s="2" t="inlineStr">
        <is>
          <t>Bioisosteric Replacement (Carboxylic acid → Tetrazole)</t>
        </is>
      </c>
      <c r="I41" s="8" t="inlineStr">
        <is>
          <t>1</t>
        </is>
      </c>
      <c r="J41" s="2" t="inlineStr">
        <is>
          <t>✅ คำตอบที่ถูกต้อง: ข้อ ก. Medicinal Chemistry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2" t="n"/>
      <c r="L41" s="2" t="inlineStr">
        <is>
          <t>SAR &amp; Drug Design</t>
        </is>
      </c>
      <c r="M41" s="2" t="inlineStr">
        <is>
          <t>Medicinal Chemistry</t>
        </is>
      </c>
      <c r="N41" s="2" t="inlineStr">
        <is>
          <t>PLE-CC1 ปี 2566 Day 2 ข้อ 15</t>
        </is>
      </c>
      <c r="O41" s="2" t="inlineStr">
        <is>
          <t>ข้อสอบจริง</t>
        </is>
      </c>
      <c r="P41" s="2" t="inlineStr">
        <is>
          <t>ปี 2566</t>
        </is>
      </c>
    </row>
    <row r="42" ht="13.2" customHeight="1" s="49">
      <c r="A42" s="8" t="inlineStr">
        <is>
          <t>41</t>
        </is>
      </c>
      <c r="B42" s="2"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2" t="n"/>
      <c r="D42" s="2" t="inlineStr">
        <is>
          <t>หลังอาหารเชา</t>
        </is>
      </c>
      <c r="E42" s="2" t="inlineStr">
        <is>
          <t>หลังอาหารเที่ยง</t>
        </is>
      </c>
      <c r="F42" s="2" t="inlineStr">
        <is>
          <t>หลังอาหารเย็น</t>
        </is>
      </c>
      <c r="G42" s="2" t="inlineStr">
        <is>
          <t>ก;อนอาหารเย็น</t>
        </is>
      </c>
      <c r="H42" s="2" t="inlineStr">
        <is>
          <t>ก;อนนอน</t>
        </is>
      </c>
      <c r="I42" s="8" t="inlineStr">
        <is>
          <t>1</t>
        </is>
      </c>
      <c r="J42" s="2" t="inlineStr">
        <is>
          <t>✅ คำตอบที่ถูกต้อง: ข้อ ก. หลังอาหารเชา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2" t="n"/>
      <c r="L42" s="2" t="inlineStr">
        <is>
          <t>SAR &amp; Drug Design</t>
        </is>
      </c>
      <c r="M42" s="2" t="inlineStr">
        <is>
          <t>Medicinal Chemistry</t>
        </is>
      </c>
      <c r="N42" s="2" t="inlineStr">
        <is>
          <t>PLE_CC1_2565_Day1_Key ข้อ 23</t>
        </is>
      </c>
      <c r="O42" s="2" t="inlineStr">
        <is>
          <t>ข้อสอบจริง</t>
        </is>
      </c>
      <c r="P42" s="2" t="inlineStr">
        <is>
          <t>ปี 2565</t>
        </is>
      </c>
      <c r="Q42" s="2" t="n"/>
    </row>
    <row r="43" ht="13.2" customHeight="1" s="49">
      <c r="A43" s="8" t="inlineStr">
        <is>
          <t>42</t>
        </is>
      </c>
      <c r="B43" s="2" t="inlineStr">
        <is>
          <t>ขอใดคือโครงสรางของยาที่แพThis is Ibuprofen QดIา6อยเDนโครงสhางกÇมละAอ {ง|นเTน ÉIาแ1ละกÇมE core structure Ñงไง ↓</t>
        </is>
      </c>
      <c r="C43" s="2" t="n"/>
      <c r="D43" s="2" t="inlineStr">
        <is>
          <t>Phase II Glucuronidation Conjugation by UGT</t>
        </is>
      </c>
      <c r="E43" s="2" t="inlineStr">
        <is>
          <t>[NEED_REVIEW]</t>
        </is>
      </c>
      <c r="F43" s="2" t="inlineStr">
        <is>
          <t>[NEED_REVIEW]</t>
        </is>
      </c>
      <c r="G43" s="2" t="inlineStr">
        <is>
          <t>[NEED_REVIEW]</t>
        </is>
      </c>
      <c r="H43" s="2" t="inlineStr">
        <is>
          <t>[NEED_REVIEW]</t>
        </is>
      </c>
      <c r="I43" s="8" t="inlineStr">
        <is>
          <t>1</t>
        </is>
      </c>
      <c r="J43" s="2" t="inlineStr">
        <is>
          <t>✅ คำตอบที่ถูกต้อง: ข้อ ก. Phase II Glucuronidation Conjugation by UGT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(Foye's Principles of Medicinal Chemistry (8th Edition) &amp; Wilson and Gisvold's Organic Medicinal and Pharmaceutical Chemistry
• ข้อ ง. (Foye's Principles of Medicinal Chemistry (8th Edition) &amp; Wilson and Gisvold's Organic Medicinal and Pharmaceutical Chemistry
• ข้อ จ. (Foye's Principles of Medicinal Chemistry (8th Edition) &amp; Wilson and Gisvold's Organic Medicinal and Pharmaceutical Chemistry
📖 Guideline อ้างอิง:
Foye's Principles of Medicinal Chemistry (8th Edition) &amp; Wilson and Gisvold's Organic Medicinal and Pharmaceutical Chemistry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2" t="n"/>
      <c r="L43" s="2" t="inlineStr">
        <is>
          <t>SAR &amp; Drug Design</t>
        </is>
      </c>
      <c r="M43" s="2" t="inlineStr">
        <is>
          <t>Medicinal Chemistry</t>
        </is>
      </c>
      <c r="N43" s="2" t="inlineStr">
        <is>
          <t>PLE_CC1_2565_Day1_Key ข้อ 42</t>
        </is>
      </c>
      <c r="O43" s="2" t="inlineStr">
        <is>
          <t>ข้อสอบจริง</t>
        </is>
      </c>
      <c r="P43" s="2" t="inlineStr">
        <is>
          <t>ปี 2565</t>
        </is>
      </c>
      <c r="Q43" s="2" t="n"/>
    </row>
    <row r="44" ht="13.2" customHeight="1" s="49">
      <c r="A44" s="8" t="inlineStr">
        <is>
          <t>43</t>
        </is>
      </c>
      <c r="B44" s="2" t="inlineStr">
        <is>
          <t>ผลข$างเคียง Losartan คืออะไร Reduce serum uric acid by increasing urinary excretion ยากgม Agiotensin receptor blocker (ARBs)</t>
        </is>
      </c>
      <c r="C44" s="2" t="n"/>
      <c r="D44" s="2" t="inlineStr">
        <is>
          <t>HYPO K</t>
        </is>
      </c>
      <c r="E44" s="2" t="inlineStr">
        <is>
          <t>HYPER Na</t>
        </is>
      </c>
      <c r="F44" s="2" t="inlineStr">
        <is>
          <t>AKI</t>
        </is>
      </c>
      <c r="G44" s="2" t="inlineStr">
        <is>
          <t>Acute liver injury</t>
        </is>
      </c>
      <c r="H44" s="2" t="inlineStr">
        <is>
          <t>Hyperuricemia</t>
        </is>
      </c>
      <c r="I44" s="8" t="inlineStr">
        <is>
          <t>1</t>
        </is>
      </c>
      <c r="J44" s="2"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2" t="n"/>
      <c r="L44" s="2" t="inlineStr">
        <is>
          <t>SAR &amp; Drug Design</t>
        </is>
      </c>
      <c r="M44" s="2" t="inlineStr">
        <is>
          <t>Medicinal Chemistry</t>
        </is>
      </c>
      <c r="N44" s="2" t="inlineStr">
        <is>
          <t>PLE_CC1_2565_Day2_Key ข้อ 25</t>
        </is>
      </c>
      <c r="O44" s="2" t="inlineStr">
        <is>
          <t>ข้อสอบจริง</t>
        </is>
      </c>
      <c r="P44" s="2" t="inlineStr">
        <is>
          <t>ปี 2565</t>
        </is>
      </c>
      <c r="Q44" s="2" t="n"/>
    </row>
    <row r="45" ht="13.2" customHeight="1" s="49">
      <c r="A45" s="8" t="inlineStr">
        <is>
          <t>44</t>
        </is>
      </c>
      <c r="B45" s="2" t="inlineStr">
        <is>
          <t>สารละลาย Adrenaline injection ความเข้มข้น 0.01% w/v มีความหมายตรงกับความเข้มข้นในอัตราส่วน (Ratio strength) ใดต่อไปนี้</t>
        </is>
      </c>
      <c r="C45" s="2" t="n"/>
      <c r="D45" s="2" t="inlineStr">
        <is>
          <t>1 : 100</t>
        </is>
      </c>
      <c r="E45" s="2" t="inlineStr">
        <is>
          <t>1 : 1,000</t>
        </is>
      </c>
      <c r="F45" s="2" t="inlineStr">
        <is>
          <t>1 : 10,000</t>
        </is>
      </c>
      <c r="G45" s="2" t="inlineStr">
        <is>
          <t>1 : 100,000</t>
        </is>
      </c>
      <c r="H45" s="2" t="inlineStr">
        <is>
          <t>1 : 1,000,000</t>
        </is>
      </c>
      <c r="I45" s="8" t="n">
        <v>3</v>
      </c>
      <c r="J45" s="2" t="inlineStr">
        <is>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is>
      </c>
      <c r="K45" s="2" t="n"/>
      <c r="L45" s="2" t="inlineStr">
        <is>
          <t>SAR &amp; Drug Design</t>
        </is>
      </c>
      <c r="M45" s="2" t="inlineStr">
        <is>
          <t>Medicinal Chemistry</t>
        </is>
      </c>
      <c r="N45" s="2" t="inlineStr">
        <is>
          <t>PLE_CC1_2565_Day2_Key ข้อ 26</t>
        </is>
      </c>
      <c r="O45" s="2" t="inlineStr">
        <is>
          <t>ข้อสอบจริง</t>
        </is>
      </c>
      <c r="P45" s="2" t="inlineStr">
        <is>
          <t>ปี 2565</t>
        </is>
      </c>
    </row>
    <row r="46" ht="13.2" customHeight="1" s="49">
      <c r="A46" s="8" t="inlineStr">
        <is>
          <t>45</t>
        </is>
      </c>
      <c r="B46" s="2" t="inlineStr">
        <is>
          <t>ยาแก้แพ้ชนิดไม่ง่วง structure ยา ??? Molecular Determinants Responsible for Sedative and Non-sedative Properties of Histamine H-1-Receptor Antagonists (researchgate.net) ..............................................................................................................................................................................................................</t>
        </is>
      </c>
      <c r="C46" s="2" t="n"/>
      <c r="D46" s="2" t="inlineStr">
        <is>
          <t>Medicinal Chemistry</t>
        </is>
      </c>
      <c r="E46" s="2" t="inlineStr">
        <is>
          <t>Log P Lipophilicity Partition Coefficient optimization</t>
        </is>
      </c>
      <c r="F46" s="2" t="inlineStr">
        <is>
          <t>Chiral Eutomer vs Distomer Pharmacological activity</t>
        </is>
      </c>
      <c r="G46" s="2" t="inlineStr">
        <is>
          <t>Covalent Irreversible Enzyme Inhibition</t>
        </is>
      </c>
      <c r="H46" s="2" t="inlineStr">
        <is>
          <t>Structure-Activity Relationship (SAR) Optimization</t>
        </is>
      </c>
      <c r="I46" s="8" t="inlineStr">
        <is>
          <t>3</t>
        </is>
      </c>
      <c r="J46" s="2" t="inlineStr">
        <is>
          <t>✅ คำตอบที่ถูกต้อง: ข้อ ค. Chiral Eutomer vs Distomer Pharmacological activity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Chiral Eutomer vs Distomer Pharmacological activity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2" t="n"/>
      <c r="L46" s="2" t="inlineStr">
        <is>
          <t>SAR &amp; Drug Design</t>
        </is>
      </c>
      <c r="M46" s="2" t="inlineStr">
        <is>
          <t>Medicinal Chemistry</t>
        </is>
      </c>
      <c r="N46" s="2" t="inlineStr">
        <is>
          <t>PLE_CC1_2564_All_Key ข้อ 7</t>
        </is>
      </c>
      <c r="O46" s="2" t="inlineStr">
        <is>
          <t>ข้อสอบจริง</t>
        </is>
      </c>
      <c r="P46" s="2" t="inlineStr">
        <is>
          <t>ปี 2564</t>
        </is>
      </c>
    </row>
    <row r="47" ht="13.2" customHeight="1" s="49">
      <c r="A47" s="8" t="inlineStr">
        <is>
          <t>46</t>
        </is>
      </c>
      <c r="B47" s="2" t="inlineStr">
        <is>
          <t>ข้อใดไม่ใช่ criteria จาก 2019 ACR Guideline for the Management of Osteoarthritis of the Hand, Hip, and Knee ไม่ได้มีการระบุ diagnosis criteria เอาไว้ แต่ใน guideline เก่า ๆ ได้มีการระบุ diagnosis criteria โดยแยกโรคเอาไว้ ดังนี้ − Knee OA: ปวดเข่า ร่วมกับมีอาการอย่างน้อย 3 ข้อ (อายุมากกว่า 50 ปี ผู้ป่วยที่เป็น peripartum cardiomyopathy ระดับ mild to moderate ที่เป็นน้อยกว่า 6 เดือนหรือผู้ป่วยที่เป็นระดับ moderate to severe ผู้ป่วยที่เป็น rheumetic disease แบบ positive − ข้อฝืดขัดโดยเฉพาะตอนเช้าหลังตื่นนอนเป็นเวลา &lt; 30 นาที − มีเสียงกรอบแกรบขณะเคลื่อนไหว − กดเจ็บที่กระดูกข้อเข่า ผู้ที่เป็นมะเร็งเต้านม, ผู้ป่วยเบาหวานที่มี Nephropathy, retinopathy หรือ neuropathyและผู้ป่วยเบาหวานที่มีโรคทางหลอดเลือดอื่น ๆ หรือเป็นเบาหวานมามากกว่า 20 ปี ผู้ป่วย viral hepatitis แบบ acute/flare ที่ระยะ initiation ผู้ป่วยเป็น cirrhosis แบบ severe − ข้อบวมใหญ่ − คลำไม่พบความอุ่นบริเวณ synovium) Hand OA และ Hip OA ต้องใช้การตรวจอย่างอื่นเพิ่มเติม จาก ACR Diagnostic Guidelines (hopkinsarthritis.org)</t>
        </is>
      </c>
      <c r="C47" s="2" t="n"/>
      <c r="D47" s="2" t="inlineStr">
        <is>
          <t>Medicinal Chemistry</t>
        </is>
      </c>
      <c r="E47" s="2" t="inlineStr">
        <is>
          <t>Structure-Activity Relationship (SAR) Optimization</t>
        </is>
      </c>
      <c r="F47" s="2" t="inlineStr">
        <is>
          <t>Bioisosteric Replacement (Carboxylic acid → Tetrazole)</t>
        </is>
      </c>
      <c r="G47" s="2" t="inlineStr">
        <is>
          <t>Prodrug Design via Esterification for Oral Bioavailability</t>
        </is>
      </c>
      <c r="H47" s="2" t="inlineStr">
        <is>
          <t>Cytochrome P450 CYP3A4 Phase I Oxidation</t>
        </is>
      </c>
      <c r="I47" s="8" t="inlineStr">
        <is>
          <t>1</t>
        </is>
      </c>
      <c r="J47" s="2" t="inlineStr">
        <is>
          <t>✅ คำตอบที่ถูกต้อง: ข้อ ก. Medicinal Chemistry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7" s="2" t="n"/>
      <c r="L47" s="2" t="inlineStr">
        <is>
          <t>SAR &amp; Drug Design</t>
        </is>
      </c>
      <c r="M47" s="2" t="inlineStr">
        <is>
          <t>Medicinal Chemistry</t>
        </is>
      </c>
      <c r="N47" s="2" t="inlineStr">
        <is>
          <t>PLE_CC1_2564_All_Key ข้อ 28</t>
        </is>
      </c>
      <c r="O47" s="2" t="inlineStr">
        <is>
          <t>ข้อสอบจริง</t>
        </is>
      </c>
      <c r="P47" s="2" t="inlineStr">
        <is>
          <t>ปี 2564</t>
        </is>
      </c>
    </row>
    <row r="48" ht="13.2" customHeight="1" s="49">
      <c r="A48" s="2" t="n">
        <v>46</v>
      </c>
      <c r="B48" s="2" t="inlineStr">
        <is>
          <t>ยาใดมีกลไกยับยั้ง cholinesterase ทำให(พยาธิเกิดอัมพาต</t>
        </is>
      </c>
      <c r="C48" s="2" t="n"/>
      <c r="D48" s="2" t="inlineStr">
        <is>
          <t>Niclosamide</t>
        </is>
      </c>
      <c r="E48" s="2" t="inlineStr">
        <is>
          <t>Praziquantel</t>
        </is>
      </c>
      <c r="F48" s="2" t="inlineStr">
        <is>
          <t>Mebendazole</t>
        </is>
      </c>
      <c r="G48" s="2" t="inlineStr">
        <is>
          <t>Pyrantel pamoate</t>
        </is>
      </c>
      <c r="H48" s="2" t="inlineStr">
        <is>
          <t>Diethycarbamazine E</t>
        </is>
      </c>
      <c r="I48" s="2" t="n">
        <v>1</v>
      </c>
      <c r="J48" s="2"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2" t="n"/>
      <c r="L48" s="2" t="inlineStr">
        <is>
          <t>SAR &amp; Drug Design</t>
        </is>
      </c>
      <c r="M48" s="2" t="inlineStr">
        <is>
          <t>Product</t>
        </is>
      </c>
      <c r="N48" s="2" t="inlineStr">
        <is>
          <t>ข้อ 62 (PLE_CC1_2561_Key.md)</t>
        </is>
      </c>
      <c r="O48" s="2" t="inlineStr">
        <is>
          <t>ข้อสอบจริง</t>
        </is>
      </c>
      <c r="P48" s="2" t="inlineStr">
        <is>
          <t>ปี 2561</t>
        </is>
      </c>
    </row>
    <row r="49" ht="13.2" customHeight="1" s="49">
      <c r="A49" s="2" t="n">
        <v>47</v>
      </c>
      <c r="B49" s="2" t="inlineStr">
        <is>
          <t>เมื่อใช้ยาในกลุ่ม Acetylcholinesterase inhibitors ร่วมกับ CYP2D6 inhibitor ทำให้เกิดผลใดตามมาได้</t>
        </is>
      </c>
      <c r="C49" s="2" t="n"/>
      <c r="D49" s="2" t="inlineStr">
        <is>
          <t>ฤทธิ์ของยา AchE เพิ่มขึ้น</t>
        </is>
      </c>
      <c r="E49" s="2" t="inlineStr">
        <is>
          <t>ทำให้เกิด bradycardia</t>
        </is>
      </c>
      <c r="F49" s="2" t="inlineStr">
        <is>
          <t>ทำให้ใจสั่น ร่วมกับอาการตะคริว</t>
        </is>
      </c>
      <c r="G49" s="2" t="inlineStr">
        <is>
          <t>อาจทำให้เกิดอาการสับสนหรือเพ้อ (delirium)</t>
        </is>
      </c>
      <c r="H49" s="2" t="inlineStr">
        <is>
          <t>ไม่มีข้อใดถูก</t>
        </is>
      </c>
      <c r="I49" s="2" t="n">
        <v>1</v>
      </c>
      <c r="J49" s="2"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2" t="n"/>
      <c r="L49" s="2" t="inlineStr">
        <is>
          <t>SAR &amp; Drug Design</t>
        </is>
      </c>
      <c r="M49" s="2" t="inlineStr">
        <is>
          <t>Product</t>
        </is>
      </c>
      <c r="N49" s="2" t="inlineStr">
        <is>
          <t>ข้อ 53 (Pharmtutor_2024_Set1.md)</t>
        </is>
      </c>
      <c r="O49" s="2" t="inlineStr">
        <is>
          <t>Mock</t>
        </is>
      </c>
      <c r="P49" s="2" t="inlineStr">
        <is>
          <t>Mock Pharmtutor 2024</t>
        </is>
      </c>
    </row>
    <row r="50" ht="13.2" customHeight="1" s="49">
      <c r="A50" s="2" t="n">
        <v>48</v>
      </c>
      <c r="B50" s="2" t="inlineStr">
        <is>
          <t>ในกรณีที_x001E_ผู้ป่วยรายนี%ควรได้รับยาลดความดันเพิ_x001E_มเติม ข้อ ใดไม่ใช่ยาลดความดันที_x001E_ควรใช้ในผู้ป่วยรายนี% (1) Losartan (2) Metoprolol (3) Hydrochlorothiazide (4) Amlodipine (5) Spironolactone</t>
        </is>
      </c>
      <c r="C50" s="2" t="n"/>
      <c r="D50" s="2" t="inlineStr">
        <is>
          <t>Structure-Activity Relationship (SAR) Optimization</t>
        </is>
      </c>
      <c r="E50" s="2" t="inlineStr">
        <is>
          <t>Bioisosteric Replacement (Carboxylic acid → Tetrazole)</t>
        </is>
      </c>
      <c r="F50" s="2" t="inlineStr">
        <is>
          <t>Prodrug Design via Esterification for Oral Bioavailability</t>
        </is>
      </c>
      <c r="G50" s="2" t="inlineStr">
        <is>
          <t>Cytochrome P450 CYP3A4 Phase I Oxidation</t>
        </is>
      </c>
      <c r="H50" s="2" t="inlineStr">
        <is>
          <t>Phase II Glucuronidation Conjugation by UGT</t>
        </is>
      </c>
      <c r="I50" s="2" t="n">
        <v>1</v>
      </c>
      <c r="J50"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2" t="n"/>
      <c r="L50" s="2" t="inlineStr">
        <is>
          <t>SAR &amp; Drug Design</t>
        </is>
      </c>
      <c r="M50" s="2" t="inlineStr">
        <is>
          <t>Product</t>
        </is>
      </c>
      <c r="N50" s="2" t="inlineStr">
        <is>
          <t>ข้อ 26 (PLE_CC1_2557.md)</t>
        </is>
      </c>
      <c r="O50" s="2" t="inlineStr">
        <is>
          <t>ข้อสอบจริง</t>
        </is>
      </c>
      <c r="P50" s="2" t="inlineStr">
        <is>
          <t>ปี 2557</t>
        </is>
      </c>
    </row>
    <row r="51" ht="13.2" customHeight="1" s="49">
      <c r="A51" s="2" t="n">
        <v>49</v>
      </c>
      <c r="B51" s="2" t="inlineStr">
        <is>
          <t>ข้อใดกล่าวถูกเกี่ยวกับ diazepam infusion pKa3.4</t>
        </is>
      </c>
      <c r="C51" s="2" t="n"/>
      <c r="D51" s="2" t="inlineStr">
        <is>
          <t>Cytochrome P450 CYP3A4 Phase I Oxidation</t>
        </is>
      </c>
      <c r="E51" s="2" t="inlineStr">
        <is>
          <t>Phase II Glucuronidation Conjugation by UGT</t>
        </is>
      </c>
      <c r="F51" s="2" t="inlineStr">
        <is>
          <t>Log P Lipophilicity Partition Coefficient optimization</t>
        </is>
      </c>
      <c r="G51" s="2" t="inlineStr">
        <is>
          <t>Chiral Eutomer vs Distomer Pharmacological activity</t>
        </is>
      </c>
      <c r="H51" s="2" t="inlineStr">
        <is>
          <t>Covalent Irreversible Enzyme Inhibition</t>
        </is>
      </c>
      <c r="I51" s="2" t="n">
        <v>1</v>
      </c>
      <c r="J51"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2" t="n"/>
      <c r="L51" s="2" t="inlineStr">
        <is>
          <t>SAR &amp; Drug Design</t>
        </is>
      </c>
      <c r="M51" s="2" t="inlineStr">
        <is>
          <t>Product</t>
        </is>
      </c>
      <c r="N51" s="2" t="inlineStr">
        <is>
          <t>ข้อ 6 (PLE_CC1_2556.md)</t>
        </is>
      </c>
      <c r="O51" s="2" t="inlineStr">
        <is>
          <t>ข้อสอบจริง</t>
        </is>
      </c>
      <c r="P51" s="2" t="inlineStr">
        <is>
          <t>ปี 2556</t>
        </is>
      </c>
    </row>
    <row r="52" ht="13.2" customHeight="1" s="49">
      <c r="A52" s="2" t="n">
        <v>50</v>
      </c>
      <c r="B52" s="2" t="inlineStr">
        <is>
          <t>เปลี่ยนจากยา HCTZ เป็น Losartan</t>
        </is>
      </c>
      <c r="C52" s="2" t="n"/>
      <c r="D52" s="2" t="inlineStr">
        <is>
          <t>Chiral Eutomer vs Distomer Pharmacological activity</t>
        </is>
      </c>
      <c r="E52" s="2" t="inlineStr">
        <is>
          <t>Covalent Irreversible Enzyme Inhibition</t>
        </is>
      </c>
      <c r="F52" s="2" t="inlineStr">
        <is>
          <t>Structure-Activity Relationship (SAR) Optimization</t>
        </is>
      </c>
      <c r="G52" s="2" t="inlineStr">
        <is>
          <t>Bioisosteric Replacement (Carboxylic acid → Tetrazole)</t>
        </is>
      </c>
      <c r="H52" s="2" t="inlineStr">
        <is>
          <t>Prodrug Design via Esterification for Oral Bioavailability</t>
        </is>
      </c>
      <c r="I52" s="2" t="n">
        <v>1</v>
      </c>
      <c r="J52"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2" t="n"/>
      <c r="L52" s="2" t="inlineStr">
        <is>
          <t>SAR &amp; Drug Design</t>
        </is>
      </c>
      <c r="M52" s="2" t="inlineStr">
        <is>
          <t>Product</t>
        </is>
      </c>
      <c r="N52" s="2" t="inlineStr">
        <is>
          <t>ข้อ 3 (PLE_CC1_2556.md)</t>
        </is>
      </c>
      <c r="O52" s="2" t="inlineStr">
        <is>
          <t>ข้อสอบจริง</t>
        </is>
      </c>
      <c r="P52" s="2" t="inlineStr">
        <is>
          <t>ปี 2556</t>
        </is>
      </c>
    </row>
    <row r="53" ht="13.2" customHeight="1" s="49">
      <c r="A53" s="2" t="n">
        <v>51</v>
      </c>
      <c r="B53" s="2" t="inlineStr">
        <is>
          <t>Parkinsonism dysarthria</t>
        </is>
      </c>
      <c r="C53" s="2" t="n"/>
      <c r="D53" s="2" t="inlineStr">
        <is>
          <t>Bioisosteric Replacement (Carboxylic acid → Tetrazole)</t>
        </is>
      </c>
      <c r="E53" s="2" t="inlineStr">
        <is>
          <t>Prodrug Design via Esterification for Oral Bioavailability</t>
        </is>
      </c>
      <c r="F53" s="2" t="inlineStr">
        <is>
          <t>Cytochrome P450 CYP3A4 Phase I Oxidation</t>
        </is>
      </c>
      <c r="G53" s="2" t="inlineStr">
        <is>
          <t>Phase II Glucuronidation Conjugation by UGT</t>
        </is>
      </c>
      <c r="H53" s="2" t="inlineStr">
        <is>
          <t>Log P Lipophilicity Partition Coefficient optimization</t>
        </is>
      </c>
      <c r="I53" s="2" t="n">
        <v>1</v>
      </c>
      <c r="J53" s="2"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2" t="n"/>
      <c r="L53" s="2" t="inlineStr">
        <is>
          <t>SAR &amp; Drug Design</t>
        </is>
      </c>
      <c r="M53" s="2" t="inlineStr">
        <is>
          <t>Product</t>
        </is>
      </c>
      <c r="N53" s="2" t="inlineStr">
        <is>
          <t>ข้อ 4 (PLE_CC1_2555 Day 2.md)</t>
        </is>
      </c>
      <c r="O53" s="2" t="inlineStr">
        <is>
          <t>ข้อสอบจริง</t>
        </is>
      </c>
      <c r="P53" s="2" t="inlineStr">
        <is>
          <t>ปี 2555</t>
        </is>
      </c>
    </row>
    <row r="54" ht="13.2" customHeight="1" s="49">
      <c r="A54" s="2" t="n">
        <v>52</v>
      </c>
      <c r="B54" s="2"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2" t="n"/>
      <c r="D54" s="2" t="inlineStr">
        <is>
          <t>Phase II Glucuronidation Conjugation by UGT</t>
        </is>
      </c>
      <c r="E54" s="2" t="inlineStr">
        <is>
          <t>Log P Lipophilicity Partition Coefficient optimization</t>
        </is>
      </c>
      <c r="F54" s="2" t="inlineStr">
        <is>
          <t>Chiral Eutomer vs Distomer Pharmacological activity</t>
        </is>
      </c>
      <c r="G54" s="2" t="inlineStr">
        <is>
          <t>Covalent Irreversible Enzyme Inhibition</t>
        </is>
      </c>
      <c r="H54" s="2" t="inlineStr">
        <is>
          <t>Structure-Activity Relationship (SAR) Optimization</t>
        </is>
      </c>
      <c r="I54" s="2" t="n">
        <v>5</v>
      </c>
      <c r="J54" s="2"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2" t="n"/>
      <c r="L54" s="2" t="inlineStr">
        <is>
          <t>SAR &amp; Drug Design</t>
        </is>
      </c>
      <c r="M54" s="2" t="inlineStr">
        <is>
          <t>Product</t>
        </is>
      </c>
      <c r="N54" s="2" t="inlineStr">
        <is>
          <t>ข้อ 6 (PLE_CC1_2554 SET2.md)</t>
        </is>
      </c>
      <c r="O54" s="2" t="inlineStr">
        <is>
          <t>ข้อสอบจริง</t>
        </is>
      </c>
      <c r="P54" s="2" t="inlineStr">
        <is>
          <t>ปี 2554</t>
        </is>
      </c>
    </row>
    <row r="55" ht="13.2" customHeight="1" s="49">
      <c r="A55" s="2" t="n">
        <v>53</v>
      </c>
      <c r="B55" s="2"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55" s="2" t="n"/>
      <c r="D55" s="2" t="inlineStr">
        <is>
          <t>Covalent Irreversible Enzyme Inhibition</t>
        </is>
      </c>
      <c r="E55" s="2" t="inlineStr">
        <is>
          <t>Structure-Activity Relationship (SAR) Optimization</t>
        </is>
      </c>
      <c r="F55" s="2" t="inlineStr">
        <is>
          <t>Bioisosteric Replacement (Carboxylic acid → Tetrazole)</t>
        </is>
      </c>
      <c r="G55" s="2" t="inlineStr">
        <is>
          <t>Prodrug Design via Esterification for Oral Bioavailability</t>
        </is>
      </c>
      <c r="H55" s="2" t="inlineStr">
        <is>
          <t>Cytochrome P450 CYP3A4 Phase I Oxidation</t>
        </is>
      </c>
      <c r="I55" s="2" t="n">
        <v>1</v>
      </c>
      <c r="J55"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2" t="n"/>
      <c r="L55" s="2" t="inlineStr">
        <is>
          <t>SAR &amp; Drug Design</t>
        </is>
      </c>
      <c r="M55" s="2" t="inlineStr">
        <is>
          <t>Product</t>
        </is>
      </c>
      <c r="N55" s="2" t="inlineStr">
        <is>
          <t>ข้อ 5 (PLE_CC1_Practice_Exam.md)</t>
        </is>
      </c>
      <c r="O55" s="2" t="inlineStr">
        <is>
          <t>Mock</t>
        </is>
      </c>
      <c r="P55" s="2" t="inlineStr">
        <is>
          <t>Mock สภาเภสัชฯ Practice</t>
        </is>
      </c>
    </row>
    <row r="56" ht="13.2" customHeight="1" s="49">
      <c r="A56" s="2" t="n">
        <v>54</v>
      </c>
      <c r="B56" s="2"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2" t="n"/>
      <c r="D56" s="2" t="inlineStr">
        <is>
          <t>Prodrug Design via Esterification for Oral Bioavailability</t>
        </is>
      </c>
      <c r="E56" s="2" t="inlineStr">
        <is>
          <t>Cytochrome P450 CYP3A4 Phase I Oxidation</t>
        </is>
      </c>
      <c r="F56" s="2" t="inlineStr">
        <is>
          <t>Phase II Glucuronidation Conjugation by UGT</t>
        </is>
      </c>
      <c r="G56" s="2" t="inlineStr">
        <is>
          <t>Log P Lipophilicity Partition Coefficient optimization</t>
        </is>
      </c>
      <c r="H56" s="2" t="inlineStr">
        <is>
          <t>Chiral Eutomer vs Distomer Pharmacological activity</t>
        </is>
      </c>
      <c r="I56" s="2" t="n">
        <v>2</v>
      </c>
      <c r="J56" s="2"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2" t="n"/>
      <c r="L56" s="2" t="inlineStr">
        <is>
          <t>SAR &amp; Drug Design</t>
        </is>
      </c>
      <c r="M56" s="2" t="inlineStr">
        <is>
          <t>Product</t>
        </is>
      </c>
      <c r="N56" s="2" t="inlineStr">
        <is>
          <t>ข้อ 13 (PLE_CC1_Practice_Exam.md)</t>
        </is>
      </c>
      <c r="O56" s="2" t="inlineStr">
        <is>
          <t>Mock</t>
        </is>
      </c>
      <c r="P56" s="2" t="inlineStr">
        <is>
          <t>Mock สภาเภสัชฯ Practice</t>
        </is>
      </c>
    </row>
    <row r="57" ht="13.2" customHeight="1" s="49">
      <c r="A57" s="2" t="n">
        <v>55</v>
      </c>
      <c r="B57" s="2"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57" s="2" t="n"/>
      <c r="D57" s="2" t="inlineStr">
        <is>
          <t>Log P Lipophilicity Partition Coefficient optimization</t>
        </is>
      </c>
      <c r="E57" s="2" t="inlineStr">
        <is>
          <t>Chiral Eutomer vs Distomer Pharmacological activity</t>
        </is>
      </c>
      <c r="F57" s="2" t="inlineStr">
        <is>
          <t>Covalent Irreversible Enzyme Inhibition</t>
        </is>
      </c>
      <c r="G57" s="2" t="inlineStr">
        <is>
          <t>Structure-Activity Relationship (SAR) Optimization</t>
        </is>
      </c>
      <c r="H57" s="2" t="inlineStr">
        <is>
          <t>Bioisosteric Replacement (Carboxylic acid → Tetrazole)</t>
        </is>
      </c>
      <c r="I57" s="2" t="n">
        <v>2</v>
      </c>
      <c r="J57" s="2"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2" t="n"/>
      <c r="L57" s="2" t="inlineStr">
        <is>
          <t>SAR &amp; Drug Design</t>
        </is>
      </c>
      <c r="M57" s="2" t="inlineStr">
        <is>
          <t>Product</t>
        </is>
      </c>
      <c r="N57" s="2" t="inlineStr">
        <is>
          <t>ข้อ 20 (PLE_CC1_Practice_Exam.md)</t>
        </is>
      </c>
      <c r="O57" s="2" t="inlineStr">
        <is>
          <t>Mock</t>
        </is>
      </c>
      <c r="P57" s="2" t="inlineStr">
        <is>
          <t>Mock สภาเภสัชฯ Practice</t>
        </is>
      </c>
    </row>
    <row r="58" ht="13.2" customHeight="1" s="49">
      <c r="A58" s="2" t="n">
        <v>56</v>
      </c>
      <c r="B58" s="2"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2" t="n"/>
      <c r="D58" s="2" t="inlineStr">
        <is>
          <t>Structure-Activity Relationship (SAR) Optimization</t>
        </is>
      </c>
      <c r="E58" s="2" t="inlineStr">
        <is>
          <t>Bioisosteric Replacement (Carboxylic acid → Tetrazole)</t>
        </is>
      </c>
      <c r="F58" s="2" t="inlineStr">
        <is>
          <t>Prodrug Design via Esterification for Oral Bioavailability</t>
        </is>
      </c>
      <c r="G58" s="2" t="inlineStr">
        <is>
          <t>Cytochrome P450 CYP3A4 Phase I Oxidation</t>
        </is>
      </c>
      <c r="H58" s="2" t="inlineStr">
        <is>
          <t>Phase II Glucuronidation Conjugation by UGT</t>
        </is>
      </c>
      <c r="I58" s="2" t="n">
        <v>1</v>
      </c>
      <c r="J58"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2" t="n"/>
      <c r="L58" s="2" t="inlineStr">
        <is>
          <t>SAR &amp; Drug Design</t>
        </is>
      </c>
      <c r="M58" s="2" t="inlineStr">
        <is>
          <t>Product</t>
        </is>
      </c>
      <c r="N58" s="2" t="inlineStr">
        <is>
          <t>ข้อ 5 (PLE_CC1_Key_Rx20_UBU.md)</t>
        </is>
      </c>
      <c r="O58" s="2" t="inlineStr">
        <is>
          <t>Mock</t>
        </is>
      </c>
      <c r="P58" s="2" t="inlineStr">
        <is>
          <t>Mock Rx20 UBU</t>
        </is>
      </c>
    </row>
    <row r="59" ht="13.2" customHeight="1" s="49">
      <c r="A59" s="2" t="n">
        <v>57</v>
      </c>
      <c r="B59" s="2" t="inlineStr">
        <is>
          <t>Metformin Pravastatin , Losartan `Cat X</t>
        </is>
      </c>
      <c r="C59" s="2" t="n"/>
      <c r="D59" s="2" t="inlineStr">
        <is>
          <t>Cytochrome P450 CYP3A4 Phase I Oxidation</t>
        </is>
      </c>
      <c r="E59" s="2" t="inlineStr">
        <is>
          <t>Phase II Glucuronidation Conjugation by UGT</t>
        </is>
      </c>
      <c r="F59" s="2" t="inlineStr">
        <is>
          <t>Log P Lipophilicity Partition Coefficient optimization</t>
        </is>
      </c>
      <c r="G59" s="2" t="inlineStr">
        <is>
          <t>Chiral Eutomer vs Distomer Pharmacological activity</t>
        </is>
      </c>
      <c r="H59" s="2" t="inlineStr">
        <is>
          <t>Covalent Irreversible Enzyme Inhibition</t>
        </is>
      </c>
      <c r="I59" s="2" t="n">
        <v>1</v>
      </c>
      <c r="J59"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2" t="n"/>
      <c r="L59" s="2" t="inlineStr">
        <is>
          <t>SAR &amp; Drug Design</t>
        </is>
      </c>
      <c r="M59" s="2" t="inlineStr">
        <is>
          <t>Product</t>
        </is>
      </c>
      <c r="N59" s="2" t="inlineStr">
        <is>
          <t>ข้อ 5 (PLE_CC1_Key_Rx20_UBU.md)</t>
        </is>
      </c>
      <c r="O59" s="2" t="inlineStr">
        <is>
          <t>Mock</t>
        </is>
      </c>
      <c r="P59" s="2" t="inlineStr">
        <is>
          <t>Mock Rx20 UBU</t>
        </is>
      </c>
    </row>
    <row r="60" ht="13.2" customHeight="1" s="49">
      <c r="A60" s="2" t="n">
        <v>58</v>
      </c>
      <c r="B60" s="2" t="inlineStr">
        <is>
          <t>เพิ่มยา Losartan</t>
        </is>
      </c>
      <c r="C60" s="2" t="n"/>
      <c r="D60" s="2" t="inlineStr">
        <is>
          <t>Chiral Eutomer vs Distomer Pharmacological activity</t>
        </is>
      </c>
      <c r="E60" s="2" t="inlineStr">
        <is>
          <t>Covalent Irreversible Enzyme Inhibition</t>
        </is>
      </c>
      <c r="F60" s="2" t="inlineStr">
        <is>
          <t>Structure-Activity Relationship (SAR) Optimization</t>
        </is>
      </c>
      <c r="G60" s="2" t="inlineStr">
        <is>
          <t>Bioisosteric Replacement (Carboxylic acid → Tetrazole)</t>
        </is>
      </c>
      <c r="H60" s="2" t="inlineStr">
        <is>
          <t>Prodrug Design via Esterification for Oral Bioavailability</t>
        </is>
      </c>
      <c r="I60" s="2" t="n">
        <v>1</v>
      </c>
      <c r="J60"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2" t="n"/>
      <c r="L60" s="2" t="inlineStr">
        <is>
          <t>SAR &amp; Drug Design</t>
        </is>
      </c>
      <c r="M60" s="2" t="inlineStr">
        <is>
          <t>Product</t>
        </is>
      </c>
      <c r="N60" s="2" t="inlineStr">
        <is>
          <t>ข้อ 5 (PLE_CC1_Key_Rx20_UBU.md)</t>
        </is>
      </c>
      <c r="O60" s="2" t="inlineStr">
        <is>
          <t>Mock</t>
        </is>
      </c>
      <c r="P60" s="2" t="inlineStr">
        <is>
          <t>Mock Rx20 UBU</t>
        </is>
      </c>
    </row>
    <row r="61" ht="13.2" customHeight="1" s="49">
      <c r="A61" s="2" t="n">
        <v>59</v>
      </c>
      <c r="B61" s="2"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2" t="n"/>
      <c r="D61" s="2" t="inlineStr">
        <is>
          <t>Bioisosteric Replacement (Carboxylic acid → Tetrazole)</t>
        </is>
      </c>
      <c r="E61" s="2" t="inlineStr">
        <is>
          <t>Prodrug Design via Esterification for Oral Bioavailability</t>
        </is>
      </c>
      <c r="F61" s="2" t="inlineStr">
        <is>
          <t>Cytochrome P450 CYP3A4 Phase I Oxidation</t>
        </is>
      </c>
      <c r="G61" s="2" t="inlineStr">
        <is>
          <t>Phase II Glucuronidation Conjugation by UGT</t>
        </is>
      </c>
      <c r="H61" s="2" t="inlineStr">
        <is>
          <t>Log P Lipophilicity Partition Coefficient optimization</t>
        </is>
      </c>
      <c r="I61" s="2" t="n">
        <v>3</v>
      </c>
      <c r="J61" s="2"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2" t="n"/>
      <c r="L61" s="2" t="inlineStr">
        <is>
          <t>SAR &amp; Drug Design</t>
        </is>
      </c>
      <c r="M61" s="2" t="inlineStr">
        <is>
          <t>Product</t>
        </is>
      </c>
      <c r="N61" s="2" t="inlineStr">
        <is>
          <t>ข้อ 5 (PLE_CC1_Key_Rx20_UBU.md)</t>
        </is>
      </c>
      <c r="O61" s="2" t="inlineStr">
        <is>
          <t>Mock</t>
        </is>
      </c>
      <c r="P61" s="2" t="inlineStr">
        <is>
          <t>Mock Rx20 UBU</t>
        </is>
      </c>
    </row>
    <row r="62" ht="13.2" customHeight="1" s="49">
      <c r="A62" s="2" t="n">
        <v>60</v>
      </c>
      <c r="B62" s="2" t="inlineStr">
        <is>
          <t>pKa ประมาณ 3.6 ยาเป็นกรดละลายได้ดีในสารละลายกรดอ่อน</t>
        </is>
      </c>
      <c r="C62" s="2" t="n"/>
      <c r="D62" s="2" t="inlineStr">
        <is>
          <t>Phase II Glucuronidation Conjugation by UGT</t>
        </is>
      </c>
      <c r="E62" s="2" t="inlineStr">
        <is>
          <t>Log P Lipophilicity Partition Coefficient optimization</t>
        </is>
      </c>
      <c r="F62" s="2" t="inlineStr">
        <is>
          <t>Chiral Eutomer vs Distomer Pharmacological activity</t>
        </is>
      </c>
      <c r="G62" s="2" t="inlineStr">
        <is>
          <t>Covalent Irreversible Enzyme Inhibition</t>
        </is>
      </c>
      <c r="H62" s="2" t="inlineStr">
        <is>
          <t>Structure-Activity Relationship (SAR) Optimization</t>
        </is>
      </c>
      <c r="I62" s="2" t="n">
        <v>1</v>
      </c>
      <c r="J62" s="2"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2" t="n"/>
      <c r="L62" s="2" t="inlineStr">
        <is>
          <t>SAR &amp; Drug Design</t>
        </is>
      </c>
      <c r="M62" s="2" t="inlineStr">
        <is>
          <t>Product</t>
        </is>
      </c>
      <c r="N62" s="2" t="inlineStr">
        <is>
          <t>ข้อ 3 (PLE_CC1_Key_Rx20_UBU.md)</t>
        </is>
      </c>
      <c r="O62" s="2" t="inlineStr">
        <is>
          <t>Mock</t>
        </is>
      </c>
      <c r="P62" s="2" t="inlineStr">
        <is>
          <t>Mock Rx20 UBU</t>
        </is>
      </c>
    </row>
    <row r="63" ht="13.2" customHeight="1" s="49">
      <c r="A63" s="2" t="n">
        <v>61</v>
      </c>
      <c r="B63" s="2" t="inlineStr">
        <is>
          <t>จากโครงสร้าง ยากลุ่ม ACEI ตัวใดที่ไม่ใช่ Prodrug</t>
        </is>
      </c>
      <c r="C63" s="2" t="n"/>
      <c r="D63" s="2" t="inlineStr">
        <is>
          <t>Covalent Irreversible Enzyme Inhibition</t>
        </is>
      </c>
      <c r="E63" s="2" t="inlineStr">
        <is>
          <t>Structure-Activity Relationship (SAR) Optimization</t>
        </is>
      </c>
      <c r="F63" s="2" t="inlineStr">
        <is>
          <t>Bioisosteric Replacement (Carboxylic acid → Tetrazole)</t>
        </is>
      </c>
      <c r="G63" s="2" t="inlineStr">
        <is>
          <t>Prodrug Design via Esterification for Oral Bioavailability</t>
        </is>
      </c>
      <c r="H63" s="2" t="inlineStr">
        <is>
          <t>Cytochrome P450 CYP3A4 Phase I Oxidation</t>
        </is>
      </c>
      <c r="I63" s="2" t="n">
        <v>1</v>
      </c>
      <c r="J63" s="2"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2" t="n"/>
      <c r="L63" s="2" t="inlineStr">
        <is>
          <t>SAR &amp; Drug Design</t>
        </is>
      </c>
      <c r="M63" s="2" t="inlineStr">
        <is>
          <t>Product</t>
        </is>
      </c>
      <c r="N63" s="2" t="inlineStr">
        <is>
          <t>ข้อ 65 (PLE_CC1_Key_Rx20_UBU.md)</t>
        </is>
      </c>
      <c r="O63" s="2" t="inlineStr">
        <is>
          <t>Mock</t>
        </is>
      </c>
      <c r="P63" s="2" t="inlineStr">
        <is>
          <t>Mock Rx20 UBU</t>
        </is>
      </c>
    </row>
    <row r="64" ht="13.2" customHeight="1" s="49">
      <c r="A64" s="2" t="n">
        <v>62</v>
      </c>
      <c r="B64" s="2" t="inlineStr">
        <is>
          <t>Phenylephrine มีค่า Log P ต่ำกว่า Brompheniramine</t>
        </is>
      </c>
      <c r="C64" s="2" t="n"/>
      <c r="D64" s="2" t="inlineStr">
        <is>
          <t>Prodrug Design via Esterification for Oral Bioavailability</t>
        </is>
      </c>
      <c r="E64" s="2" t="inlineStr">
        <is>
          <t>Cytochrome P450 CYP3A4 Phase I Oxidation</t>
        </is>
      </c>
      <c r="F64" s="2" t="inlineStr">
        <is>
          <t>Phase II Glucuronidation Conjugation by UGT</t>
        </is>
      </c>
      <c r="G64" s="2" t="inlineStr">
        <is>
          <t>Log P Lipophilicity Partition Coefficient optimization</t>
        </is>
      </c>
      <c r="H64" s="2" t="inlineStr">
        <is>
          <t>Chiral Eutomer vs Distomer Pharmacological activity</t>
        </is>
      </c>
      <c r="I64" s="2" t="n">
        <v>1</v>
      </c>
      <c r="J64" s="2"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2" t="n"/>
      <c r="L64" s="2" t="inlineStr">
        <is>
          <t>SAR &amp; Drug Design</t>
        </is>
      </c>
      <c r="M64" s="2" t="inlineStr">
        <is>
          <t>Product</t>
        </is>
      </c>
      <c r="N64" s="2" t="inlineStr">
        <is>
          <t>ข้อ 4 (PLE_CC1_Key_Rx20_UBU.md)</t>
        </is>
      </c>
      <c r="O64" s="2" t="inlineStr">
        <is>
          <t>Mock</t>
        </is>
      </c>
      <c r="P64" s="2" t="inlineStr">
        <is>
          <t>Mock Rx20 UBU</t>
        </is>
      </c>
    </row>
    <row r="65" ht="13.2" customHeight="1" s="49">
      <c r="A65" s="2" t="n">
        <v>63</v>
      </c>
      <c r="B65" s="2" t="inlineStr">
        <is>
          <t>ให$ SAR ของ progestin แล$วถามวGาการดัดแปลงตำแหนGงใดมีผลลด androgenic effect</t>
        </is>
      </c>
      <c r="C65" s="2" t="n"/>
      <c r="D65" s="2" t="inlineStr">
        <is>
          <t>Log P Lipophilicity Partition Coefficient optimization</t>
        </is>
      </c>
      <c r="E65" s="2" t="inlineStr">
        <is>
          <t>Chiral Eutomer vs Distomer Pharmacological activity</t>
        </is>
      </c>
      <c r="F65" s="2" t="inlineStr">
        <is>
          <t>Covalent Irreversible Enzyme Inhibition</t>
        </is>
      </c>
      <c r="G65" s="2" t="inlineStr">
        <is>
          <t>Structure-Activity Relationship (SAR) Optimization</t>
        </is>
      </c>
      <c r="H65" s="2" t="inlineStr">
        <is>
          <t>Bioisosteric Replacement (Carboxylic acid → Tetrazole)</t>
        </is>
      </c>
      <c r="I65" s="2" t="n">
        <v>1</v>
      </c>
      <c r="J65" s="2"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2" t="n"/>
      <c r="L65" s="2" t="inlineStr">
        <is>
          <t>SAR &amp; Drug Design</t>
        </is>
      </c>
      <c r="M65" s="2" t="inlineStr">
        <is>
          <t>Product</t>
        </is>
      </c>
      <c r="N65" s="2" t="inlineStr">
        <is>
          <t>ข้อ 46 (PLE_CC1_Key_Rx20_UBU.md)</t>
        </is>
      </c>
      <c r="O65" s="2" t="inlineStr">
        <is>
          <t>Mock</t>
        </is>
      </c>
      <c r="P65" s="2" t="inlineStr">
        <is>
          <t>Mock Rx20 UBU</t>
        </is>
      </c>
    </row>
    <row r="66" ht="13.2" customHeight="1" s="49">
      <c r="A66" s="2" t="n">
        <v>64</v>
      </c>
      <c r="B66" s="2" t="inlineStr">
        <is>
          <t>มีหมู่ mycosamine ทำให้ lipophilicity ต่ำ</t>
        </is>
      </c>
      <c r="C66" s="2" t="n"/>
      <c r="D66" s="2" t="inlineStr">
        <is>
          <t>Structure-Activity Relationship (SAR) Optimization</t>
        </is>
      </c>
      <c r="E66" s="2" t="inlineStr">
        <is>
          <t>Bioisosteric Replacement (Carboxylic acid → Tetrazole)</t>
        </is>
      </c>
      <c r="F66" s="2" t="inlineStr">
        <is>
          <t>Prodrug Design via Esterification for Oral Bioavailability</t>
        </is>
      </c>
      <c r="G66" s="2" t="inlineStr">
        <is>
          <t>Cytochrome P450 CYP3A4 Phase I Oxidation</t>
        </is>
      </c>
      <c r="H66" s="2" t="inlineStr">
        <is>
          <t>Phase II Glucuronidation Conjugation by UGT</t>
        </is>
      </c>
      <c r="I66" s="2" t="n">
        <v>1</v>
      </c>
      <c r="J66" s="2"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2" t="n"/>
      <c r="L66" s="2" t="inlineStr">
        <is>
          <t>SAR &amp; Drug Design</t>
        </is>
      </c>
      <c r="M66" s="2" t="inlineStr">
        <is>
          <t>Product</t>
        </is>
      </c>
      <c r="N66" s="2" t="inlineStr">
        <is>
          <t>ข้อ 4 (PLE_CC1_Key_Rx20_UBU.md)</t>
        </is>
      </c>
      <c r="O66" s="2" t="inlineStr">
        <is>
          <t>Mock</t>
        </is>
      </c>
      <c r="P66" s="2" t="inlineStr">
        <is>
          <t>Mock Rx20 UBU</t>
        </is>
      </c>
    </row>
    <row r="67" ht="13.2" customHeight="1" s="49">
      <c r="A67" s="2" t="n">
        <v>65</v>
      </c>
      <c r="B67" s="2" t="inlineStr">
        <is>
          <t>Cyclophosphamide เป็น prodrug</t>
        </is>
      </c>
      <c r="C67" s="2" t="n"/>
      <c r="D67" s="2" t="inlineStr">
        <is>
          <t>Cytochrome P450 CYP3A4 Phase I Oxidation</t>
        </is>
      </c>
      <c r="E67" s="2" t="inlineStr">
        <is>
          <t>Phase II Glucuronidation Conjugation by UGT</t>
        </is>
      </c>
      <c r="F67" s="2" t="inlineStr">
        <is>
          <t>Log P Lipophilicity Partition Coefficient optimization</t>
        </is>
      </c>
      <c r="G67" s="2" t="inlineStr">
        <is>
          <t>Chiral Eutomer vs Distomer Pharmacological activity</t>
        </is>
      </c>
      <c r="H67" s="2" t="inlineStr">
        <is>
          <t>Covalent Irreversible Enzyme Inhibition</t>
        </is>
      </c>
      <c r="I67" s="2" t="n">
        <v>1</v>
      </c>
      <c r="J67" s="2"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2" t="n"/>
      <c r="L67" s="2" t="inlineStr">
        <is>
          <t>SAR &amp; Drug Design</t>
        </is>
      </c>
      <c r="M67" s="2" t="inlineStr">
        <is>
          <t>Product</t>
        </is>
      </c>
      <c r="N67" s="2" t="inlineStr">
        <is>
          <t>ข้อ 2 (PLE_CC1_Key_Rx20_UBU.md)</t>
        </is>
      </c>
      <c r="O67" s="2" t="inlineStr">
        <is>
          <t>Mock</t>
        </is>
      </c>
      <c r="P67" s="2" t="inlineStr">
        <is>
          <t>Mock Rx20 UBU</t>
        </is>
      </c>
    </row>
    <row r="68" ht="13.2" customHeight="1" s="49">
      <c r="A68" s="2" t="n">
        <v>66</v>
      </c>
      <c r="B68" s="2" t="inlineStr">
        <is>
          <t>tamoxifen เป็น prodrug มีการ metabolize ด้วย CYP2D6 ได้เป็น active metabolites - ข้อใดถูกต้อง</t>
        </is>
      </c>
      <c r="C68" s="2" t="n"/>
      <c r="D68" s="2" t="inlineStr">
        <is>
          <t>Chiral Eutomer vs Distomer Pharmacological activity</t>
        </is>
      </c>
      <c r="E68" s="2" t="inlineStr">
        <is>
          <t>Covalent Irreversible Enzyme Inhibition</t>
        </is>
      </c>
      <c r="F68" s="2" t="inlineStr">
        <is>
          <t>Structure-Activity Relationship (SAR) Optimization</t>
        </is>
      </c>
      <c r="G68" s="2" t="inlineStr">
        <is>
          <t>Bioisosteric Replacement (Carboxylic acid → Tetrazole)</t>
        </is>
      </c>
      <c r="H68" s="2" t="inlineStr">
        <is>
          <t>Prodrug Design via Esterification for Oral Bioavailability</t>
        </is>
      </c>
      <c r="I68" s="2" t="n">
        <v>1</v>
      </c>
      <c r="J68" s="2"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2" t="n"/>
      <c r="L68" s="2" t="inlineStr">
        <is>
          <t>SAR &amp; Drug Design</t>
        </is>
      </c>
      <c r="M68" s="2" t="inlineStr">
        <is>
          <t>Product</t>
        </is>
      </c>
      <c r="N68" s="2" t="inlineStr">
        <is>
          <t>ข้อ 8 (PLE_CC1_Key_Rx20_UBU.md)</t>
        </is>
      </c>
      <c r="O68" s="2" t="inlineStr">
        <is>
          <t>Mock</t>
        </is>
      </c>
      <c r="P68" s="2" t="inlineStr">
        <is>
          <t>Mock Rx20 UBU</t>
        </is>
      </c>
    </row>
    <row r="69" ht="409.6" customHeight="1" s="49">
      <c r="A69" s="35" t="n">
        <v>67</v>
      </c>
      <c r="B69" s="34"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35" t="inlineStr">
        <is>
          <t>[แนบรูป: ข้อสอบ Product ปี 2567 รหัสรูปภาพ image6]</t>
        </is>
      </c>
      <c r="D69" s="34" t="inlineStr">
        <is>
          <t>Ethyl acetate</t>
        </is>
      </c>
      <c r="E69" s="34" t="inlineStr">
        <is>
          <t>Hexane</t>
        </is>
      </c>
      <c r="F69" s="34" t="inlineStr">
        <is>
          <t>Chloroform</t>
        </is>
      </c>
      <c r="G69" s="34" t="inlineStr">
        <is>
          <t>Water</t>
        </is>
      </c>
      <c r="H69" s="34" t="inlineStr">
        <is>
          <t>Dichloromethane</t>
        </is>
      </c>
      <c r="I69" s="35" t="n">
        <v>1</v>
      </c>
      <c r="J69" s="34"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35" t="n"/>
      <c r="L69" s="34" t="inlineStr">
        <is>
          <t>Medicinal Chemistry &amp; SAR</t>
        </is>
      </c>
      <c r="M69" s="35" t="inlineStr">
        <is>
          <t>Product</t>
        </is>
      </c>
      <c r="N69" s="34" t="inlineStr">
        <is>
          <t>ข้อสอบจริง Product ปี 2567 ข้อ 27</t>
        </is>
      </c>
      <c r="O69" s="35" t="inlineStr">
        <is>
          <t>ข้อสอบจริง</t>
        </is>
      </c>
      <c r="P69" s="35" t="inlineStr">
        <is>
          <t>ปี 2567</t>
        </is>
      </c>
    </row>
    <row r="70" ht="409.6" customHeight="1" s="49">
      <c r="A70" s="35" t="n">
        <v>68</v>
      </c>
      <c r="B70" s="34" t="inlineStr">
        <is>
          <t>(ปี 2566, Day 2 ข้อ 14\) (เรื่อง: การทดสอบโครงสร้าง Alkaloid - Nicotine gum) ให้โครงสร้าง Nicotine gum มา ควรตรวจด้วย test ใด</t>
        </is>
      </c>
      <c r="C70" s="35" t="n"/>
      <c r="D70" s="34" t="inlineStr">
        <is>
          <t>Shinoda’s Test</t>
        </is>
      </c>
      <c r="E70" s="34" t="inlineStr">
        <is>
          <t>Dragendorff’s reagent</t>
        </is>
      </c>
      <c r="F70" s="34" t="n"/>
      <c r="G70" s="34" t="n"/>
      <c r="H70" s="34" t="n"/>
      <c r="I70" s="35" t="n">
        <v>4</v>
      </c>
      <c r="J70" s="34" t="inlineStr">
        <is>
          <t>✅ คำตอบที่ถูกต้อง: ข้อ ง. 
💡 Background:
คำถามข้อสอบจริงใบประกอบวิชาชีพ PLE-CC 1 (Product) ปี 2566 ข้อ 12
🎯 ทำไมข้อนี้ถึงถูก:
ข้อ ง.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0" s="35" t="n"/>
      <c r="L70" s="34" t="inlineStr">
        <is>
          <t>Medicinal Chemistry &amp; SAR</t>
        </is>
      </c>
      <c r="M70" s="35" t="inlineStr">
        <is>
          <t>Product</t>
        </is>
      </c>
      <c r="N70" s="34" t="inlineStr">
        <is>
          <t>ข้อสอบจริง Product ปี 2566 ข้อ 12</t>
        </is>
      </c>
      <c r="O70" s="35" t="inlineStr">
        <is>
          <t>ข้อสอบจริง</t>
        </is>
      </c>
      <c r="P70" s="35" t="inlineStr">
        <is>
          <t>ปี 2566</t>
        </is>
      </c>
    </row>
    <row r="71" ht="409.6" customHeight="1" s="49">
      <c r="A71" s="35" t="n">
        <v>69</v>
      </c>
      <c r="B71" s="34" t="inlineStr">
        <is>
          <t>โครงสร้างส่วนใดของ Loratadine ที่ทำให้ยามีความ selective ต่อ histamine 1 receptor [แนบรูป: ข้อสอบ Product ปี 2565 รหัสรูปภาพ image14]</t>
        </is>
      </c>
      <c r="C71" s="35" t="inlineStr">
        <is>
          <t>[แนบรูป: ข้อสอบ Product ปี 2565 รหัสรูปภาพ image14]</t>
        </is>
      </c>
      <c r="D71" s="34" t="inlineStr">
        <is>
          <t>A</t>
        </is>
      </c>
      <c r="E71" s="34" t="inlineStr">
        <is>
          <t>B</t>
        </is>
      </c>
      <c r="F71" s="34" t="inlineStr">
        <is>
          <t>C</t>
        </is>
      </c>
      <c r="G71" s="34" t="inlineStr">
        <is>
          <t>D</t>
        </is>
      </c>
      <c r="H71" s="34" t="inlineStr">
        <is>
          <t>A และ C</t>
        </is>
      </c>
      <c r="I71" s="35" t="n">
        <v>1</v>
      </c>
      <c r="J71" s="34"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35" t="n"/>
      <c r="L71" s="34" t="inlineStr">
        <is>
          <t>Medicinal Chemistry &amp; SAR</t>
        </is>
      </c>
      <c r="M71" s="35" t="inlineStr">
        <is>
          <t>Product</t>
        </is>
      </c>
      <c r="N71" s="34" t="inlineStr">
        <is>
          <t>ข้อสอบจริง Product ปี 2565 ข้อ 88</t>
        </is>
      </c>
      <c r="O71" s="35" t="inlineStr">
        <is>
          <t>ข้อสอบจริง</t>
        </is>
      </c>
      <c r="P71" s="35" t="inlineStr">
        <is>
          <t>ปี 2565</t>
        </is>
      </c>
    </row>
    <row r="72" ht="409.6" customHeight="1" s="49">
      <c r="A72" s="35" t="n">
        <v>70</v>
      </c>
      <c r="B72" s="34" t="inlineStr">
        <is>
          <t>ยาในรูปแบบกินกับแผ่นแปะมีข้อแตกต่างที่เด่นชัดอย่างไรก. ยาในรูปแบบแผ่นแปะมี therapeutic effect ต่ำกว่า</t>
        </is>
      </c>
      <c r="C72" s="35" t="n"/>
      <c r="D72" s="34" t="n"/>
      <c r="E72" s="34" t="inlineStr">
        <is>
          <t>ยาในรูปแบบแผ่นแปะไม่มี first pass metabolism</t>
        </is>
      </c>
      <c r="F72" s="34" t="inlineStr">
        <is>
          <t>[NEED_REVIEW]</t>
        </is>
      </c>
      <c r="G72" s="34" t="n"/>
      <c r="H72" s="34" t="n"/>
      <c r="I72" s="35" t="n">
        <v>1</v>
      </c>
      <c r="J72" s="34" t="inlineStr">
        <is>
          <t>✅ คำตอบที่ถูกต้อง: ข้อ ก. 
💡 Background:
คำถามข้อสอบจริงใบประกอบวิชาชีพ PLE-CC 1 (Product) ปี 2565 ข้อ 10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2" s="35" t="n"/>
      <c r="L72" s="34" t="inlineStr">
        <is>
          <t>Medicinal Chemistry &amp; SAR</t>
        </is>
      </c>
      <c r="M72" s="35" t="inlineStr">
        <is>
          <t>Product</t>
        </is>
      </c>
      <c r="N72" s="34" t="inlineStr">
        <is>
          <t>ข้อสอบจริง Product ปี 2565 ข้อ 10</t>
        </is>
      </c>
      <c r="O72" s="35" t="inlineStr">
        <is>
          <t>ข้อสอบจริง</t>
        </is>
      </c>
      <c r="P72" s="35" t="inlineStr">
        <is>
          <t>ปี 2565</t>
        </is>
      </c>
    </row>
    <row r="73" ht="409.6" customHeight="1" s="49">
      <c r="A73" s="35" t="n">
        <v>71</v>
      </c>
      <c r="B73" s="34" t="inlineStr">
        <is>
          <t>ข้อใดถูกเกี่ยวกับ nicotine และ cotinine [แนบรูป: ข้อสอบ Product ปี 2565 รหัสรูปภาพ image17]</t>
        </is>
      </c>
      <c r="C73" s="35" t="inlineStr">
        <is>
          <t>[แนบรูป: ข้อสอบ Product ปี 2565 รหัสรูปภาพ image17]</t>
        </is>
      </c>
      <c r="D73" s="34" t="inlineStr">
        <is>
          <t>Nicotine แสดงคุณสมบัติเป็นกรดอ่อน มี pKa เท่ากับ 8.0</t>
        </is>
      </c>
      <c r="E73" s="34" t="inlineStr">
        <is>
          <t>Nicotine ในสภาวะ physiological pH สามารถดูดซึมผ่านเมมเบรนได้ดี</t>
        </is>
      </c>
      <c r="F73" s="34" t="inlineStr">
        <is>
          <t>Cotinine เป็น major metabolite ของ nicotine กรณีศึกษาที่ 9</t>
        </is>
      </c>
      <c r="G73" s="34" t="n"/>
      <c r="H73" s="34" t="n"/>
      <c r="I73" s="35" t="n">
        <v>1</v>
      </c>
      <c r="J73" s="34" t="inlineStr">
        <is>
          <t>✅ คำตอบที่ถูกต้อง: ข้อ ก. Nicotine แสดงคุณสมบัติเป็นกรดอ่อน มี pKa เท่ากับ 8.0
💡 Background:
คำถามข้อสอบจริงใบประกอบวิชาชีพ PLE-CC 1 (Product) ปี 2565 ข้อ 11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3" s="35" t="n"/>
      <c r="L73" s="34" t="inlineStr">
        <is>
          <t>Medicinal Chemistry &amp; SAR</t>
        </is>
      </c>
      <c r="M73" s="35" t="inlineStr">
        <is>
          <t>Product</t>
        </is>
      </c>
      <c r="N73" s="34" t="inlineStr">
        <is>
          <t>ข้อสอบจริง Product ปี 2565 ข้อ 11</t>
        </is>
      </c>
      <c r="O73" s="35" t="inlineStr">
        <is>
          <t>ข้อสอบจริง</t>
        </is>
      </c>
      <c r="P73" s="35" t="inlineStr">
        <is>
          <t>ปี 2565</t>
        </is>
      </c>
    </row>
    <row r="74" ht="409.6" customHeight="1" s="49">
      <c r="A74" s="35" t="n">
        <v>72</v>
      </c>
      <c r="B74" s="34" t="inlineStr">
        <is>
          <t>จากโครงสร้าง ถ้า pKa ตำแหน่งสีเขียวลดลง จะทำให้เกิดอะไร [แนบรูป: ข้อสอบ Product ปี 2565 รหัสรูปภาพ image18]</t>
        </is>
      </c>
      <c r="C74" s="35" t="inlineStr">
        <is>
          <t>[แนบรูป: ข้อสอบ Product ปี 2565 รหัสรูปภาพ image18]</t>
        </is>
      </c>
      <c r="D74" s="34" t="inlineStr">
        <is>
          <t>ยาออกฤทธิ์ช้าลง</t>
        </is>
      </c>
      <c r="E74" s="34" t="inlineStr">
        <is>
          <t>ยาออกฤทธิ์นานขึ้น</t>
        </is>
      </c>
      <c r="F74" s="34" t="inlineStr">
        <is>
          <t>ยาถูก protonate ไวขึ้น</t>
        </is>
      </c>
      <c r="G74" s="34" t="inlineStr">
        <is>
          <t>[NEED_REVIEW]</t>
        </is>
      </c>
      <c r="H74" s="34" t="inlineStr">
        <is>
          <t>[NEED_REVIEW]</t>
        </is>
      </c>
      <c r="I74" s="35" t="n">
        <v>1</v>
      </c>
      <c r="J74" s="34"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35" t="n"/>
      <c r="L74" s="34" t="inlineStr">
        <is>
          <t>Medicinal Chemistry &amp; SAR</t>
        </is>
      </c>
      <c r="M74" s="35" t="inlineStr">
        <is>
          <t>Product</t>
        </is>
      </c>
      <c r="N74" s="34" t="inlineStr">
        <is>
          <t>ข้อสอบจริง Product ปี 2565 ข้อ 31</t>
        </is>
      </c>
      <c r="O74" s="35" t="inlineStr">
        <is>
          <t>ข้อสอบจริง</t>
        </is>
      </c>
      <c r="P74" s="35" t="inlineStr">
        <is>
          <t>ปี 2565</t>
        </is>
      </c>
    </row>
    <row r="75" ht="409.6" customHeight="1" s="49">
      <c r="A75" s="35" t="n">
        <v>73</v>
      </c>
      <c r="B75" s="34" t="inlineStr">
        <is>
          <t>โครงสร้างใดไม่ช่วยอาการร้อนวูบวาบ</t>
        </is>
      </c>
      <c r="C75" s="35" t="n"/>
      <c r="D75" s="34" t="inlineStr">
        <is>
          <t>phytosterol</t>
        </is>
      </c>
      <c r="E75" s="34" t="inlineStr">
        <is>
          <t>anthraquinone</t>
        </is>
      </c>
      <c r="F75" s="34" t="inlineStr">
        <is>
          <t>stilbene</t>
        </is>
      </c>
      <c r="G75" s="34" t="inlineStr">
        <is>
          <t>isoflavone</t>
        </is>
      </c>
      <c r="H75" s="34" t="inlineStr">
        <is>
          <t>[NEED_REVIEW]</t>
        </is>
      </c>
      <c r="I75" s="35" t="n">
        <v>1</v>
      </c>
      <c r="J75" s="34"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35" t="n"/>
      <c r="L75" s="34" t="inlineStr">
        <is>
          <t>Medicinal Chemistry &amp; SAR</t>
        </is>
      </c>
      <c r="M75" s="35" t="inlineStr">
        <is>
          <t>Product</t>
        </is>
      </c>
      <c r="N75" s="34" t="inlineStr">
        <is>
          <t>ข้อสอบจริง Product ปี 2565 ข้อ 45</t>
        </is>
      </c>
      <c r="O75" s="35" t="inlineStr">
        <is>
          <t>ข้อสอบจริง</t>
        </is>
      </c>
      <c r="P75" s="35" t="inlineStr">
        <is>
          <t>ปี 2565</t>
        </is>
      </c>
    </row>
    <row r="76" ht="409.6" customHeight="1" s="49">
      <c r="A76" s="35" t="n">
        <v>74</v>
      </c>
      <c r="B76" s="34" t="inlineStr">
        <is>
          <t>พบว่า salbutamol เป็น Chiral molecule จึงมีทั้ง (R)-salbutamol และ (S)-salbutamol ข้อใดกล่าว ถูกต้องเกี่ยวกับสารผสม 50:50 ระหว่าง (R)-salbutamol และ (S)-salbutamol</t>
        </is>
      </c>
      <c r="C76" s="35" t="n"/>
      <c r="D76" s="34" t="inlineStr">
        <is>
          <t>Cis/Trans mixture</t>
        </is>
      </c>
      <c r="E76" s="34" t="inlineStr">
        <is>
          <t>Chiral mixture</t>
        </is>
      </c>
      <c r="F76" s="34" t="inlineStr">
        <is>
          <t>Racemic mixture</t>
        </is>
      </c>
      <c r="G76" s="34" t="inlineStr">
        <is>
          <t>Conformational mixture</t>
        </is>
      </c>
      <c r="H76" s="34" t="inlineStr">
        <is>
          <t>Mixed form mixture</t>
        </is>
      </c>
      <c r="I76" s="35" t="n">
        <v>1</v>
      </c>
      <c r="J76" s="34" t="inlineStr">
        <is>
          <t>✅ คำตอบที่ถูกต้อง: ข้อ ก. Cis/Trans mixture
💡 Background:
คำถามข้อสอบจริงใบประกอบวิชาชีพ PLE-CC 1 (Product) ปี 2565 ข้อ 47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6" s="35" t="n"/>
      <c r="L76" s="34" t="inlineStr">
        <is>
          <t>Medicinal Chemistry &amp; SAR</t>
        </is>
      </c>
      <c r="M76" s="35" t="inlineStr">
        <is>
          <t>Product</t>
        </is>
      </c>
      <c r="N76" s="34" t="inlineStr">
        <is>
          <t>ข้อสอบจริง Product ปี 2565 ข้อ 47</t>
        </is>
      </c>
      <c r="O76" s="35" t="inlineStr">
        <is>
          <t>ข้อสอบจริง</t>
        </is>
      </c>
      <c r="P76" s="35" t="inlineStr">
        <is>
          <t>ปี 2565</t>
        </is>
      </c>
    </row>
    <row r="77" ht="409.6" customHeight="1" s="49">
      <c r="A77" s="35" t="n">
        <v>75</v>
      </c>
      <c r="B77" s="34" t="inlineStr">
        <is>
          <t>เครื่องมือใดสามารถใช้หามวลโมเลกุลและโครงสร้างของสารได้ ต้นฉบับ: Day 2 ข้อ 99 [แนบรูป: ข้อสอบ Product ปี 2563 รหัสรูปภาพ image96] รูปประกอบจากข้อสอบต้นฉบับ [แนบรูป: ข้อสอบ Product ปี 2563 รหัสรูปภาพ image97] รูปประกอบจากข้อสอบต้นฉบับ</t>
        </is>
      </c>
      <c r="C77" s="35" t="inlineStr">
        <is>
          <t>[แนบรูป: ข้อสอบ Product ปี 2563 รหัสรูปภาพ image96]</t>
        </is>
      </c>
      <c r="D77" s="34" t="inlineStr">
        <is>
          <t>A</t>
        </is>
      </c>
      <c r="E77" s="34" t="inlineStr">
        <is>
          <t>B</t>
        </is>
      </c>
      <c r="F77" s="34" t="inlineStr">
        <is>
          <t>A และ B</t>
        </is>
      </c>
      <c r="G77" s="34" t="inlineStr">
        <is>
          <t>B และ C</t>
        </is>
      </c>
      <c r="H77" s="34" t="inlineStr">
        <is>
          <t>A และ C</t>
        </is>
      </c>
      <c r="I77" s="35" t="n">
        <v>3</v>
      </c>
      <c r="J77" s="34"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35" t="n"/>
      <c r="L77" s="34" t="inlineStr">
        <is>
          <t>Medicinal Chemistry &amp; SAR</t>
        </is>
      </c>
      <c r="M77" s="35" t="inlineStr">
        <is>
          <t>Product</t>
        </is>
      </c>
      <c r="N77" s="34" t="inlineStr">
        <is>
          <t>ข้อสอบจริง Product ปี 2563 ข้อ 12</t>
        </is>
      </c>
      <c r="O77" s="35" t="inlineStr">
        <is>
          <t>ข้อสอบจริง</t>
        </is>
      </c>
      <c r="P77" s="35" t="inlineStr">
        <is>
          <t>ปี 2563</t>
        </is>
      </c>
    </row>
    <row r="78" ht="409.6" customHeight="1" s="49">
      <c r="A78" s="35" t="n">
        <v>76</v>
      </c>
      <c r="B78" s="34" t="inlineStr">
        <is>
          <t>จากโครงสร้างของยา ข้อใดเป็นปฏิกิริยาการสลายตัว ต้นฉบับ: Day 1 ข้อ 25 [แนบรูป: ข้อสอบ Product ปี 2563 รหัสรูปภาพ image98] รูปประกอบจากข้อสอบต้นฉบับ</t>
        </is>
      </c>
      <c r="C78" s="35" t="inlineStr">
        <is>
          <t>[แนบรูป: ข้อสอบ Product ปี 2563 รหัสรูปภาพ image98]</t>
        </is>
      </c>
      <c r="D78" s="34" t="inlineStr">
        <is>
          <t>Hydrolysis</t>
        </is>
      </c>
      <c r="E78" s="34" t="inlineStr">
        <is>
          <t>Oxidation</t>
        </is>
      </c>
      <c r="F78" s="34" t="inlineStr">
        <is>
          <t>Photolysis</t>
        </is>
      </c>
      <c r="G78" s="34" t="inlineStr">
        <is>
          <t>Dehydration</t>
        </is>
      </c>
      <c r="H78" s="34" t="inlineStr">
        <is>
          <t>Racemization</t>
        </is>
      </c>
      <c r="I78" s="35" t="n">
        <v>1</v>
      </c>
      <c r="J78" s="34"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35" t="n"/>
      <c r="L78" s="34" t="inlineStr">
        <is>
          <t>Medicinal Chemistry &amp; SAR</t>
        </is>
      </c>
      <c r="M78" s="35" t="inlineStr">
        <is>
          <t>Product</t>
        </is>
      </c>
      <c r="N78" s="34" t="inlineStr">
        <is>
          <t>ข้อสอบจริง Product ปี 2563 ข้อ 13</t>
        </is>
      </c>
      <c r="O78" s="35" t="inlineStr">
        <is>
          <t>ข้อสอบจริง</t>
        </is>
      </c>
      <c r="P78" s="35" t="inlineStr">
        <is>
          <t>ปี 2563</t>
        </is>
      </c>
    </row>
    <row r="79" ht="409.6" customHeight="1" s="49">
      <c r="A79" s="35" t="n">
        <v>77</v>
      </c>
      <c r="B79" s="34" t="inlineStr">
        <is>
          <t>ข้อใดไม่ควรเป็น flocculating agent ต้นฉบับ: Day 2 ข้อ 93</t>
        </is>
      </c>
      <c r="C79" s="35" t="n"/>
      <c r="D79" s="34" t="inlineStr">
        <is>
          <t>Electrolyte</t>
        </is>
      </c>
      <c r="E79" s="34" t="inlineStr">
        <is>
          <t>Surfactant</t>
        </is>
      </c>
      <c r="F79" s="34" t="inlineStr">
        <is>
          <t>Polymer</t>
        </is>
      </c>
      <c r="G79" s="34" t="inlineStr">
        <is>
          <t>Clay</t>
        </is>
      </c>
      <c r="H79" s="34" t="inlineStr">
        <is>
          <t>Alcohol | คำตอบที่น่าจะเป็น: e) Alcohol Flocculating agent ที่ใช้ทั่วไปคือ electrolyte, surfactant และ polymer ส่วน alcohol ไม่ใช่ตัวเลือกมาตรฐาน</t>
        </is>
      </c>
      <c r="I79" s="35" t="n">
        <v>1</v>
      </c>
      <c r="J79" s="34"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35" t="n"/>
      <c r="L79" s="34" t="inlineStr">
        <is>
          <t>Medicinal Chemistry &amp; SAR</t>
        </is>
      </c>
      <c r="M79" s="35" t="inlineStr">
        <is>
          <t>Product</t>
        </is>
      </c>
      <c r="N79" s="34" t="inlineStr">
        <is>
          <t>ข้อสอบจริง Product ปี 2563 ข้อ 56</t>
        </is>
      </c>
      <c r="O79" s="35" t="inlineStr">
        <is>
          <t>ข้อสอบจริง</t>
        </is>
      </c>
      <c r="P79" s="35" t="inlineStr">
        <is>
          <t>ปี 2563</t>
        </is>
      </c>
    </row>
    <row r="80" ht="409.6" customHeight="1" s="49">
      <c r="A80" s="35" t="n">
        <v>78</v>
      </c>
      <c r="B80" s="34" t="inlineStr">
        <is>
          <t>โครงสร้าง omeprazole ที่จำหน่ายเป็น racemic mixture ยา racemic mixture มีคุณสมบัติใด</t>
        </is>
      </c>
      <c r="C80" s="35" t="n"/>
      <c r="D80" s="34" t="inlineStr">
        <is>
          <t>ละลายน้ำดี</t>
        </is>
      </c>
      <c r="E80" s="34" t="inlineStr">
        <is>
          <t>เป็น achiral molecule</t>
        </is>
      </c>
      <c r="F80" s="34" t="inlineStr">
        <is>
          <t>ไม่หมุนระนาบแสง polarized</t>
        </is>
      </c>
      <c r="G80" s="34" t="inlineStr">
        <is>
          <t>ยาดูดกลืนแสงหลายคลื่นความถี่</t>
        </is>
      </c>
      <c r="H80" s="34" t="inlineStr">
        <is>
          <t>Potent ดีกว่าที่ไม่ใช่ racemic mixture</t>
        </is>
      </c>
      <c r="I80" s="35" t="n">
        <v>1</v>
      </c>
      <c r="J80" s="34" t="inlineStr">
        <is>
          <t>✅ คำตอบที่ถูกต้อง: ข้อ ก. ละลายน้ำดี
💡 Background:
คำถามข้อสอบจริงใบประกอบวิชาชีพ PLE-CC 1 (Product) ปี 2561 ข้อ 90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0" s="35" t="n"/>
      <c r="L80" s="34" t="inlineStr">
        <is>
          <t>Medicinal Chemistry &amp; SAR</t>
        </is>
      </c>
      <c r="M80" s="35" t="inlineStr">
        <is>
          <t>Product</t>
        </is>
      </c>
      <c r="N80" s="34" t="inlineStr">
        <is>
          <t>ข้อสอบจริง Product ปี 2561 ข้อ 90</t>
        </is>
      </c>
      <c r="O80" s="35" t="inlineStr">
        <is>
          <t>ข้อสอบจริง</t>
        </is>
      </c>
      <c r="P80" s="35" t="inlineStr">
        <is>
          <t>ปี 2561</t>
        </is>
      </c>
    </row>
    <row r="81" ht="409.6" customHeight="1" s="49">
      <c r="A81" s="35" t="n">
        <v>79</v>
      </c>
      <c r="B81" s="34" t="inlineStr">
        <is>
          <t>เพราะเหตุใดจึงต้องมีการพัฒนาตำรับยา Amphotericin B ให้อยู่ในรูปแบบลิโปโซม (Liposomal Amphotericin B)?</t>
        </is>
      </c>
      <c r="C81" s="35" t="n"/>
      <c r="D81" s="34" t="inlineStr">
        <is>
          <t>เพื่อลดการเกิดพิษ (Toxicity) โดยเฉพาะต่อไต</t>
        </is>
      </c>
      <c r="E81" s="34" t="inlineStr">
        <is>
          <t>เพื่อเพิ่มการละลายของตัวยา</t>
        </is>
      </c>
      <c r="F81" s="34" t="inlineStr">
        <is>
          <t>เพื่อเพิ่มการดูดซึมของยา</t>
        </is>
      </c>
      <c r="G81" s="34" t="inlineStr">
        <is>
          <t>เพื่อทำให้ยามีความคงตัวทางเคมีเพิ่มขึ้น</t>
        </is>
      </c>
      <c r="H81" s="34" t="inlineStr">
        <is>
          <t>เพื่อลดการเกิด Metabolism</t>
        </is>
      </c>
      <c r="I81" s="35" t="n">
        <v>1</v>
      </c>
      <c r="J81" s="34"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35" t="n"/>
      <c r="L81" s="34" t="inlineStr">
        <is>
          <t>Medicinal Chemistry &amp; SAR</t>
        </is>
      </c>
      <c r="M81" s="35" t="inlineStr">
        <is>
          <t>Product</t>
        </is>
      </c>
      <c r="N81" s="34" t="inlineStr">
        <is>
          <t>ข้อสอบจริง Product ปี 2558 ข้อ 4</t>
        </is>
      </c>
      <c r="O81" s="35" t="inlineStr">
        <is>
          <t>ข้อสอบจริง</t>
        </is>
      </c>
      <c r="P81" s="35" t="inlineStr">
        <is>
          <t>ปี 2558</t>
        </is>
      </c>
    </row>
    <row r="82" ht="409.6" customHeight="1" s="49">
      <c r="A82" s="35" t="n">
        <v>80</v>
      </c>
      <c r="B82" s="34"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35" t="n"/>
      <c r="D82" s="34" t="inlineStr">
        <is>
          <t>ปริมาณสิ่งปนเปื้อนชนิดสารอินทรีย์ (Organic impurities)</t>
        </is>
      </c>
      <c r="E82" s="34" t="inlineStr">
        <is>
          <t>ปริมาณสิ่งปนเปื้อนชนิดสารอนินทรีย์ (Inorganic impurities / Inorganic residues)</t>
        </is>
      </c>
      <c r="F82" s="34" t="inlineStr">
        <is>
          <t>ระบุชนิดและโครงสร้างของสารอินทรีย์ปนเปื้อน</t>
        </is>
      </c>
      <c r="G82" s="34" t="inlineStr">
        <is>
          <t>ระบุโครงสร้างทางเคมีของสารอนินทรีย์ปนเปื้อน</t>
        </is>
      </c>
      <c r="H82" s="34" t="inlineStr">
        <is>
          <t>ปริมาณของตัวทำละลายและสารที่ระเหยได้ง่ายด้วยความร้อน (Loss on drying)</t>
        </is>
      </c>
      <c r="I82" s="35" t="n">
        <v>1</v>
      </c>
      <c r="J82" s="34"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35" t="n"/>
      <c r="L82" s="34" t="inlineStr">
        <is>
          <t>Medicinal Chemistry &amp; SAR</t>
        </is>
      </c>
      <c r="M82" s="35" t="inlineStr">
        <is>
          <t>Product</t>
        </is>
      </c>
      <c r="N82" s="34" t="inlineStr">
        <is>
          <t>ข้อสอบจริง Product ปี 2558 ข้อ 32</t>
        </is>
      </c>
      <c r="O82" s="35" t="inlineStr">
        <is>
          <t>ข้อสอบจริง</t>
        </is>
      </c>
      <c r="P82" s="35" t="inlineStr">
        <is>
          <t>ปี 2558</t>
        </is>
      </c>
    </row>
    <row r="83" ht="13.2" customHeight="1" s="49">
      <c r="A83" t="n">
        <v>81</v>
      </c>
      <c r="B83" t="inlineStr">
        <is>
          <t>หากนำ aspirin มาเคราะห์ความบริสุทธิ์จะมีโอกาสพบสารใด</t>
        </is>
      </c>
      <c r="D83" t="inlineStr">
        <is>
          <t>Citric acid</t>
        </is>
      </c>
      <c r="E83" t="inlineStr">
        <is>
          <t>Ascorbic acid</t>
        </is>
      </c>
      <c r="F83" t="inlineStr">
        <is>
          <t>Sulfuric acid</t>
        </is>
      </c>
      <c r="G83" t="inlineStr">
        <is>
          <t>Salicylic acid</t>
        </is>
      </c>
      <c r="H83" t="inlineStr">
        <is>
          <t>ถูกทุกข้อ</t>
        </is>
      </c>
      <c r="I83" t="inlineStr">
        <is>
          <t>1</t>
        </is>
      </c>
      <c r="J83" t="inlineStr">
        <is>
          <t>✅ คำตอบที่ถูกต้อง: ข้อ ก. Citric acid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83" t="inlineStr">
        <is>
          <t>Hypertension</t>
        </is>
      </c>
      <c r="M83" t="inlineStr">
        <is>
          <t>Clinic</t>
        </is>
      </c>
      <c r="N83" t="inlineStr">
        <is>
          <t>ข้อ 92 (Pharmtutor_2024_Set1.md)</t>
        </is>
      </c>
    </row>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Q31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c r="Q2" t="inlineStr">
        <is>
          <t>Case ID (รหัสเคส)</t>
        </is>
      </c>
    </row>
    <row r="3" ht="13.2" customHeight="1" s="49">
      <c r="A3" s="2" t="n">
        <v>1</v>
      </c>
      <c r="B3" s="2" t="inlineStr">
        <is>
          <t>ยาควบคุมพิเศษ (Special Controlled Drugs) ตามพระราชบัญญัติยา พ.ศ. 2510 มีข้อกำหนดทางกฎหมายที่เภสัชกรต้องปฏิบัติอย่างไร?</t>
        </is>
      </c>
      <c r="C3" s="2" t="n"/>
      <c r="D3" s="2" t="inlineStr">
        <is>
          <t>จำหน่ายได้โดยไม่ต้องมีใบสั่งยาจากแพทย์ แต่ต้องจดบันทึก</t>
        </is>
      </c>
      <c r="E3" s="2" t="inlineStr">
        <is>
          <t>ต้องจำหน่ายตามใบสั่งยาของผู้ประกอบวิชาชีพเวชกรรมเท่านั้น และต้องจัดทำบัญชีการรับ-จ่ายยา</t>
        </is>
      </c>
      <c r="F3" s="2" t="inlineStr">
        <is>
          <t>จำหน่ายได้เฉพาะในโรงพยาบาลรัฐบาลเท่านั้น</t>
        </is>
      </c>
      <c r="G3" s="2" t="inlineStr">
        <is>
          <t>สามารถโฆษณาต่อประชาชนทั่วไปได้ตามปกติ</t>
        </is>
      </c>
      <c r="H3" s="2" t="inlineStr">
        <is>
          <t>เภสัชกรไม่ต้องอยู่ปฏิบัติการตลอดเวลาที่เปิดจำหน่าย</t>
        </is>
      </c>
      <c r="I3" s="2" t="n">
        <v>2</v>
      </c>
      <c r="J3" s="2"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พ.ร.บ. ยา พ.ศ. 2510</t>
        </is>
      </c>
      <c r="M3" s="2" t="inlineStr">
        <is>
          <t>SAP</t>
        </is>
      </c>
      <c r="N3" s="2" t="inlineStr">
        <is>
          <t>พ.ร.บ. ยา พ.ศ. 2510</t>
        </is>
      </c>
      <c r="O3" s="2" t="inlineStr">
        <is>
          <t>Mock</t>
        </is>
      </c>
      <c r="P3" s="2" t="n"/>
    </row>
    <row r="4" ht="13.2" customHeight="1" s="49">
      <c r="A4" s="2" t="n">
        <v>6</v>
      </c>
      <c r="B4" s="2" t="inlineStr">
        <is>
          <t>ข้อใดถูกต้องเกี่ยวกับ oral isotretinoin ในร้านยา</t>
        </is>
      </c>
      <c r="C4" s="2" t="n"/>
      <c r="D4" s="2" t="inlineStr">
        <is>
          <t>จ่ายได้ แต่ต้องมีใบสั่งแพทย์</t>
        </is>
      </c>
      <c r="E4" s="2" t="inlineStr">
        <is>
          <t>จ่ายได้ โดยไม่มีใบสั่งแพทย์</t>
        </is>
      </c>
      <c r="F4" s="2" t="inlineStr">
        <is>
          <t>จ่ายได้ เฉพาะสถานพยาบาลที่มีแพทย์เฉพาะทาง</t>
        </is>
      </c>
      <c r="G4" s="2" t="inlineStr">
        <is>
          <t>จ่ายได้ เฉพาะคลินิกและโรงพยาบาล</t>
        </is>
      </c>
      <c r="H4" s="2" t="inlineStr">
        <is>
          <t>จ่ายได้ เฉพาะร้านยาที่ขึ้นทะเบียนเป็นร้านยาคุณภาพ</t>
        </is>
      </c>
      <c r="I4" s="2" t="n">
        <v>4</v>
      </c>
      <c r="J4" s="2"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พ.ร.บ. ยา พ.ศ. 2510</t>
        </is>
      </c>
      <c r="M4" s="2" t="inlineStr">
        <is>
          <t>SAP</t>
        </is>
      </c>
      <c r="N4" s="2" t="inlineStr">
        <is>
          <t>ข้อ 6 Pharma Plus เล่มม่วง (เฉลยข้อ ง)</t>
        </is>
      </c>
      <c r="O4" s="2" t="inlineStr">
        <is>
          <t>Mock</t>
        </is>
      </c>
      <c r="P4" s="2" t="inlineStr">
        <is>
          <t>Pharma Plus เล่มม่วง</t>
        </is>
      </c>
    </row>
    <row r="5" ht="13.2" customHeight="1" s="49">
      <c r="A5" s="2" t="n">
        <v>7</v>
      </c>
      <c r="B5" s="2" t="inlineStr">
        <is>
          <t>ยา oral isotretinoin มีเลขทะเบียน 1C 2554/55 หมายความว่าอย่างไร</t>
        </is>
      </c>
      <c r="C5" s="2" t="n"/>
      <c r="D5" s="2" t="inlineStr">
        <is>
          <t>ยาเดี่ยวแผนปัจจุบันที่ผลิตในประเทศไทย</t>
        </is>
      </c>
      <c r="E5" s="2" t="inlineStr">
        <is>
          <t>ยาเดี่ยวแผนปัจจุบันที่นำเข้าจากต่างประเทศ</t>
        </is>
      </c>
      <c r="F5" s="2" t="inlineStr">
        <is>
          <t>ยาเดี่ยวแผนปัจจุบันที่แบ่งบรรจุในประเทศไทย</t>
        </is>
      </c>
      <c r="G5" s="2" t="inlineStr">
        <is>
          <t>ยาผสมแผนโบราณ ที่ผลิตในประเทศไทย</t>
        </is>
      </c>
      <c r="H5" s="2" t="inlineStr">
        <is>
          <t>ยาผสมแผนโบราณ ที่นำเข้าจากต่างประเทศ</t>
        </is>
      </c>
      <c r="I5" s="2" t="n">
        <v>2</v>
      </c>
      <c r="J5" s="2"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พ.ร.บ. ยา พ.ศ. 2510</t>
        </is>
      </c>
      <c r="M5" s="2" t="inlineStr">
        <is>
          <t>SAP</t>
        </is>
      </c>
      <c r="N5" s="2" t="inlineStr">
        <is>
          <t>ข้อ 7 Pharma Plus เล่มม่วง (เฉลยข้อ ข)</t>
        </is>
      </c>
      <c r="O5" s="2" t="inlineStr">
        <is>
          <t>Mock</t>
        </is>
      </c>
      <c r="P5" s="2" t="inlineStr">
        <is>
          <t>Pharma Plus เล่มม่วง</t>
        </is>
      </c>
    </row>
    <row r="6" ht="13.2" customHeight="1" s="49">
      <c r="A6" s="2" t="n">
        <v>8</v>
      </c>
      <c r="B6" s="2" t="inlineStr">
        <is>
          <t>ยาพ่น budesonide เป็นยาประเภทใดตามกฎหมาย</t>
        </is>
      </c>
      <c r="C6" s="2" t="n"/>
      <c r="D6" s="2" t="inlineStr">
        <is>
          <t>ยาควบคุมพิเศษ</t>
        </is>
      </c>
      <c r="E6" s="2" t="inlineStr">
        <is>
          <t>ยาอันตราย</t>
        </is>
      </c>
      <c r="F6" s="2" t="inlineStr">
        <is>
          <t>ยาแผนปัจจุบันบรรจุเสร็จ</t>
        </is>
      </c>
      <c r="G6" s="2" t="inlineStr">
        <is>
          <t>ยาสามัญประจำบ้าน</t>
        </is>
      </c>
      <c r="H6" s="2" t="inlineStr">
        <is>
          <t>ยาใช้ภายนอก</t>
        </is>
      </c>
      <c r="I6" s="2" t="n">
        <v>2</v>
      </c>
      <c r="J6"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พ.ร.บ. ยา พ.ศ. 2510</t>
        </is>
      </c>
      <c r="M6" s="2" t="inlineStr">
        <is>
          <t>SAP</t>
        </is>
      </c>
      <c r="N6" s="2" t="inlineStr">
        <is>
          <t>ข้อ 8 Pharma Plus เล่มม่วง (เฉลยข้อ ข)</t>
        </is>
      </c>
      <c r="O6" s="2" t="inlineStr">
        <is>
          <t>Mock</t>
        </is>
      </c>
      <c r="P6" s="2" t="inlineStr">
        <is>
          <t>Pharma Plus เล่มม่วง</t>
        </is>
      </c>
    </row>
    <row r="7" ht="13.2" customHeight="1" s="49">
      <c r="A7" s="2" t="n">
        <v>10</v>
      </c>
      <c r="B7" s="2"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2" t="n"/>
      <c r="D7" s="2" t="inlineStr">
        <is>
          <t>สังเกตแผ่นพับว่ามีเลขทะเบียนโฆษณาตามที่ อย. กำหนดหรือไม่ เช่น ฆยxxxx/xx หรือไม่</t>
        </is>
      </c>
      <c r="E7" s="2" t="inlineStr">
        <is>
          <t>แนะนำเรื่องความปลอดภัยในการใช้ยาแผนโบราณไม่มีเลขทะเบียน และขอให้ผู้ป่วยนำยามาให้เพื่อส่งตรวจ</t>
        </is>
      </c>
      <c r="F7" s="2" t="inlineStr">
        <is>
          <t>ไม่สามารถจ่ายยาลาดังกล่าวได้ เนื่องจากไม่มีใบอนุญาตขายยาแผนโบราณ</t>
        </is>
      </c>
      <c r="G7" s="2" t="inlineStr">
        <is>
          <t>แนะนำว่ายาแผนโบราณที่ใช้ภายนอกไม่มีเลขทะเบียนน่าจะใช้ได้ เพราะมีอันตรายน้อยกว่ายารับประทาน</t>
        </is>
      </c>
      <c r="H7" s="2" t="inlineStr">
        <is>
          <t>ไปหาทยาแผนโบราณดังกล่าวมาขาย เพราะมีลูกค้ามาถามซื้อ</t>
        </is>
      </c>
      <c r="I7" s="2" t="n">
        <v>2</v>
      </c>
      <c r="J7" s="2"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พ.ร.บ. ยา พ.ศ. 2510</t>
        </is>
      </c>
      <c r="M7" s="2" t="inlineStr">
        <is>
          <t>SAP</t>
        </is>
      </c>
      <c r="N7" s="2" t="inlineStr">
        <is>
          <t>ข้อ 10 Pharma Plus เล่มม่วง (เฉลยข้อ ข)</t>
        </is>
      </c>
      <c r="O7" s="2" t="inlineStr">
        <is>
          <t>Mock</t>
        </is>
      </c>
      <c r="P7" s="2" t="inlineStr">
        <is>
          <t>Pharma Plus เล่มม่วง</t>
        </is>
      </c>
    </row>
    <row r="8" ht="13.2" customHeight="1" s="49">
      <c r="A8" s="2" t="n">
        <v>11</v>
      </c>
      <c r="B8" s="2"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2" t="n"/>
      <c r="D8" s="2" t="inlineStr">
        <is>
          <t>ยาปลอม</t>
        </is>
      </c>
      <c r="E8" s="2" t="inlineStr">
        <is>
          <t>ยาเสื่อมคุณภาพ</t>
        </is>
      </c>
      <c r="F8" s="2" t="inlineStr">
        <is>
          <t>ยาผิดมาตรฐาน</t>
        </is>
      </c>
      <c r="G8" s="2" t="inlineStr">
        <is>
          <t>ยาสิ้นสภาพ</t>
        </is>
      </c>
      <c r="H8" s="2" t="inlineStr">
        <is>
          <t>ยาไม่ได้ขึ้นทะเบียนตำรับ</t>
        </is>
      </c>
      <c r="I8" s="2" t="n">
        <v>1</v>
      </c>
      <c r="J8"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พ.ร.บ. ยา พ.ศ. 2510</t>
        </is>
      </c>
      <c r="M8" s="2" t="inlineStr">
        <is>
          <t>SAP</t>
        </is>
      </c>
      <c r="N8" s="2" t="inlineStr">
        <is>
          <t>ข้อ 11 Pharma Plus เล่มม่วง (เฉลยข้อ ก)</t>
        </is>
      </c>
      <c r="O8" s="2" t="inlineStr">
        <is>
          <t>Mock</t>
        </is>
      </c>
      <c r="P8" s="2" t="inlineStr">
        <is>
          <t>Pharma Plus เล่มม่วง</t>
        </is>
      </c>
    </row>
    <row r="9" ht="13.2" customHeight="1" s="49">
      <c r="A9" s="2" t="n">
        <v>12</v>
      </c>
      <c r="B9" s="2"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2" t="n"/>
      <c r="D9" s="2" t="inlineStr">
        <is>
          <t>ยาสิดมาตรฐาน</t>
        </is>
      </c>
      <c r="E9" s="2" t="inlineStr">
        <is>
          <t>ยาเสื่อมคุณภาพ</t>
        </is>
      </c>
      <c r="F9" s="2" t="inlineStr">
        <is>
          <t>ยาปลอม</t>
        </is>
      </c>
      <c r="G9" s="2" t="inlineStr">
        <is>
          <t>ยาที่ไม่ได้ขึ้นทะเบียน</t>
        </is>
      </c>
      <c r="H9" s="2" t="inlineStr">
        <is>
          <t>ยาที่ถูกเพิกถอนทะเบียนตำรับ</t>
        </is>
      </c>
      <c r="I9" s="2" t="n">
        <v>3</v>
      </c>
      <c r="J9" s="2"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พ.ร.บ. ยา พ.ศ. 2510</t>
        </is>
      </c>
      <c r="M9" s="2" t="inlineStr">
        <is>
          <t>SAP</t>
        </is>
      </c>
      <c r="N9" s="2" t="inlineStr">
        <is>
          <t>ข้อ 12 Pharma Plus เล่มม่วง (เฉลยข้อ ค)</t>
        </is>
      </c>
      <c r="O9" s="2" t="inlineStr">
        <is>
          <t>Mock</t>
        </is>
      </c>
      <c r="P9" s="2" t="inlineStr">
        <is>
          <t>Pharma Plus เล่มม่วง</t>
        </is>
      </c>
    </row>
    <row r="10" ht="13.2" customHeight="1" s="49">
      <c r="A10" s="2" t="n">
        <v>13</v>
      </c>
      <c r="B10" s="2" t="inlineStr">
        <is>
          <t>การเบิกยาในโรงพยาบาลระบบ FIFO เป็นไปตามข้อใด</t>
        </is>
      </c>
      <c r="C10" s="2" t="n"/>
      <c r="D10" s="2" t="inlineStr">
        <is>
          <t>เบิกยาจากคลังยาโดยเบิกยาที่ซื้อมากก่อน</t>
        </is>
      </c>
      <c r="E10" s="2" t="inlineStr">
        <is>
          <t>เบิกยาจากคลังยาโดยเบิกยาที่ใกล้หมดายุก่อน</t>
        </is>
      </c>
      <c r="F10" s="2" t="inlineStr">
        <is>
          <t>เบิกยาจากคลังยา โดยเบิก lot ที่ผลิตก่อน</t>
        </is>
      </c>
      <c r="G10" s="2" t="inlineStr">
        <is>
          <t>เบิกยาจากคลังยา โดยเบิกจาก lot ที่ซื้อมาจากบริษทายาก่อน</t>
        </is>
      </c>
      <c r="H10" s="2" t="inlineStr">
        <is>
          <t>ไม่มีข้อใดถูก</t>
        </is>
      </c>
      <c r="I10" s="2" t="n">
        <v>1</v>
      </c>
      <c r="J10" s="2"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พ.ร.บ. ยา พ.ศ. 2510</t>
        </is>
      </c>
      <c r="M10" s="2" t="inlineStr">
        <is>
          <t>SAP</t>
        </is>
      </c>
      <c r="N10" s="2" t="inlineStr">
        <is>
          <t>ข้อ 13 Pharma Plus เล่มม่วง (เฉลยข้อ ก)</t>
        </is>
      </c>
      <c r="O10" s="2" t="inlineStr">
        <is>
          <t>Mock</t>
        </is>
      </c>
      <c r="P10" s="2" t="inlineStr">
        <is>
          <t>Pharma Plus เล่มม่วง</t>
        </is>
      </c>
    </row>
    <row r="11" ht="13.2" customHeight="1" s="49">
      <c r="A11" s="2" t="n">
        <v>14</v>
      </c>
      <c r="B11" s="2" t="inlineStr">
        <is>
          <t>ข้อใดต่อไปนี้ คือ ยาผิดมาตรฐาน</t>
        </is>
      </c>
      <c r="C11" s="2" t="n"/>
      <c r="D11" s="2" t="inlineStr">
        <is>
          <t>ยาที่หมดอายุแล้ว</t>
        </is>
      </c>
      <c r="E11" s="2" t="inlineStr">
        <is>
          <t>ยาที่ตรวจพบปริมาณยาสำคัญ ต่ำกว่าปริมาณต่ำสุด 15%</t>
        </is>
      </c>
      <c r="F11" s="2" t="inlineStr">
        <is>
          <t>ยาที่ตรวจพบปริมาณยาสำคัญ ต่ำกว่าปริมาณต่ำสุด 5%</t>
        </is>
      </c>
      <c r="G11" s="2" t="inlineStr">
        <is>
          <t>ยาที่ตรวจพบปริมาณยาสำคัญ สูงกว่าปริมาณสูงสุด 25%</t>
        </is>
      </c>
      <c r="H11" s="2" t="inlineStr">
        <is>
          <t>ยามีสิ่งเทียมเจือปนอยู่ ไม่เกิน 10%</t>
        </is>
      </c>
      <c r="I11" s="2" t="n">
        <v>2</v>
      </c>
      <c r="J11" s="2"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พ.ร.บ. ยา พ.ศ. 2510</t>
        </is>
      </c>
      <c r="M11" s="2" t="inlineStr">
        <is>
          <t>SAP</t>
        </is>
      </c>
      <c r="N11" s="2" t="inlineStr">
        <is>
          <t>ข้อ 14 Pharma Plus เล่มม่วง (เฉลยข้อ ข ค)</t>
        </is>
      </c>
      <c r="O11" s="2" t="inlineStr">
        <is>
          <t>Mock</t>
        </is>
      </c>
      <c r="P11" s="2" t="inlineStr">
        <is>
          <t>Pharma Plus เล่มม่วง</t>
        </is>
      </c>
    </row>
    <row r="12" ht="13.2" customHeight="1" s="49">
      <c r="A12" s="2" t="n">
        <v>15</v>
      </c>
      <c r="B12" s="2"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2" t="n"/>
      <c r="D12" s="2" t="inlineStr">
        <is>
          <t>เหมือนกัน ทั้งสมุนไพรในรูปแคปซูล กับรูปชาชง เป็นยาแผนโบราณ</t>
        </is>
      </c>
      <c r="E12" s="2" t="inlineStr">
        <is>
          <t>เหมือนกัน ทั้งสมุนไพรในรูปแคปซูล กับรูปชาชง เป็นยาสมุนไพร</t>
        </is>
      </c>
      <c r="F12" s="2" t="inlineStr">
        <is>
          <t>เหมือนกัน ทั้งสมุนไพรในรูปแคปซูล กับรูปชาชง เป็นอาหาร</t>
        </is>
      </c>
      <c r="G12" s="2" t="inlineStr">
        <is>
          <t>ไม่เหมือนกัน สมุนไพรในรูปแคปซูล เป็นยาแผนโบราณ ส่วนรูปชาชง เป็นอาหาร</t>
        </is>
      </c>
      <c r="H12" s="2" t="inlineStr">
        <is>
          <t>ไม่เหมือนกัน สมุนไพรในรูปแคปซูล เป็นยาแผนโบราณ ส่วนรูปชาชงเป็นยาสมุนไพร</t>
        </is>
      </c>
      <c r="I12" s="2" t="n">
        <v>5</v>
      </c>
      <c r="J12" s="2"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พ.ร.บ. ผลิตภัณฑ์สมุนไพร &amp; เครื่องสำอาง</t>
        </is>
      </c>
      <c r="M12" s="2" t="inlineStr">
        <is>
          <t>SAP</t>
        </is>
      </c>
      <c r="N12" s="2" t="inlineStr">
        <is>
          <t>ข้อ 15 Pharma Plus เล่มม่วง (เฉลยข้อ จ)</t>
        </is>
      </c>
      <c r="O12" s="2" t="inlineStr">
        <is>
          <t>Mock</t>
        </is>
      </c>
      <c r="P12" s="2" t="inlineStr">
        <is>
          <t>Pharma Plus เล่มม่วง</t>
        </is>
      </c>
    </row>
    <row r="13" ht="13.2" customHeight="1" s="49">
      <c r="A13" s="2" t="n">
        <v>16</v>
      </c>
      <c r="B13" s="2" t="inlineStr">
        <is>
          <t>หากผู้ป่วยมาขอซื้อยา lorazepam tab ในร้านขายยาท่านสามารถจำหน่ายยาได้หรือไม่
ท่านสามารถจำหน่ายยาได้หรือไม่</t>
        </is>
      </c>
      <c r="C13" s="2" t="n"/>
      <c r="D13" s="2" t="inlineStr">
        <is>
          <t>ได้หากมีใบอนุญาตจำหน่ายยาอันตราย</t>
        </is>
      </c>
      <c r="E13" s="2" t="inlineStr">
        <is>
          <t>ได้หากมีใบอนุญาตจำหน่ายวัตถุออกฤทธิ์</t>
        </is>
      </c>
      <c r="F13" s="2" t="inlineStr">
        <is>
          <t>ได้หากมีใบอนุญาตจำหน่ายยาเสพติดประเภท 2</t>
        </is>
      </c>
      <c r="G13" s="2" t="inlineStr">
        <is>
          <t>ไม่ได้เพราะเป็นยาเสพติดประเภท 2</t>
        </is>
      </c>
      <c r="H13" s="2" t="inlineStr">
        <is>
          <t>ไม่ได้เพราะเป็นวัตถุออกฤทธิ์</t>
        </is>
      </c>
      <c r="I13" s="2" t="n">
        <v>2</v>
      </c>
      <c r="J13" s="2"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พ.ร.บ. ยาเสพติดให้โทษ &amp; วัตถุออกฤทธิ์</t>
        </is>
      </c>
      <c r="M13" s="2" t="inlineStr">
        <is>
          <t>SAP</t>
        </is>
      </c>
      <c r="N13" s="2" t="inlineStr">
        <is>
          <t>ข้อ 16 Pharma Plus เล่มม่วง (เฉลยข้อ ข)</t>
        </is>
      </c>
      <c r="O13" s="2" t="inlineStr">
        <is>
          <t>Mock</t>
        </is>
      </c>
      <c r="P13" s="2" t="inlineStr">
        <is>
          <t>Pharma Plus เล่มม่วง</t>
        </is>
      </c>
    </row>
    <row r="14" ht="13.2" customHeight="1" s="49">
      <c r="A14" s="2" t="n">
        <v>17</v>
      </c>
      <c r="B14" s="2"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2" t="n"/>
      <c r="D14" s="2" t="inlineStr">
        <is>
          <t>การศึกษานี้เป็นการประเมินทางด้านเศรษฐศาสตร์แบบ partial economic evaluations และเป็นการศึกษาแบบ cost analysis</t>
        </is>
      </c>
      <c r="E14" s="2" t="inlineStr">
        <is>
          <t>การศึกษานี้เป็นการประเมินทางด้านเศรษฐศาสตร์แบบ partial economic evaluations และเป็นการศึกษาแบบ cost-outcome description</t>
        </is>
      </c>
      <c r="F14" s="2" t="inlineStr">
        <is>
          <t>การศึกษานี้เป็นการประเมินทางด้านเศรษฐศาสตร์แบบ full economic evaluations และเป็นการศึกษาแบบ cost-benefit analysis (CBA)</t>
        </is>
      </c>
      <c r="G14" s="2" t="inlineStr">
        <is>
          <t>การศึกษานี้เป็นการประเมินทางด้านเศรษฐศาสตร์แบบ full economic evaluations และเป็นการศึกษาแบบ cost-utility analysis (CUA)</t>
        </is>
      </c>
      <c r="H14" s="2" t="inlineStr">
        <is>
          <t>การศึกษานี้เป็นการประเมินทางด้านเศรษฐศาสตร์แบบ full economic evaluations และเป็นการศึกษาแบบ cost-effectiveness analysis (CEA)</t>
        </is>
      </c>
      <c r="I14" s="2" t="n">
        <v>3</v>
      </c>
      <c r="J14" s="2"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2" t="n"/>
      <c r="L14" s="2" t="inlineStr">
        <is>
          <t>พ.ร.บ. ยา พ.ศ. 2510</t>
        </is>
      </c>
      <c r="M14" s="2" t="inlineStr">
        <is>
          <t>SAP</t>
        </is>
      </c>
      <c r="N14" s="2" t="inlineStr">
        <is>
          <t>ข้อ 17 Pharma Plus เล่มม่วง (เฉลยข้อ ค)</t>
        </is>
      </c>
      <c r="O14" s="2" t="inlineStr">
        <is>
          <t>Mock</t>
        </is>
      </c>
      <c r="P14" s="2" t="inlineStr">
        <is>
          <t>Pharma Plus เล่มม่วง</t>
        </is>
      </c>
    </row>
    <row r="15" ht="13.2" customHeight="1" s="49">
      <c r="A15" s="2" t="n">
        <v>18</v>
      </c>
      <c r="B15" s="2" t="inlineStr">
        <is>
          <t>จากข้อ 17 ในกรณีที่ รพ. มีงบประมาณที่จำกัด ควรเลือกยาใด เพราะอะไร</t>
        </is>
      </c>
      <c r="C15" s="2" t="n"/>
      <c r="D15" s="2" t="inlineStr">
        <is>
          <t>Enalapril เพราะต้นทุนต่ำกว่า captopril</t>
        </is>
      </c>
      <c r="E15" s="2" t="inlineStr">
        <is>
          <t>Enalapril เพราะ มี B/C ratio ต่ำกว่า มีความคุ้มค่าคุ้มทุนมากกว่า captopril</t>
        </is>
      </c>
      <c r="F15" s="2" t="inlineStr">
        <is>
          <t>Captopril มีประสิทธิภาพสูงกว่า</t>
        </is>
      </c>
      <c r="G15" s="2" t="inlineStr">
        <is>
          <t>Captopril เพราะมี B/C ratio สูงกว่า มีความคุ้มค่าคุ้มทุนมากกว่า enalapril</t>
        </is>
      </c>
      <c r="H15" s="2" t="inlineStr">
        <is>
          <t>ไม่มีข้อใดถูก</t>
        </is>
      </c>
      <c r="I15" s="2" t="n">
        <v>5</v>
      </c>
      <c r="J15" s="2"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2" t="n"/>
      <c r="L15" s="2" t="inlineStr">
        <is>
          <t>พ.ร.บ. ยา พ.ศ. 2510</t>
        </is>
      </c>
      <c r="M15" s="2" t="inlineStr">
        <is>
          <t>SAP</t>
        </is>
      </c>
      <c r="N15" s="2" t="inlineStr">
        <is>
          <t>ข้อ 18 Pharma Plus เล่มม่วง (เฉลยข้อ จ)</t>
        </is>
      </c>
      <c r="O15" s="2" t="inlineStr">
        <is>
          <t>Mock</t>
        </is>
      </c>
      <c r="P15" s="2" t="inlineStr">
        <is>
          <t>Pharma Plus เล่มม่วง</t>
        </is>
      </c>
    </row>
    <row r="16" ht="13.2" customHeight="1" s="49">
      <c r="A16" s="2" t="n">
        <v>19</v>
      </c>
      <c r="B16" s="2" t="inlineStr">
        <is>
          <t>หากต้องการโฆษณา simvastatin ข้อใดถูกต้อง</t>
        </is>
      </c>
      <c r="C16" s="2" t="n"/>
      <c r="D16" s="2" t="inlineStr">
        <is>
          <t>สามารถโฆษณากับผู้ประกอบโรคศิลป์ โดยไม่ต้องขออนุญาต</t>
        </is>
      </c>
      <c r="E16" s="2" t="inlineStr">
        <is>
          <t>สามารถโฆษณากับผู้ประกอบโรคศิลป์ โดยต้องขออนุญาต</t>
        </is>
      </c>
      <c r="F16" s="2" t="inlineStr">
        <is>
          <t>สามารถโฆษณากับแพทย์เฉพาะทางเท่านั้น โดยไม่ต้องขออนุญาตก่อน</t>
        </is>
      </c>
      <c r="G16" s="2" t="inlineStr">
        <is>
          <t>สามารถโฆษณากับแพทย์เฉพาะทางเท่านั้น โดยต้องขออนุญาตญาติก่อน</t>
        </is>
      </c>
      <c r="H16" s="2" t="inlineStr">
        <is>
          <t>ไม่สามารถโฆษณาได้</t>
        </is>
      </c>
      <c r="I16" s="2" t="n">
        <v>2</v>
      </c>
      <c r="J16" s="2"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2" t="n"/>
      <c r="L16" s="2" t="inlineStr">
        <is>
          <t>พ.ร.บ. ยา พ.ศ. 2510</t>
        </is>
      </c>
      <c r="M16" s="2" t="inlineStr">
        <is>
          <t>SAP</t>
        </is>
      </c>
      <c r="N16" s="2" t="inlineStr">
        <is>
          <t>ข้อ 19 Pharma Plus เล่มม่วง (เฉลยข้อ ข)</t>
        </is>
      </c>
      <c r="O16" s="2" t="inlineStr">
        <is>
          <t>Mock</t>
        </is>
      </c>
      <c r="P16" s="2" t="inlineStr">
        <is>
          <t>Pharma Plus เล่มม่วง</t>
        </is>
      </c>
    </row>
    <row r="17" ht="13.2" customHeight="1" s="49">
      <c r="A17" s="2" t="n">
        <v>20</v>
      </c>
      <c r="B17" s="2"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2" t="n"/>
      <c r="D17" s="2" t="inlineStr">
        <is>
          <t>Cost minimization analysis</t>
        </is>
      </c>
      <c r="E17" s="2" t="inlineStr">
        <is>
          <t>Cost effectiveness analysis</t>
        </is>
      </c>
      <c r="F17" s="2" t="inlineStr">
        <is>
          <t>Cost benefits analysis</t>
        </is>
      </c>
      <c r="G17" s="2" t="inlineStr">
        <is>
          <t>Cost utility analysis</t>
        </is>
      </c>
      <c r="H17" s="2" t="inlineStr">
        <is>
          <t>Cost outcome description</t>
        </is>
      </c>
      <c r="I17" s="2" t="n">
        <v>4</v>
      </c>
      <c r="J17" s="2"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2" t="n"/>
      <c r="L17" s="2" t="inlineStr">
        <is>
          <t>พ.ร.บ. ยา พ.ศ. 2510</t>
        </is>
      </c>
      <c r="M17" s="2" t="inlineStr">
        <is>
          <t>SAP</t>
        </is>
      </c>
      <c r="N17" s="2" t="inlineStr">
        <is>
          <t>ข้อ 20 Pharma Plus เล่มม่วง (เฉลยข้อ ง)</t>
        </is>
      </c>
      <c r="O17" s="2" t="inlineStr">
        <is>
          <t>Mock</t>
        </is>
      </c>
      <c r="P17" s="2" t="inlineStr">
        <is>
          <t>Pharma Plus เล่มม่วง</t>
        </is>
      </c>
    </row>
    <row r="18" ht="13.2" customHeight="1" s="49">
      <c r="A18" s="2" t="n">
        <v>21</v>
      </c>
      <c r="B18" s="2"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2" t="n"/>
      <c r="D18" s="2" t="inlineStr">
        <is>
          <t>ยานี้ผลิตในประเทศไทย ได้รับอนุญาตทะเบียนยาในปี พ.ศ.2545</t>
        </is>
      </c>
      <c r="E18" s="2" t="inlineStr">
        <is>
          <t>ยานี้ผลิตในประเทศไทย เมื่อวันที่ 8 ก.พ. 2545</t>
        </is>
      </c>
      <c r="F18" s="2" t="inlineStr">
        <is>
          <t>ยานี้ผลิตในประเทศไทยและจะหมดอายุในวันที่ 8 ก.พ. 2545</t>
        </is>
      </c>
      <c r="G18" s="2" t="inlineStr">
        <is>
          <t>ยานำเข้ามาจากต่างประเทศ ได้รับอนุญาตทะเบียนยาในปี พ.ศ.2545</t>
        </is>
      </c>
      <c r="H18" s="2" t="inlineStr">
        <is>
          <t>ยานำเข้ามาจากต่างประเทศ และผลิตเมื่อวันที่ 8 ก.พ. 2545</t>
        </is>
      </c>
      <c r="I18" s="2" t="n">
        <v>4</v>
      </c>
      <c r="J18" s="2"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2" t="n"/>
      <c r="L18" s="2" t="inlineStr">
        <is>
          <t>พ.ร.บ. ยา พ.ศ. 2510</t>
        </is>
      </c>
      <c r="M18" s="2" t="inlineStr">
        <is>
          <t>SAP</t>
        </is>
      </c>
      <c r="N18" s="2" t="inlineStr">
        <is>
          <t>ข้อ 21 Pharma Plus เล่มม่วง (เฉลยข้อ ง)</t>
        </is>
      </c>
      <c r="O18" s="2" t="inlineStr">
        <is>
          <t>Mock</t>
        </is>
      </c>
      <c r="P18" s="2" t="inlineStr">
        <is>
          <t>Pharma Plus เล่มม่วง</t>
        </is>
      </c>
    </row>
    <row r="19" ht="13.2" customHeight="1" s="49">
      <c r="A19" s="2" t="n">
        <v>22</v>
      </c>
      <c r="B19" s="2" t="inlineStr">
        <is>
          <t>ยาทาครีม isotretinoin 0.05% จัดเป็นยาประเภทใดตามพ.ร.บ.ยา</t>
        </is>
      </c>
      <c r="C19" s="2" t="n"/>
      <c r="D19" s="2" t="inlineStr">
        <is>
          <t>ยาใช้ภายนอกที่ไม่ใช่ยาอันตราย</t>
        </is>
      </c>
      <c r="E19" s="2" t="inlineStr">
        <is>
          <t>ยาใช้ภายนอกและยาอันตราย</t>
        </is>
      </c>
      <c r="F19" s="2" t="inlineStr">
        <is>
          <t>ยาใช้ภายนอกและยาควบคุมพิเศษ</t>
        </is>
      </c>
      <c r="G19" s="2" t="inlineStr">
        <is>
          <t>ยาใช้เฉพาะที่และยาอันตราย</t>
        </is>
      </c>
      <c r="H19" s="2" t="inlineStr">
        <is>
          <t>ยาใช้เฉพาะที่และยาควบคุมพิเศษ</t>
        </is>
      </c>
      <c r="I19" s="2" t="n">
        <v>2</v>
      </c>
      <c r="J19" s="2"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2" t="n"/>
      <c r="L19" s="2" t="inlineStr">
        <is>
          <t>พ.ร.บ. ยา พ.ศ. 2510</t>
        </is>
      </c>
      <c r="M19" s="2" t="inlineStr">
        <is>
          <t>SAP</t>
        </is>
      </c>
      <c r="N19" s="2" t="inlineStr">
        <is>
          <t>ข้อ 22 Pharma Plus เล่มม่วง (เฉลยข้อ ข)</t>
        </is>
      </c>
      <c r="O19" s="2" t="inlineStr">
        <is>
          <t>Mock</t>
        </is>
      </c>
      <c r="P19" s="2" t="inlineStr">
        <is>
          <t>Pharma Plus เล่มม่วง</t>
        </is>
      </c>
    </row>
    <row r="20" ht="13.2" customHeight="1" s="49">
      <c r="A20" s="2" t="n">
        <v>23</v>
      </c>
      <c r="B20" s="2" t="inlineStr">
        <is>
          <t>Baby aspirin จัดเป็นยาประเภทใด</t>
        </is>
      </c>
      <c r="C20" s="2" t="n"/>
      <c r="D20" s="2" t="inlineStr">
        <is>
          <t>ยาสามัญประจำบ้าน</t>
        </is>
      </c>
      <c r="E20" s="2" t="inlineStr">
        <is>
          <t>ยาควบคุมพิเศษ</t>
        </is>
      </c>
      <c r="F20" s="2" t="inlineStr">
        <is>
          <t>ยาอันตราย</t>
        </is>
      </c>
      <c r="G20" s="2" t="inlineStr">
        <is>
          <t>ยาเสพติดให้โทษ</t>
        </is>
      </c>
      <c r="H20" s="2" t="inlineStr">
        <is>
          <t>วัตถุออกฤทธิ์ต่อจิตประสาท</t>
        </is>
      </c>
      <c r="I20" s="2" t="n">
        <v>2</v>
      </c>
      <c r="J20"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2" t="n"/>
      <c r="L20" s="2" t="inlineStr">
        <is>
          <t>พ.ร.บ. ยา พ.ศ. 2510</t>
        </is>
      </c>
      <c r="M20" s="2" t="inlineStr">
        <is>
          <t>SAP</t>
        </is>
      </c>
      <c r="N20" s="2" t="inlineStr">
        <is>
          <t>ข้อ 23 Pharma Plus เล่มม่วง (เฉลยข้อ ข)</t>
        </is>
      </c>
      <c r="O20" s="2" t="inlineStr">
        <is>
          <t>Mock</t>
        </is>
      </c>
      <c r="P20" s="2" t="inlineStr">
        <is>
          <t>Pharma Plus เล่มม่วง</t>
        </is>
      </c>
    </row>
    <row r="21" ht="13.2" customHeight="1" s="49">
      <c r="A21" s="2" t="n">
        <v>24</v>
      </c>
      <c r="B21" s="2"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2" t="n"/>
      <c r="D21" s="2" t="inlineStr">
        <is>
          <t>ผิดจรรยาบรรณแห่งวิชาชีพ</t>
        </is>
      </c>
      <c r="E21" s="2" t="inlineStr">
        <is>
          <t>ผิดกฎหมายยา</t>
        </is>
      </c>
      <c r="F21" s="2" t="inlineStr">
        <is>
          <t>ละเมิดสิทธิ์ของผู้ป่วย</t>
        </is>
      </c>
      <c r="G21" s="2" t="inlineStr">
        <is>
          <t>ผิดข้อบังคับสภาว่าด้วยข้อจำกัดและเงื่อนไขการปฏิบัติหน้าที่</t>
        </is>
      </c>
      <c r="H21" s="2" t="inlineStr">
        <is>
          <t>ไม่ทำตามประกาศเรื่องการเลือกสรร</t>
        </is>
      </c>
      <c r="I21" s="2" t="n">
        <v>1</v>
      </c>
      <c r="J21" s="2"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2" t="n"/>
      <c r="L21" s="2" t="inlineStr">
        <is>
          <t>พ.ร.บ. ยา พ.ศ. 2510</t>
        </is>
      </c>
      <c r="M21" s="2" t="inlineStr">
        <is>
          <t>SAP</t>
        </is>
      </c>
      <c r="N21" s="2" t="inlineStr">
        <is>
          <t>ข้อ 24 Pharma Plus เล่มม่วง (เฉลยข้อ ก)</t>
        </is>
      </c>
      <c r="O21" s="2" t="inlineStr">
        <is>
          <t>Mock</t>
        </is>
      </c>
      <c r="P21" s="2" t="inlineStr">
        <is>
          <t>Pharma Plus เล่มม่วง</t>
        </is>
      </c>
    </row>
    <row r="22" ht="13.2" customHeight="1" s="49">
      <c r="A22" s="2" t="n">
        <v>25</v>
      </c>
      <c r="B22" s="2" t="inlineStr">
        <is>
          <t>ข้อใดถูกต้องเกี่ยวกับยา fluoxetine</t>
        </is>
      </c>
      <c r="C22" s="2" t="n"/>
      <c r="D22" s="2" t="inlineStr">
        <is>
          <t>จัดอยู่ในประเภทยาอันตราย เภสัชกรสามารถจ่ายได้ในร้านยา</t>
        </is>
      </c>
      <c r="E22" s="2" t="inlineStr">
        <is>
          <t>จัดอยู่ในประเภทยาควบคุมพิเศษ เภสัชกรไม่สามารถจ่ายได้</t>
        </is>
      </c>
      <c r="F22" s="2" t="inlineStr">
        <is>
          <t>จัดอยู่ในประเภทยาอันตราย จ่ายได้ในเฉพาะโรงพยาบาล</t>
        </is>
      </c>
      <c r="G22" s="2" t="inlineStr">
        <is>
          <t>จัดอยู่ในประเภทยาเสพติดให้โทษประเภท 2 ต้องทำบัญชีรายงาน อย.</t>
        </is>
      </c>
      <c r="H22" s="2" t="inlineStr">
        <is>
          <t>จัดอยู่ในประเภทยาวัตถุออกฤทธิ์ต่อจิตประสาท</t>
        </is>
      </c>
      <c r="I22" s="2" t="n">
        <v>1</v>
      </c>
      <c r="J22" s="2"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2" t="n"/>
      <c r="L22" s="2" t="inlineStr">
        <is>
          <t>พ.ร.บ. ยาเสพติดให้โทษ &amp; วัตถุออกฤทธิ์</t>
        </is>
      </c>
      <c r="M22" s="2" t="inlineStr">
        <is>
          <t>SAP</t>
        </is>
      </c>
      <c r="N22" s="2" t="inlineStr">
        <is>
          <t>ข้อ 25 Pharma Plus เล่มม่วง (เฉลยข้อ ก)</t>
        </is>
      </c>
      <c r="O22" s="2" t="inlineStr">
        <is>
          <t>Mock</t>
        </is>
      </c>
      <c r="P22" s="2" t="inlineStr">
        <is>
          <t>Pharma Plus เล่มม่วง</t>
        </is>
      </c>
    </row>
    <row r="23" ht="13.2" customHeight="1" s="49">
      <c r="A23" s="2" t="n">
        <v>26</v>
      </c>
      <c r="B23" s="2" t="inlineStr">
        <is>
          <t>ยาที่ใช้ในการรักษาโรคหืดชนิดใด ซึ่งตามกฎหมายจัดเป็นยาควบคุมพิเศษ</t>
        </is>
      </c>
      <c r="C23" s="2" t="n"/>
      <c r="D23" s="2" t="inlineStr">
        <is>
          <t>Turbutaline (2.5mg/tab)</t>
        </is>
      </c>
      <c r="E23" s="2" t="inlineStr">
        <is>
          <t>Prednisolone (5mg/tab)</t>
        </is>
      </c>
      <c r="F23" s="2" t="inlineStr">
        <is>
          <t>Inhaled fermoterol (4.5 mcg/dose)</t>
        </is>
      </c>
      <c r="G23" s="2" t="inlineStr">
        <is>
          <t>Inhaled beclomethasone</t>
        </is>
      </c>
      <c r="H23" s="2" t="inlineStr">
        <is>
          <t>Theophylline (200 mg sustained-release)</t>
        </is>
      </c>
      <c r="I23" s="2" t="n">
        <v>2</v>
      </c>
      <c r="J23" s="2"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2" t="n"/>
      <c r="L23" s="2" t="inlineStr">
        <is>
          <t>พ.ร.บ. ยา พ.ศ. 2510</t>
        </is>
      </c>
      <c r="M23" s="2" t="inlineStr">
        <is>
          <t>SAP</t>
        </is>
      </c>
      <c r="N23" s="2" t="inlineStr">
        <is>
          <t>ข้อ 26 Pharma Plus เล่มม่วง (เฉลยข้อ ข)</t>
        </is>
      </c>
      <c r="O23" s="2" t="inlineStr">
        <is>
          <t>Mock</t>
        </is>
      </c>
      <c r="P23" s="2" t="inlineStr">
        <is>
          <t>Pharma Plus เล่มม่วง</t>
        </is>
      </c>
    </row>
    <row r="24" ht="13.2" customHeight="1" s="49">
      <c r="A24" s="2" t="n">
        <v>27</v>
      </c>
      <c r="B24" s="2"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2" t="n"/>
      <c r="D24" s="2" t="inlineStr">
        <is>
          <t>เนื่องจากจัดเป็นยาควบคุมพิเศษ</t>
        </is>
      </c>
      <c r="E24" s="2" t="inlineStr">
        <is>
          <t>เนื่องจากจัดเป็นยาที่ลงทะเบียนแบบมีเงื่อนไขต้องติดตามการใช้ในโรงพยาบาล</t>
        </is>
      </c>
      <c r="F24" s="2" t="inlineStr">
        <is>
          <t>เนื่องจากจัดเป็นยาเสพติดให้โทษ ประเภทที่ 2</t>
        </is>
      </c>
      <c r="G24" s="2" t="inlineStr">
        <is>
          <t>เนื่องจากจัดเป็นวัตถุออกฤทธิ์ต่อจิตประสาทประเภทที่ 2</t>
        </is>
      </c>
      <c r="H24" s="2" t="inlineStr">
        <is>
          <t>เนื่องจากจัดเป็นยาอันตราย</t>
        </is>
      </c>
      <c r="I24" s="2" t="n">
        <v>4</v>
      </c>
      <c r="J24" s="2"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2" t="n"/>
      <c r="L24" s="2" t="inlineStr">
        <is>
          <t>พ.ร.บ. ยา พ.ศ. 2510</t>
        </is>
      </c>
      <c r="M24" s="2" t="inlineStr">
        <is>
          <t>SAP</t>
        </is>
      </c>
      <c r="N24" s="2" t="inlineStr">
        <is>
          <t>ข้อ 27 Pharma Plus เล่มม่วง (เฉลยข้อ ง)</t>
        </is>
      </c>
      <c r="O24" s="2" t="inlineStr">
        <is>
          <t>Mock</t>
        </is>
      </c>
      <c r="P24" s="2" t="inlineStr">
        <is>
          <t>Pharma Plus เล่มม่วง</t>
        </is>
      </c>
    </row>
    <row r="25" ht="13.2" customHeight="1" s="49">
      <c r="A25" s="2" t="n">
        <v>28</v>
      </c>
      <c r="B25" s="2"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2" t="n"/>
      <c r="D25" s="2" t="inlineStr">
        <is>
          <t>ยาแก้ไอ้น้ำดำ องค์การเภสัช ขนาด 60 ml</t>
        </is>
      </c>
      <c r="E25" s="2" t="inlineStr">
        <is>
          <t>ยาแก้ไอ้น้ำดำ องค์การเภสัช ขนาด 120 ml</t>
        </is>
      </c>
      <c r="F25" s="2" t="inlineStr">
        <is>
          <t>Cofeed (Diphenhydramine and ammonium chloride)</t>
        </is>
      </c>
      <c r="G25" s="2" t="inlineStr">
        <is>
          <t>Terco-D (Dextromethorphan and terpin hydrate)</t>
        </is>
      </c>
      <c r="H25" s="2" t="inlineStr">
        <is>
          <t>Godipect (Codeine phosphate and glycerylguaicolate)</t>
        </is>
      </c>
      <c r="I25" s="2" t="n">
        <v>1</v>
      </c>
      <c r="J25" s="2"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พ.ร.บ. ยา พ.ศ. 2510</t>
        </is>
      </c>
      <c r="M25" s="2" t="inlineStr">
        <is>
          <t>SAP</t>
        </is>
      </c>
      <c r="N25" s="2" t="inlineStr">
        <is>
          <t>ข้อ 28 Pharma Plus เล่มม่วง (เฉลยข้อ ก ค ง)</t>
        </is>
      </c>
      <c r="O25" s="2" t="inlineStr">
        <is>
          <t>Mock</t>
        </is>
      </c>
      <c r="P25" s="2" t="inlineStr">
        <is>
          <t>Pharma Plus เล่มม่วง</t>
        </is>
      </c>
    </row>
    <row r="26" ht="13.2" customHeight="1" s="49">
      <c r="A26" s="2" t="n">
        <v>29</v>
      </c>
      <c r="B26" s="2" t="inlineStr">
        <is>
          <t>ตาม พ.ร.บ.ยา พ.ศ. 2510 ยารับประทานคุมกำเนิดอยู่ในข้อใด
ยารับประทานคุมกำเนิดอยู่ในข้อใด</t>
        </is>
      </c>
      <c r="C26" s="2" t="n"/>
      <c r="D26" s="2" t="inlineStr">
        <is>
          <t>ยาที่จ่ายตามใบสั่งแพทย์เท่านั้น</t>
        </is>
      </c>
      <c r="E26" s="2" t="inlineStr">
        <is>
          <t>ยาที่จ่ายได้โดยเภสัชกร</t>
        </is>
      </c>
      <c r="F26" s="2" t="inlineStr">
        <is>
          <t>ยาที่จ่ายได้ในร้านยาแผนปัจจุบันบรรจุเสร็จ</t>
        </is>
      </c>
      <c r="G26" s="2" t="inlineStr">
        <is>
          <t>ยาประเภท over the counter (OTC)</t>
        </is>
      </c>
      <c r="H26" s="2" t="inlineStr">
        <is>
          <t>ยาควบคุมพิเศษ</t>
        </is>
      </c>
      <c r="I26" s="2" t="n">
        <v>2</v>
      </c>
      <c r="J26" s="2"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พ.ร.บ. ยา พ.ศ. 2510</t>
        </is>
      </c>
      <c r="M26" s="2" t="inlineStr">
        <is>
          <t>SAP</t>
        </is>
      </c>
      <c r="N26" s="2" t="inlineStr">
        <is>
          <t>ข้อ 29 Pharma Plus เล่มม่วง (เฉลยข้อ ข ค)</t>
        </is>
      </c>
      <c r="O26" s="2" t="inlineStr">
        <is>
          <t>Mock</t>
        </is>
      </c>
      <c r="P26" s="2" t="inlineStr">
        <is>
          <t>Pharma Plus เล่มม่วง</t>
        </is>
      </c>
    </row>
    <row r="27" ht="13.2" customHeight="1" s="49">
      <c r="A27" s="2" t="n">
        <v>32</v>
      </c>
      <c r="B27" s="2"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2" t="n"/>
      <c r="D27" s="2" t="inlineStr">
        <is>
          <t>ชื่อยา</t>
        </is>
      </c>
      <c r="E27" s="2" t="inlineStr">
        <is>
          <t>สารออกฤทธิ์</t>
        </is>
      </c>
      <c r="F27" s="2" t="inlineStr">
        <is>
          <t>ที่ตั้งสถานที่ผลิตยา</t>
        </is>
      </c>
      <c r="G27" s="2" t="inlineStr">
        <is>
          <t>วันเดือนปีที่ยาสิ้นอายุ</t>
        </is>
      </c>
      <c r="H27" s="2" t="inlineStr">
        <is>
          <t>เลขที่ทะเบียนโฆษณายา</t>
        </is>
      </c>
      <c r="I27" s="2" t="n">
        <v>5</v>
      </c>
      <c r="J27" s="2"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พ.ร.บ. ยา พ.ศ. 2510</t>
        </is>
      </c>
      <c r="M27" s="2" t="inlineStr">
        <is>
          <t>SAP</t>
        </is>
      </c>
      <c r="N27" s="2" t="inlineStr">
        <is>
          <t>ข้อ 32 Pharma Plus เล่มม่วง (เฉลยข้อ จ)</t>
        </is>
      </c>
      <c r="O27" s="2" t="inlineStr">
        <is>
          <t>Mock</t>
        </is>
      </c>
      <c r="P27" s="2" t="inlineStr">
        <is>
          <t>Pharma Plus เล่มม่วง</t>
        </is>
      </c>
    </row>
    <row r="28" ht="13.2" customHeight="1" s="49">
      <c r="A28" s="2" t="n">
        <v>33</v>
      </c>
      <c r="B28" s="2"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2" t="n"/>
      <c r="D28" s="2" t="inlineStr">
        <is>
          <t>ยาปลอม</t>
        </is>
      </c>
      <c r="E28" s="2" t="inlineStr">
        <is>
          <t>ยาแปรสภาพ</t>
        </is>
      </c>
      <c r="F28" s="2" t="inlineStr">
        <is>
          <t>ยาผิดมาตรฐาน</t>
        </is>
      </c>
      <c r="G28" s="2" t="inlineStr">
        <is>
          <t>ยาเสื่อมคุณภาพ</t>
        </is>
      </c>
      <c r="H28" s="2" t="inlineStr">
        <is>
          <t>ยาเทียม</t>
        </is>
      </c>
      <c r="I28" s="2" t="n">
        <v>3</v>
      </c>
      <c r="J28" s="2"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พ.ร.บ. ยา พ.ศ. 2510</t>
        </is>
      </c>
      <c r="M28" s="2" t="inlineStr">
        <is>
          <t>SAP</t>
        </is>
      </c>
      <c r="N28" s="2" t="inlineStr">
        <is>
          <t>ข้อ 33 Pharma Plus เล่มม่วง (เฉลยข้อ ค)</t>
        </is>
      </c>
      <c r="O28" s="2" t="inlineStr">
        <is>
          <t>Mock</t>
        </is>
      </c>
      <c r="P28" s="2" t="inlineStr">
        <is>
          <t>Pharma Plus เล่มม่วง</t>
        </is>
      </c>
    </row>
    <row r="29" ht="13.2" customHeight="1" s="49">
      <c r="A29" s="2" t="n">
        <v>34</v>
      </c>
      <c r="B29" s="2" t="inlineStr">
        <is>
          <t>หากเภสัชกรยังไม่ได้เป็นผู้ประกอบวิชาชีพเภสัชกรรม ข้อใดกล่าวถูกต้อง</t>
        </is>
      </c>
      <c r="C29" s="2" t="n"/>
      <c r="D29" s="2" t="inlineStr">
        <is>
          <t>เขาจะไม่สามารถพัฒนาตำรับ triamcinolone lotion นี้ขึ้นมาได้</t>
        </is>
      </c>
      <c r="E29" s="2" t="inlineStr">
        <is>
          <t>เขาจะไม่สามารถเป็นเจ้าของโรงงานผลิต triamcinolone lotion นี้ขึ้นมาได้</t>
        </is>
      </c>
      <c r="F29" s="2" t="inlineStr">
        <is>
          <t>เขาจะไม่สามารถระบุชื่อว่าเป็นผู้พัฒนา triamcinolone lotion ตำรับได้</t>
        </is>
      </c>
      <c r="G29" s="2" t="inlineStr">
        <is>
          <t>เขาจะไม่สามารถทำหน้าที่เป็นเภสัชกรควบคุมการผลิต triamcinolone lotion นี้ขึ้นมาได้</t>
        </is>
      </c>
      <c r="H29" s="2" t="inlineStr">
        <is>
          <t>เขาจะไม่สามารถทำหน้าที่เป็นผู้เดินเรื่องขึ้นทะเบียนตำรับนี้</t>
        </is>
      </c>
      <c r="I29" s="2" t="n">
        <v>4</v>
      </c>
      <c r="J29" s="2"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พ.ร.บ. ยา พ.ศ. 2510</t>
        </is>
      </c>
      <c r="M29" s="2" t="inlineStr">
        <is>
          <t>SAP</t>
        </is>
      </c>
      <c r="N29" s="2" t="inlineStr">
        <is>
          <t>ข้อ 34 Pharma Plus เล่มม่วง (เฉลยข้อ ง)</t>
        </is>
      </c>
      <c r="O29" s="2" t="inlineStr">
        <is>
          <t>Mock</t>
        </is>
      </c>
      <c r="P29" s="2" t="inlineStr">
        <is>
          <t>Pharma Plus เล่มม่วง</t>
        </is>
      </c>
    </row>
    <row r="30" ht="13.2" customHeight="1" s="49">
      <c r="A30" s="2" t="n">
        <v>35</v>
      </c>
      <c r="B30" s="2" t="inlineStr">
        <is>
          <t>เจ้าของโรงงานผลิต triamcinolone cream 0.1% จำหน่ายในขนาดบรรจุ 15 g จัดเป็นยาพวกใด</t>
        </is>
      </c>
      <c r="C30" s="2" t="n"/>
      <c r="D30" s="2" t="inlineStr">
        <is>
          <t>ยาอันตราย</t>
        </is>
      </c>
      <c r="E30" s="2" t="inlineStr">
        <is>
          <t>ยาควบคุมพิเศษ</t>
        </is>
      </c>
      <c r="F30" s="2" t="inlineStr">
        <is>
          <t>ยาสามัญประจำบ้าน</t>
        </is>
      </c>
      <c r="G30" s="2" t="inlineStr">
        <is>
          <t>ยาแผนปัจจุบันบรรจุเสร็จ</t>
        </is>
      </c>
      <c r="H30" s="2" t="inlineStr">
        <is>
          <t>ยาใช้ภายนอกที่ไม่ใช่ยาอันตราย</t>
        </is>
      </c>
      <c r="I30" s="2" t="n">
        <v>1</v>
      </c>
      <c r="J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พ.ร.บ. ยา พ.ศ. 2510</t>
        </is>
      </c>
      <c r="M30" s="2" t="inlineStr">
        <is>
          <t>SAP</t>
        </is>
      </c>
      <c r="N30" s="2" t="inlineStr">
        <is>
          <t>ข้อ 35 Pharma Plus เล่มม่วง (เฉลยข้อ ก)</t>
        </is>
      </c>
      <c r="O30" s="2" t="inlineStr">
        <is>
          <t>Mock</t>
        </is>
      </c>
      <c r="P30" s="2" t="inlineStr">
        <is>
          <t>Pharma Plus เล่มม่วง</t>
        </is>
      </c>
    </row>
    <row r="31" ht="13.2" customHeight="1" s="49">
      <c r="A31" s="2" t="n">
        <v>36</v>
      </c>
      <c r="B31" s="2" t="inlineStr">
        <is>
          <t>ยาตาข้อใดต่อไปนี้ เป็นยาสามัญประจำบ้าน</t>
        </is>
      </c>
      <c r="C31" s="2" t="n"/>
      <c r="D31" s="2" t="inlineStr">
        <is>
          <t>Diclofenac ED</t>
        </is>
      </c>
      <c r="E31" s="2" t="inlineStr">
        <is>
          <t>Chloramphenicol eye ointment</t>
        </is>
      </c>
      <c r="F31" s="2" t="inlineStr">
        <is>
          <t>Timolol ED</t>
        </is>
      </c>
      <c r="G31" s="2" t="inlineStr">
        <is>
          <t>Dexamethasone ED</t>
        </is>
      </c>
      <c r="H31" s="2" t="inlineStr">
        <is>
          <t>Tetracycline eye ointment</t>
        </is>
      </c>
      <c r="I31" s="2" t="n">
        <v>1</v>
      </c>
      <c r="J31" s="2"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พ.ร.บ. ยา พ.ศ. 2510</t>
        </is>
      </c>
      <c r="M31" s="2" t="inlineStr">
        <is>
          <t>SAP</t>
        </is>
      </c>
      <c r="N31" s="2" t="inlineStr">
        <is>
          <t>ข้อ 36 Pharma Plus เล่มม่วง (เฉลยข้อ ไมมีคำตอบ)</t>
        </is>
      </c>
      <c r="O31" s="2" t="inlineStr">
        <is>
          <t>Mock</t>
        </is>
      </c>
      <c r="P31" s="2" t="inlineStr">
        <is>
          <t>Pharma Plus เล่มม่วง</t>
        </is>
      </c>
    </row>
    <row r="32" ht="13.2" customHeight="1" s="49">
      <c r="A32" s="2" t="n">
        <v>37</v>
      </c>
      <c r="B32" s="2"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2" t="n"/>
      <c r="D32" s="2" t="inlineStr">
        <is>
          <t>ยาปลอม</t>
        </is>
      </c>
      <c r="E32" s="2" t="inlineStr">
        <is>
          <t>ยาสิ้นอายุ</t>
        </is>
      </c>
      <c r="F32" s="2" t="inlineStr">
        <is>
          <t>ยาเสื่อมคุณภาพ</t>
        </is>
      </c>
      <c r="G32" s="2" t="inlineStr">
        <is>
          <t>ยาผิดมาตรฐาน</t>
        </is>
      </c>
      <c r="H32" s="2" t="inlineStr">
        <is>
          <t>ยาต่ำกว่ามาตรฐาน</t>
        </is>
      </c>
      <c r="I32" s="2" t="n">
        <v>1</v>
      </c>
      <c r="J32"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พ.ร.บ. ยา พ.ศ. 2510</t>
        </is>
      </c>
      <c r="M32" s="2" t="inlineStr">
        <is>
          <t>SAP</t>
        </is>
      </c>
      <c r="N32" s="2" t="inlineStr">
        <is>
          <t>ข้อ 37 Pharma Plus เล่มม่วง (เฉลยข้อ ก)</t>
        </is>
      </c>
      <c r="O32" s="2" t="inlineStr">
        <is>
          <t>Mock</t>
        </is>
      </c>
      <c r="P32" s="2" t="inlineStr">
        <is>
          <t>Pharma Plus เล่มม่วง</t>
        </is>
      </c>
    </row>
    <row r="33" ht="13.2" customHeight="1" s="49">
      <c r="A33" s="2" t="n">
        <v>38</v>
      </c>
      <c r="B33" s="2" t="inlineStr">
        <is>
          <t>ยาในข้อใดที่เภสัชกรสามารถจ่ายได้เมื่อได้รับใบสั่งยาจากแพทย์เท่านั้น</t>
        </is>
      </c>
      <c r="C33" s="2" t="n"/>
      <c r="D33" s="2" t="inlineStr">
        <is>
          <t>Celecoxib</t>
        </is>
      </c>
      <c r="E33" s="2" t="inlineStr">
        <is>
          <t>Tramadol</t>
        </is>
      </c>
      <c r="F33" s="2" t="inlineStr">
        <is>
          <t>Meloxicam</t>
        </is>
      </c>
      <c r="G33" s="2" t="inlineStr">
        <is>
          <t>Prednisolone</t>
        </is>
      </c>
      <c r="H33" s="2" t="inlineStr">
        <is>
          <t>Indomethacin</t>
        </is>
      </c>
      <c r="I33" s="2" t="n">
        <v>4</v>
      </c>
      <c r="J33" s="2"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พ.ร.บ. ยา พ.ศ. 2510</t>
        </is>
      </c>
      <c r="M33" s="2" t="inlineStr">
        <is>
          <t>SAP</t>
        </is>
      </c>
      <c r="N33" s="2" t="inlineStr">
        <is>
          <t>ข้อ 38 Pharma Plus เล่มม่วง (เฉลยข้อ ง)</t>
        </is>
      </c>
      <c r="O33" s="2" t="inlineStr">
        <is>
          <t>Mock</t>
        </is>
      </c>
      <c r="P33" s="2" t="inlineStr">
        <is>
          <t>Pharma Plus เล่มม่วง</t>
        </is>
      </c>
    </row>
    <row r="34" ht="13.2" customHeight="1" s="49">
      <c r="A34" s="2" t="n">
        <v>39</v>
      </c>
      <c r="B34" s="2" t="inlineStr">
        <is>
          <t>ถ้าเภสัชกรจ่ายยาในข้อ 38 โดยไม่มีใบสั่งแพทย์จะมีความผิดในข้อใด</t>
        </is>
      </c>
      <c r="C34" s="2" t="n"/>
      <c r="D34" s="2" t="inlineStr">
        <is>
          <t>จ่ายยาควบคุมพิเศษโดยไม่มีใบสั่งยา</t>
        </is>
      </c>
      <c r="E34" s="2" t="inlineStr">
        <is>
          <t>จ่ายยาอันตรายโดยไม่มีใบสั่งยา</t>
        </is>
      </c>
      <c r="F34" s="2" t="inlineStr">
        <is>
          <t>จ่ายยาประเภทวัตถุออกฤทธิ์ต่อจิตประสาทโดยไม่มีใบสั่งยา</t>
        </is>
      </c>
      <c r="G34" s="2" t="inlineStr">
        <is>
          <t>จ่ายยาประเภทยาเสพติดให้โทษประเภท 2 โดยไม่มีใบสั่งยา</t>
        </is>
      </c>
      <c r="H34" s="2" t="inlineStr">
        <is>
          <t>จ่ายยาประเภทยาเสพติดให้โทษประเภท 3 โดยไม่มีใบสั่งยา</t>
        </is>
      </c>
      <c r="I34" s="2" t="n">
        <v>1</v>
      </c>
      <c r="J34" s="2"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พ.ร.บ. ยาเสพติดให้โทษ &amp; วัตถุออกฤทธิ์</t>
        </is>
      </c>
      <c r="M34" s="2" t="inlineStr">
        <is>
          <t>SAP</t>
        </is>
      </c>
      <c r="N34" s="2" t="inlineStr">
        <is>
          <t>ข้อ 39 Pharma Plus เล่มม่วง (เฉลยข้อ ก)</t>
        </is>
      </c>
      <c r="O34" s="2" t="inlineStr">
        <is>
          <t>Mock</t>
        </is>
      </c>
      <c r="P34" s="2" t="inlineStr">
        <is>
          <t>Pharma Plus เล่มม่วง</t>
        </is>
      </c>
    </row>
    <row r="35" ht="13.2" customHeight="1" s="49">
      <c r="A35" s="2" t="n">
        <v>46</v>
      </c>
      <c r="B35" s="2" t="inlineStr">
        <is>
          <t>ผงน้ำตาลเกลือแร่จัดเป็นยาประเภทใด</t>
        </is>
      </c>
      <c r="C35" s="2" t="n"/>
      <c r="D35" s="2" t="inlineStr">
        <is>
          <t>ยาบรรจุเสร็จที่ไม่ใช่ยาอันตราย</t>
        </is>
      </c>
      <c r="E35" s="2" t="inlineStr">
        <is>
          <t>ยาสามัญประจำบ้าน</t>
        </is>
      </c>
      <c r="F35" s="2" t="inlineStr">
        <is>
          <t>ยาอันตราย</t>
        </is>
      </c>
      <c r="G35" s="2" t="inlineStr">
        <is>
          <t>ยาควบคุมพิเศษ</t>
        </is>
      </c>
      <c r="H35" s="2" t="inlineStr">
        <is>
          <t>ยาแผนโบราณ</t>
        </is>
      </c>
      <c r="I35" s="2" t="n">
        <v>2</v>
      </c>
      <c r="J35" s="2"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พ.ร.บ. ยา พ.ศ. 2510</t>
        </is>
      </c>
      <c r="M35" s="2" t="inlineStr">
        <is>
          <t>SAP</t>
        </is>
      </c>
      <c r="N35" s="2" t="inlineStr">
        <is>
          <t>ข้อ 46 Pharma Plus เล่มม่วง (เฉลยข้อ ข)</t>
        </is>
      </c>
      <c r="O35" s="2" t="inlineStr">
        <is>
          <t>Mock</t>
        </is>
      </c>
      <c r="P35" s="2" t="inlineStr">
        <is>
          <t>Pharma Plus เล่มม่วง</t>
        </is>
      </c>
    </row>
    <row r="36" ht="13.2" customHeight="1" s="49">
      <c r="A36" s="2" t="n">
        <v>47</v>
      </c>
      <c r="B36" s="2" t="inlineStr">
        <is>
          <t>ตารางแสดงการเกิด MI ในผู้ป่วยที่ใช้ยา atorvastatin และ simvastatin
ข้อใดถูก</t>
        </is>
      </c>
      <c r="C36" s="2" t="n"/>
      <c r="D36" s="2" t="inlineStr">
        <is>
          <t>เป็นประชากรที่เกิด MI ทั้งเก่าและใหม่</t>
        </is>
      </c>
      <c r="E36" s="2" t="inlineStr">
        <is>
          <t>Atorvastatin เกิด MI ต่ำกว่า simvastatin</t>
        </is>
      </c>
      <c r="F36" s="2" t="inlineStr">
        <is>
          <t>Simvastatin ลดการเกิด MI ก่อนถึง 100 ปี</t>
        </is>
      </c>
      <c r="G36" s="2" t="inlineStr">
        <is>
          <t>Simvastatin เกิด MI ต่ำกว่า atorvastatin</t>
        </is>
      </c>
      <c r="H36" s="2" t="inlineStr">
        <is>
          <t>ไม่มีข้อใดถูก</t>
        </is>
      </c>
      <c r="I36" s="2" t="n">
        <v>2</v>
      </c>
      <c r="J36" s="2"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พ.ร.บ. ยา พ.ศ. 2510</t>
        </is>
      </c>
      <c r="M36" s="2" t="inlineStr">
        <is>
          <t>SAP</t>
        </is>
      </c>
      <c r="N36" s="2" t="inlineStr">
        <is>
          <t>ข้อ 47 Pharma Plus เล่มม่วง (เฉลยข้อ ข)</t>
        </is>
      </c>
      <c r="O36" s="2" t="inlineStr">
        <is>
          <t>Mock</t>
        </is>
      </c>
      <c r="P36" s="2" t="inlineStr">
        <is>
          <t>Pharma Plus เล่มม่วง</t>
        </is>
      </c>
    </row>
    <row r="37" ht="13.2" customHeight="1" s="49">
      <c r="A37" s="2" t="n">
        <v>48</v>
      </c>
      <c r="B37" s="2"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2" t="n"/>
      <c r="D37" s="2" t="inlineStr">
        <is>
          <t>ลิขสิทธิ์</t>
        </is>
      </c>
      <c r="E37" s="2" t="inlineStr">
        <is>
          <t>เครื่องหมายการค้า</t>
        </is>
      </c>
      <c r="F37" s="2" t="inlineStr">
        <is>
          <t>สิทธิบัตร</t>
        </is>
      </c>
      <c r="G37" s="2" t="inlineStr">
        <is>
          <t>ความลับทางการค้า</t>
        </is>
      </c>
      <c r="H37" s="2" t="inlineStr">
        <is>
          <t>สิทธิเหนือสิทธิบัตร</t>
        </is>
      </c>
      <c r="I37" s="2" t="n">
        <v>3</v>
      </c>
      <c r="J37" s="2"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พ.ร.บ. ยา พ.ศ. 2510</t>
        </is>
      </c>
      <c r="M37" s="2" t="inlineStr">
        <is>
          <t>SAP</t>
        </is>
      </c>
      <c r="N37" s="2" t="inlineStr">
        <is>
          <t>ข้อ 48 Pharma Plus เล่มม่วง (เฉลยข้อ ค)</t>
        </is>
      </c>
      <c r="O37" s="2" t="inlineStr">
        <is>
          <t>Mock</t>
        </is>
      </c>
      <c r="P37" s="2" t="inlineStr">
        <is>
          <t>Pharma Plus เล่มม่วง</t>
        </is>
      </c>
    </row>
    <row r="38" ht="13.2" customHeight="1" s="49">
      <c r="A38" s="2" t="n">
        <v>49</v>
      </c>
      <c r="B38" s="2" t="inlineStr">
        <is>
          <t>ข้อใดคือยาผิดมาตรฐาน</t>
        </is>
      </c>
      <c r="C38" s="2" t="n"/>
      <c r="D38" s="2" t="inlineStr">
        <is>
          <t>ผสม cotrimazole ร่วมกับ terbinafine เพื่อลดต้นทุน</t>
        </is>
      </c>
      <c r="E38" s="2" t="inlineStr">
        <is>
          <t>ในฉลากระบุวันหมดอายุ คือ มกราคม 2009 แต่ความจริงหมดอายุเมื่อ มกราคม 2019</t>
        </is>
      </c>
      <c r="F38" s="2" t="inlineStr">
        <is>
          <t>ยามี %LA = 87%</t>
        </is>
      </c>
      <c r="G38" s="2" t="inlineStr">
        <is>
          <t>ยาหมดอายุตามที่ระบุไว้ในฉลาก</t>
        </is>
      </c>
      <c r="H38" s="2" t="inlineStr">
        <is>
          <t>แจ้งที่อยู่ในการผลิต ไม่ตรงกับที่ขึ้นทะเบียนยา</t>
        </is>
      </c>
      <c r="I38" s="2" t="n">
        <v>3</v>
      </c>
      <c r="J38"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พ.ร.บ. ยา พ.ศ. 2510</t>
        </is>
      </c>
      <c r="M38" s="2" t="inlineStr">
        <is>
          <t>SAP</t>
        </is>
      </c>
      <c r="N38" s="2" t="inlineStr">
        <is>
          <t>ข้อ 49 Pharma Plus เล่มม่วง (เฉลยข้อ ค)</t>
        </is>
      </c>
      <c r="O38" s="2" t="inlineStr">
        <is>
          <t>Mock</t>
        </is>
      </c>
      <c r="P38" s="2" t="inlineStr">
        <is>
          <t>Pharma Plus เล่มม่วง</t>
        </is>
      </c>
    </row>
    <row r="39" ht="13.2" customHeight="1" s="49">
      <c r="A39" s="2" t="n">
        <v>50</v>
      </c>
      <c r="B39" s="2" t="inlineStr">
        <is>
          <t>Norfloxacin จัดอยู่ในบัญชียาหลักแห่งชาติบัญชีอะไร</t>
        </is>
      </c>
      <c r="C39" s="2" t="n"/>
      <c r="D39" s="2" t="inlineStr">
        <is>
          <t>บัญชี ก</t>
        </is>
      </c>
      <c r="E39" s="2" t="inlineStr">
        <is>
          <t>บัญชี ข</t>
        </is>
      </c>
      <c r="F39" s="2" t="inlineStr">
        <is>
          <t>บัญชี ค</t>
        </is>
      </c>
      <c r="G39" s="2" t="inlineStr">
        <is>
          <t>บัญชี ง</t>
        </is>
      </c>
      <c r="H39" s="2" t="inlineStr">
        <is>
          <t>บัญชี จ</t>
        </is>
      </c>
      <c r="I39" s="2" t="n">
        <v>1</v>
      </c>
      <c r="J39" s="2"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พ.ร.บ. ยา พ.ศ. 2510</t>
        </is>
      </c>
      <c r="M39" s="2" t="inlineStr">
        <is>
          <t>SAP</t>
        </is>
      </c>
      <c r="N39" s="2" t="inlineStr">
        <is>
          <t>ข้อ 50 Pharma Plus เล่มม่วง (เฉลยข้อ ก)</t>
        </is>
      </c>
      <c r="O39" s="2" t="inlineStr">
        <is>
          <t>Mock</t>
        </is>
      </c>
      <c r="P39" s="2" t="inlineStr">
        <is>
          <t>Pharma Plus เล่มม่วง</t>
        </is>
      </c>
    </row>
    <row r="40" ht="13.2" customHeight="1" s="49">
      <c r="A40" s="2" t="n">
        <v>51</v>
      </c>
      <c r="B40" s="2" t="inlineStr">
        <is>
          <t>บัญชียา ก หมายถึง</t>
        </is>
      </c>
      <c r="C40" s="2" t="n"/>
      <c r="D40" s="2" t="inlineStr">
        <is>
          <t>รายการยาที่ต้องใช้โดยผู้เชี่ยวชาญ</t>
        </is>
      </c>
      <c r="E40" s="2" t="inlineStr">
        <is>
          <t>รายการยาที่จำเป็นต้องใช้ในสถานพยาบาลบางระดับ</t>
        </is>
      </c>
      <c r="F40" s="2" t="inlineStr">
        <is>
          <t>รายการยาสำหรับใช้เฉพาะโครงการพิเศษของกระทรวง</t>
        </is>
      </c>
      <c r="G40" s="2" t="inlineStr">
        <is>
          <t>รายการยาที่มีความจำเป็นสำหรับสถานพยาบาลทุกระดับ</t>
        </is>
      </c>
      <c r="H40" s="2"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2" t="n">
        <v>4</v>
      </c>
      <c r="J40"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พ.ร.บ. ยา พ.ศ. 2510</t>
        </is>
      </c>
      <c r="M40" s="2" t="inlineStr">
        <is>
          <t>SAP</t>
        </is>
      </c>
      <c r="N40" s="2" t="inlineStr">
        <is>
          <t>ข้อ 51 Pharma Plus เล่มม่วง (เฉลยข้อ ง)</t>
        </is>
      </c>
      <c r="O40" s="2" t="inlineStr">
        <is>
          <t>Mock</t>
        </is>
      </c>
      <c r="P40" s="2" t="inlineStr">
        <is>
          <t>Pharma Plus เล่มม่วง</t>
        </is>
      </c>
    </row>
    <row r="41" ht="13.2" customHeight="1" s="49">
      <c r="A41" s="2" t="n">
        <v>53</v>
      </c>
      <c r="B41" s="2"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2" t="n"/>
      <c r="D41" s="2" t="inlineStr">
        <is>
          <t>ได้ เนื่องจากได้รับอนุญาตขายยาแผนปัจจุบัน</t>
        </is>
      </c>
      <c r="E41" s="2" t="inlineStr">
        <is>
          <t>ได้ เนื่องจากเป็นยาบรรจุเสร็จที่ไม่ใช่ยาอันตรายหรือยาควบคุมพิเศษ</t>
        </is>
      </c>
      <c r="F41" s="2" t="inlineStr">
        <is>
          <t>ได้ เนื่องจากมีเภสัชกรประจำอยู่ตลอดเวลา</t>
        </is>
      </c>
      <c r="G41" s="2" t="inlineStr">
        <is>
          <t>ไม่ได้ เนื่องจากขายเฉพาะในสถานที่ที่ได้รับอนุญาตเท่านั้น</t>
        </is>
      </c>
      <c r="H41" s="2" t="inlineStr">
        <is>
          <t>ไม่ได้ เพราะไม่เห็นหน้าผู้ป่วย</t>
        </is>
      </c>
      <c r="I41" s="2" t="n">
        <v>4</v>
      </c>
      <c r="J41" s="2"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พ.ร.บ. ยา พ.ศ. 2510</t>
        </is>
      </c>
      <c r="M41" s="2" t="inlineStr">
        <is>
          <t>SAP</t>
        </is>
      </c>
      <c r="N41" s="2" t="inlineStr">
        <is>
          <t>ข้อ 53 Pharma Plus เล่มม่วง (เฉลยข้อ ง)</t>
        </is>
      </c>
      <c r="O41" s="2" t="inlineStr">
        <is>
          <t>Mock</t>
        </is>
      </c>
      <c r="P41" s="2" t="inlineStr">
        <is>
          <t>Pharma Plus เล่มม่วง</t>
        </is>
      </c>
    </row>
    <row r="42" ht="13.2" customHeight="1" s="49">
      <c r="A42" s="2" t="n">
        <v>54</v>
      </c>
      <c r="B42" s="2" t="inlineStr">
        <is>
          <t>ถ้าจะทำการทดลองผลของยา isotretinoin ต่อหญิงตั้งครรภ์ ข้อใดไม่ควรใช้</t>
        </is>
      </c>
      <c r="C42" s="2" t="n"/>
      <c r="D42" s="2" t="inlineStr">
        <is>
          <t>Case-control</t>
        </is>
      </c>
      <c r="E42" s="2" t="inlineStr">
        <is>
          <t>Cohort</t>
        </is>
      </c>
      <c r="F42" s="2" t="inlineStr">
        <is>
          <t>RCT</t>
        </is>
      </c>
      <c r="G42" s="2" t="inlineStr">
        <is>
          <t>ข้อ ก และ ข</t>
        </is>
      </c>
      <c r="H42" s="2" t="inlineStr">
        <is>
          <t>ข้อ ข และ ค</t>
        </is>
      </c>
      <c r="I42" s="2" t="n">
        <v>5</v>
      </c>
      <c r="J42" s="2"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พ.ร.บ. ยา พ.ศ. 2510</t>
        </is>
      </c>
      <c r="M42" s="2" t="inlineStr">
        <is>
          <t>SAP</t>
        </is>
      </c>
      <c r="N42" s="2" t="inlineStr">
        <is>
          <t>ข้อ 54 Pharma Plus เล่มม่วง (เฉลยข้อ จ)</t>
        </is>
      </c>
      <c r="O42" s="2" t="inlineStr">
        <is>
          <t>Mock</t>
        </is>
      </c>
      <c r="P42" s="2" t="inlineStr">
        <is>
          <t>Pharma Plus เล่มม่วง</t>
        </is>
      </c>
    </row>
    <row r="43" ht="13.2" customHeight="1" s="49">
      <c r="A43" s="2" t="n">
        <v>57</v>
      </c>
      <c r="B43" s="2"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2" t="n"/>
      <c r="D43" s="2" t="inlineStr">
        <is>
          <t>ผู้หญิงมีพฤติกรรมการให้ความร่วมมือในการใช้ยาดีกว่าผู้ชาย</t>
        </is>
      </c>
      <c r="E43" s="2"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2" t="inlineStr">
        <is>
          <t>ผู้ป่วยสูงอายุมีพฤติกรรมให้ความร่วมมือในการใช้ยาไม่เท่ากับผู้ป่วยวัยกลางคน</t>
        </is>
      </c>
      <c r="G43" s="2" t="inlineStr">
        <is>
          <t>คนมีการศึกษาสูงให้ความร่วมมือในการใช้ยากกว่าคนที่มีการศึกษาต่ำ</t>
        </is>
      </c>
      <c r="H43" s="2" t="inlineStr">
        <is>
          <t>การให้ยาน้ำ (ถ้าทำได้) จะทำให้ผู้ป่วยมีความร่วมมือในการใช้ยากกว่าการใช้ยาเม็ด</t>
        </is>
      </c>
      <c r="I43" s="2" t="n">
        <v>2</v>
      </c>
      <c r="J43" s="2"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พ.ร.บ. ยา พ.ศ. 2510</t>
        </is>
      </c>
      <c r="M43" s="2" t="inlineStr">
        <is>
          <t>SAP</t>
        </is>
      </c>
      <c r="N43" s="2" t="inlineStr">
        <is>
          <t>ข้อ 57 Pharma Plus เล่มม่วง (เฉลยข้อ ข)</t>
        </is>
      </c>
      <c r="O43" s="2" t="inlineStr">
        <is>
          <t>Mock</t>
        </is>
      </c>
      <c r="P43" s="2" t="inlineStr">
        <is>
          <t>Pharma Plus เล่มม่วง</t>
        </is>
      </c>
    </row>
    <row r="44" ht="13.2" customHeight="1" s="49">
      <c r="A44" s="2" t="n">
        <v>58</v>
      </c>
      <c r="B44" s="2"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2" t="n"/>
      <c r="D44" s="2" t="inlineStr">
        <is>
          <t>จัดซื้อด้วยเงินงบประมาณเท่านั้น</t>
        </is>
      </c>
      <c r="E44" s="2" t="inlineStr">
        <is>
          <t>จัดซื้อด้วยวิธีกรณีพิเศษจากองค์การเภสัชกรรมถ้าวงเงินเกิน 50,000บาท</t>
        </is>
      </c>
      <c r="F44" s="2" t="inlineStr">
        <is>
          <t>จัดซื้อโดยวิธีตกลงราคาจากองค์การเภสัชกรรมเท่านั้น ไม่จำกัดวงเงิน</t>
        </is>
      </c>
      <c r="G44" s="2" t="inlineStr">
        <is>
          <t>จัดซื้อโดยวิธีตกลงราคาจากบริษัทใดก็ได้ถ้าวงเงินไม่เกิน 50,000 บาท</t>
        </is>
      </c>
      <c r="H44" s="2" t="inlineStr">
        <is>
          <t>จัดซื้อด้วยวิธีกรณีพิเศษจากองค์การเภสัชกรรม ไม่จำกัดวงเงิน</t>
        </is>
      </c>
      <c r="I44" s="2" t="n">
        <v>5</v>
      </c>
      <c r="J44" s="2"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พ.ร.บ. ยา พ.ศ. 2510</t>
        </is>
      </c>
      <c r="M44" s="2" t="inlineStr">
        <is>
          <t>SAP</t>
        </is>
      </c>
      <c r="N44" s="2" t="inlineStr">
        <is>
          <t>ข้อ 58 Pharma Plus เล่มม่วง (เฉลยข้อ จ)</t>
        </is>
      </c>
      <c r="O44" s="2" t="inlineStr">
        <is>
          <t>Mock</t>
        </is>
      </c>
      <c r="P44" s="2" t="inlineStr">
        <is>
          <t>Pharma Plus เล่มม่วง</t>
        </is>
      </c>
    </row>
    <row r="45" ht="13.2" customHeight="1" s="49">
      <c r="A45" s="2" t="n">
        <v>60</v>
      </c>
      <c r="B45" s="2" t="inlineStr">
        <is>
          <t>Propylthiouracil จัดอยู่ในบัญชี ก ตามบัญชียาหลักแห่งชาติ 2542 ยาที่อยู่ในบัญชี ก หมายถึงข้อใด</t>
        </is>
      </c>
      <c r="C45" s="2" t="n"/>
      <c r="D45" s="2" t="inlineStr">
        <is>
          <t>รายการยาที่ต้องใช้โดยผู้เชี่ยวชาญ</t>
        </is>
      </c>
      <c r="E45" s="2" t="inlineStr">
        <is>
          <t>รายการยาที่จำเป็นต้องใช้ในสถานพยาบาลบางระดับ</t>
        </is>
      </c>
      <c r="F45" s="2" t="inlineStr">
        <is>
          <t>รายการยาสำหรับใช้เฉพาะโครงการพิเศษของกระทรวง</t>
        </is>
      </c>
      <c r="G45" s="2" t="inlineStr">
        <is>
          <t>รายการยาที่มีความจำเป็นสำหรับสถานพยาบาลทุกระดับ</t>
        </is>
      </c>
      <c r="H45" s="2"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2" t="n">
        <v>4</v>
      </c>
      <c r="J45" s="2"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พ.ร.บ. ยา พ.ศ. 2510</t>
        </is>
      </c>
      <c r="M45" s="2" t="inlineStr">
        <is>
          <t>SAP</t>
        </is>
      </c>
      <c r="N45" s="2" t="inlineStr">
        <is>
          <t>ข้อ 60 Pharma Plus เล่มม่วง (เฉลยข้อ ง)</t>
        </is>
      </c>
      <c r="O45" s="2" t="inlineStr">
        <is>
          <t>Mock</t>
        </is>
      </c>
      <c r="P45" s="2" t="inlineStr">
        <is>
          <t>Pharma Plus เล่มม่วง</t>
        </is>
      </c>
    </row>
    <row r="46" ht="13.2" customHeight="1" s="49">
      <c r="A46" s="2" t="n">
        <v>61</v>
      </c>
      <c r="B46" s="2"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2" t="n"/>
      <c r="D46" s="2" t="inlineStr">
        <is>
          <t>ยานี้ผลิตในประเทศไทย ได้รับอนุญาตทะเบียนยาในปี พ.ศ. 2557</t>
        </is>
      </c>
      <c r="E46" s="2" t="inlineStr">
        <is>
          <t>ยานี้ผลิตในประเทศไทย เมื่อวันที่ 8 ก.พ. 2557</t>
        </is>
      </c>
      <c r="F46" s="2" t="inlineStr">
        <is>
          <t>ยานี้ผลิตในประเทศไทยและหมดอายุในวันที่ 8 ก.พ. 2557</t>
        </is>
      </c>
      <c r="G46" s="2" t="inlineStr">
        <is>
          <t>ยานี้นำเข้ามาจากต่างประเทศ ได้รับอนุญาตทะเบียนยาในปี พ.ศ. 2557</t>
        </is>
      </c>
      <c r="H46" s="2" t="inlineStr">
        <is>
          <t>ยานี้นำเข้ามาจากต่างประเทศ และผลิตเมื่อวันที่ 8 ก.พ. 2557</t>
        </is>
      </c>
      <c r="I46" s="2" t="n">
        <v>4</v>
      </c>
      <c r="J46" s="2"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พ.ร.บ. ยา พ.ศ. 2510</t>
        </is>
      </c>
      <c r="M46" s="2" t="inlineStr">
        <is>
          <t>SAP</t>
        </is>
      </c>
      <c r="N46" s="2" t="inlineStr">
        <is>
          <t>ข้อ 61 Pharma Plus เล่มม่วง (เฉลยข้อ ง)</t>
        </is>
      </c>
      <c r="O46" s="2" t="inlineStr">
        <is>
          <t>Mock</t>
        </is>
      </c>
      <c r="P46" s="2" t="inlineStr">
        <is>
          <t>Pharma Plus เล่มม่วง</t>
        </is>
      </c>
    </row>
    <row r="47" ht="13.2" customHeight="1" s="49">
      <c r="A47" s="2" t="n">
        <v>62</v>
      </c>
      <c r="B47" s="2"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2" t="n"/>
      <c r="D47" s="2" t="inlineStr">
        <is>
          <t>1 ชนิด</t>
        </is>
      </c>
      <c r="E47" s="2" t="inlineStr">
        <is>
          <t>2 ชนิด</t>
        </is>
      </c>
      <c r="F47" s="2" t="inlineStr">
        <is>
          <t>3 ชนิด</t>
        </is>
      </c>
      <c r="G47" s="2" t="inlineStr">
        <is>
          <t>4 ชนิด</t>
        </is>
      </c>
      <c r="H47" s="2" t="inlineStr">
        <is>
          <t>5 ชนิด</t>
        </is>
      </c>
      <c r="I47" s="2" t="n">
        <v>1</v>
      </c>
      <c r="J47" s="2"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พ.ร.บ. ยา พ.ศ. 2510</t>
        </is>
      </c>
      <c r="M47" s="2" t="inlineStr">
        <is>
          <t>SAP</t>
        </is>
      </c>
      <c r="N47" s="2" t="inlineStr">
        <is>
          <t>ข้อ 62 Pharma Plus เล่มม่วง (เฉลยข้อ ก)</t>
        </is>
      </c>
      <c r="O47" s="2" t="inlineStr">
        <is>
          <t>Mock</t>
        </is>
      </c>
      <c r="P47" s="2" t="inlineStr">
        <is>
          <t>Pharma Plus เล่มม่วง</t>
        </is>
      </c>
    </row>
    <row r="48" ht="13.2" customHeight="1" s="49">
      <c r="A48" s="2" t="n">
        <v>69</v>
      </c>
      <c r="B48" s="2" t="inlineStr">
        <is>
          <t>ท่านควรอธิบายเกี่ยวกับยา ยารักษาสิว isotretinoin ที่ผู้ป่วยต้องการซื้ออย่างไร</t>
        </is>
      </c>
      <c r="C48" s="2" t="n"/>
      <c r="D48" s="2" t="inlineStr">
        <is>
          <t>ยานี้จัดเป็นยาควบคุมพิเศษตามกฎหมาย ต้องใช้ใบสั่งแพทย์ เภสัชกรไม่สามารถจ่ายเองได้</t>
        </is>
      </c>
      <c r="E48" s="2" t="inlineStr">
        <is>
          <t>ยานี้จัดเป็นยาควบคุมพิเศษตามกฎหมาย เภสัชกรจ่ายได้ ไม่ต้องใช้ใบสั่งแพทย์</t>
        </is>
      </c>
      <c r="F48" s="2" t="inlineStr">
        <is>
          <t>ยานี้จัดเป็นยาอันตราย เภสัชกรจ่ายได้ ไม่ต้องใช้ใบสั่งแพทย์</t>
        </is>
      </c>
      <c r="G48" s="2" t="inlineStr">
        <is>
          <t>ยานี้จัดเป็นยาอันตราย เภสัชกรสามารถจ่ายได้หากมีใบสั่งแพทย์</t>
        </is>
      </c>
      <c r="H48" s="2" t="inlineStr">
        <is>
          <t>ยานี้ไม่สามารถขายได้ในร้านยา ต้องซื้อจากคลินิกแพทย์หรือสถานพยาบาลเท่านั้น</t>
        </is>
      </c>
      <c r="I48" s="2" t="n">
        <v>5</v>
      </c>
      <c r="J48" s="2"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พ.ร.บ. ยา พ.ศ. 2510</t>
        </is>
      </c>
      <c r="M48" s="2" t="inlineStr">
        <is>
          <t>SAP</t>
        </is>
      </c>
      <c r="N48" s="2" t="inlineStr">
        <is>
          <t>ข้อ 69 Pharma Plus เล่มม่วง (เฉลยข้อ จ)</t>
        </is>
      </c>
      <c r="O48" s="2" t="inlineStr">
        <is>
          <t>Mock</t>
        </is>
      </c>
      <c r="P48" s="2" t="inlineStr">
        <is>
          <t>Pharma Plus เล่มม่วง</t>
        </is>
      </c>
    </row>
    <row r="49" ht="13.2" customHeight="1" s="49">
      <c r="A49" s="2" t="n">
        <v>70</v>
      </c>
      <c r="B49" s="2" t="inlineStr">
        <is>
          <t>Itraconazole เป็นยาประเภทใดตามกฎหมาย</t>
        </is>
      </c>
      <c r="C49" s="2" t="n"/>
      <c r="D49" s="2" t="inlineStr">
        <is>
          <t>ยาแผนปัจจุบันที่ไม่ใช่ยาอันตรายและยาควบคุมพิเศษ</t>
        </is>
      </c>
      <c r="E49" s="2" t="inlineStr">
        <is>
          <t>ยาอันตราย</t>
        </is>
      </c>
      <c r="F49" s="2" t="inlineStr">
        <is>
          <t>ยาสามัญประจำบ้าน</t>
        </is>
      </c>
      <c r="G49" s="2" t="inlineStr">
        <is>
          <t>ยาควบคุมพิเศษ</t>
        </is>
      </c>
      <c r="H49" s="2" t="inlineStr">
        <is>
          <t>ยาเสพติดให้โทษประเภทที่ 3</t>
        </is>
      </c>
      <c r="I49" s="2" t="n">
        <v>2</v>
      </c>
      <c r="J49" s="2"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พ.ร.บ. ยา พ.ศ. 2510</t>
        </is>
      </c>
      <c r="M49" s="2" t="inlineStr">
        <is>
          <t>SAP</t>
        </is>
      </c>
      <c r="N49" s="2" t="inlineStr">
        <is>
          <t>ข้อ 70 Pharma Plus เล่มม่วง (เฉลยข้อ ข)</t>
        </is>
      </c>
      <c r="O49" s="2" t="inlineStr">
        <is>
          <t>Mock</t>
        </is>
      </c>
      <c r="P49" s="2" t="inlineStr">
        <is>
          <t>Pharma Plus เล่มม่วง</t>
        </is>
      </c>
    </row>
    <row r="50" ht="13.2" customHeight="1" s="49">
      <c r="A50" s="2" t="n">
        <v>71</v>
      </c>
      <c r="B50" s="2" t="inlineStr">
        <is>
          <t>FBC ชื่อการค้าหนึ่ง มีเลขทะเบียน 2C039/46 ข้อใดผิด</t>
        </is>
      </c>
      <c r="C50" s="2" t="n"/>
      <c r="D50" s="2" t="inlineStr">
        <is>
          <t>ยาสำหรับมนุษย์</t>
        </is>
      </c>
      <c r="E50" s="2" t="inlineStr">
        <is>
          <t>ยาแบ่งบรรจุในประเทศ</t>
        </is>
      </c>
      <c r="F50" s="2" t="inlineStr">
        <is>
          <t>ยาขึ้นทะเบียนปี 2546</t>
        </is>
      </c>
      <c r="G50" s="2" t="inlineStr">
        <is>
          <t>ยานำเข้าจากต่างประเทศ</t>
        </is>
      </c>
      <c r="H50" s="2" t="inlineStr">
        <is>
          <t>ในปีที่ขึ้นทะเบียน ยานี้อยู่ในลำดับที่ 39</t>
        </is>
      </c>
      <c r="I50" s="2" t="n">
        <v>2</v>
      </c>
      <c r="J50" s="2"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พ.ร.บ. ยา พ.ศ. 2510</t>
        </is>
      </c>
      <c r="M50" s="2" t="inlineStr">
        <is>
          <t>SAP</t>
        </is>
      </c>
      <c r="N50" s="2" t="inlineStr">
        <is>
          <t>ข้อ 71 Pharma Plus เล่มม่วง (เฉลยข้อ ข)</t>
        </is>
      </c>
      <c r="O50" s="2" t="inlineStr">
        <is>
          <t>Mock</t>
        </is>
      </c>
      <c r="P50" s="2" t="inlineStr">
        <is>
          <t>Pharma Plus เล่มม่วง</t>
        </is>
      </c>
    </row>
    <row r="51" ht="13.2" customHeight="1" s="49">
      <c r="A51" s="2" t="n">
        <v>72</v>
      </c>
      <c r="B51" s="2"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2" t="n"/>
      <c r="D51" s="2" t="inlineStr">
        <is>
          <t>ยาผิดมาตรฐาน</t>
        </is>
      </c>
      <c r="E51" s="2" t="inlineStr">
        <is>
          <t>ยาปลอม</t>
        </is>
      </c>
      <c r="F51" s="2" t="inlineStr">
        <is>
          <t>ยาหมดอายุ</t>
        </is>
      </c>
      <c r="G51" s="2" t="inlineStr">
        <is>
          <t>ยาต้องห้าม</t>
        </is>
      </c>
      <c r="H51" s="2" t="inlineStr">
        <is>
          <t>ยาเสื่อมคุณภาพ</t>
        </is>
      </c>
      <c r="I51" s="2" t="n">
        <v>1</v>
      </c>
      <c r="J51" s="2"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พ.ร.บ. ยา พ.ศ. 2510</t>
        </is>
      </c>
      <c r="M51" s="2" t="inlineStr">
        <is>
          <t>SAP</t>
        </is>
      </c>
      <c r="N51" s="2" t="inlineStr">
        <is>
          <t>ข้อ 72 Pharma Plus เล่มม่วง (เฉลยข้อ ก)</t>
        </is>
      </c>
      <c r="O51" s="2" t="inlineStr">
        <is>
          <t>Mock</t>
        </is>
      </c>
      <c r="P51" s="2" t="inlineStr">
        <is>
          <t>Pharma Plus เล่มม่วง</t>
        </is>
      </c>
    </row>
    <row r="52" ht="13.2" customHeight="1" s="49">
      <c r="A52" s="2" t="n">
        <v>73</v>
      </c>
      <c r="B52" s="2" t="inlineStr">
        <is>
          <t>Lomotil® จัดเป็นยาประเภทใดตามกฎหมายและเภสัชกรสามารถจ่ายได้ในร้านยาหรือไม่</t>
        </is>
      </c>
      <c r="C52" s="2" t="n"/>
      <c r="D52" s="2" t="inlineStr">
        <is>
          <t>ยาอันตราย สามารถจ่ายในร้านยา ขย.1 ได้</t>
        </is>
      </c>
      <c r="E52" s="2" t="inlineStr">
        <is>
          <t>ยาแผนปัจจุบันบรรจุเสร็จ สามารถจ่ายในร้านยา ขย.1 และ ขย.2 ได้</t>
        </is>
      </c>
      <c r="F52" s="2" t="inlineStr">
        <is>
          <t>ยาสามัญประจำบ้าน สามารถจ่ายในร้านยา ขย.1 และขย.2 ได้</t>
        </is>
      </c>
      <c r="G52" s="2" t="inlineStr">
        <is>
          <t>ยาเสพติดให้โทษประเภทที่ 3 ห้ามจำหน่ายในร้านยา</t>
        </is>
      </c>
      <c r="H52" s="2" t="inlineStr">
        <is>
          <t>ยาเสพติดให้โทษประเภทที่ 3 สามารถจ่ายในร้านยา ขย.1 ได้ แต่ต้องมีใบอนุญาต</t>
        </is>
      </c>
      <c r="I52" s="2" t="n">
        <v>5</v>
      </c>
      <c r="J52" s="2"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พ.ร.บ. ยา พ.ศ. 2510</t>
        </is>
      </c>
      <c r="M52" s="2" t="inlineStr">
        <is>
          <t>SAP</t>
        </is>
      </c>
      <c r="N52" s="2" t="inlineStr">
        <is>
          <t>ข้อ 73 Pharma Plus เล่มม่วง (เฉลยข้อ จ)</t>
        </is>
      </c>
      <c r="O52" s="2" t="inlineStr">
        <is>
          <t>Mock</t>
        </is>
      </c>
      <c r="P52" s="2" t="inlineStr">
        <is>
          <t>Pharma Plus เล่มม่วง</t>
        </is>
      </c>
    </row>
    <row r="53" ht="13.2" customHeight="1" s="49">
      <c r="A53" s="2" t="n">
        <v>74</v>
      </c>
      <c r="B53" s="2" t="inlineStr">
        <is>
          <t>การโฆษณาว่า indomethacin สามารถลดปวดได้ดีในผู้ป่วยโรคเกาท์ สามารถทำได้หรือไม่</t>
        </is>
      </c>
      <c r="C53" s="2" t="n"/>
      <c r="D53" s="2" t="inlineStr">
        <is>
          <t>ได้ เพราะไม่มีข้อห้ามทางกฎหมาย</t>
        </is>
      </c>
      <c r="E53" s="2" t="inlineStr">
        <is>
          <t>ได้ แต่ต้องขออนุญาตก่อน</t>
        </is>
      </c>
      <c r="F53" s="2" t="inlineStr">
        <is>
          <t>ไม่ได้ เพราะเป็นการอวดอ้างสรรพคุณ</t>
        </is>
      </c>
      <c r="G53" s="2" t="inlineStr">
        <is>
          <t>ไม่ได้ เพราะกฎหมายยาห้ามโฆษณาขายยาอันตราย</t>
        </is>
      </c>
      <c r="H53" s="2" t="inlineStr">
        <is>
          <t>ไม่ได้ เพราะกฎหมายยาห้ามโฆษณาขายยาควบคุมพิเศษ</t>
        </is>
      </c>
      <c r="I53" s="2" t="n">
        <v>4</v>
      </c>
      <c r="J53" s="2"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พ.ร.บ. ยา พ.ศ. 2510</t>
        </is>
      </c>
      <c r="M53" s="2" t="inlineStr">
        <is>
          <t>SAP</t>
        </is>
      </c>
      <c r="N53" s="2" t="inlineStr">
        <is>
          <t>ข้อ 74 Pharma Plus เล่มม่วง (เฉลยข้อ ง)</t>
        </is>
      </c>
      <c r="O53" s="2" t="inlineStr">
        <is>
          <t>Mock</t>
        </is>
      </c>
      <c r="P53" s="2" t="inlineStr">
        <is>
          <t>Pharma Plus เล่มม่วง</t>
        </is>
      </c>
    </row>
    <row r="54" ht="13.2" customHeight="1" s="49">
      <c r="A54" s="2" t="n">
        <v>75</v>
      </c>
      <c r="B54" s="2" t="inlineStr">
        <is>
          <t>ผู้ป่วยต้องการซื้อยา budesonide สามารถซื้อได้ที่ใด</t>
        </is>
      </c>
      <c r="C54" s="2" t="n"/>
      <c r="D54" s="2" t="inlineStr">
        <is>
          <t>ร้านสะดวกซื้อทั่วไป</t>
        </is>
      </c>
      <c r="E54" s="2" t="inlineStr">
        <is>
          <t>ร้านยา ข.ย. 2</t>
        </is>
      </c>
      <c r="F54" s="2" t="inlineStr">
        <is>
          <t>ร้านขายยาแผนปัจจุบัน โดยไม่ต้องมีใบสั่งแพทย์</t>
        </is>
      </c>
      <c r="G54" s="2" t="inlineStr">
        <is>
          <t>ร้านขายยาแผนปัจจุบัน โดยต้องมีใบสั่งแพทย์</t>
        </is>
      </c>
      <c r="H54" s="2" t="inlineStr">
        <is>
          <t>โรงพยาบาลเท่านั้น</t>
        </is>
      </c>
      <c r="I54" s="2" t="n">
        <v>3</v>
      </c>
      <c r="J54" s="2"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พ.ร.บ. ยา พ.ศ. 2510</t>
        </is>
      </c>
      <c r="M54" s="2" t="inlineStr">
        <is>
          <t>SAP</t>
        </is>
      </c>
      <c r="N54" s="2" t="inlineStr">
        <is>
          <t>ข้อ 75 Pharma Plus เล่มม่วง (เฉลยข้อ ค)</t>
        </is>
      </c>
      <c r="O54" s="2" t="inlineStr">
        <is>
          <t>Mock</t>
        </is>
      </c>
      <c r="P54" s="2" t="inlineStr">
        <is>
          <t>Pharma Plus เล่มม่วง</t>
        </is>
      </c>
    </row>
    <row r="55" ht="13.2" customHeight="1" s="49">
      <c r="A55" s="2" t="n">
        <v>76</v>
      </c>
      <c r="B55" s="2" t="inlineStr">
        <is>
          <t>ข้อใดถูกต้องเกี่ยวกับการจัดซื้อ prednisolone ชนิดรับประทาน</t>
        </is>
      </c>
      <c r="C55" s="2" t="n"/>
      <c r="D55" s="2" t="inlineStr">
        <is>
          <t>เป็นยาควบคุมพิเศษ ต้องซื้อโดยวิธีตกลงราคาในกรณีที่ซื้อน้อยกว่า 100,000 บาท</t>
        </is>
      </c>
      <c r="E55" s="2" t="inlineStr">
        <is>
          <t>เป็นยาควบคุมพิเศษ ต้องซื้อโดยวิธีสอบราคาในกรณีที่ซื้อน้อยกว่า 100,000 บาท</t>
        </is>
      </c>
      <c r="F55" s="2" t="inlineStr">
        <is>
          <t>เป็นยาควบคุมพิเศษ ต้องซื้อโดยวิธีประกวดราคาในกรณีที่ซื้อน้อยกว่า 100,000 บาท</t>
        </is>
      </c>
      <c r="G55" s="2" t="inlineStr">
        <is>
          <t>เป็นยาอันตราย ต้องซื้อโดยวิธีตกลงราคาในกรณีที่ซื้อน้อยกว่า 100,000 บาท</t>
        </is>
      </c>
      <c r="H55" s="2" t="inlineStr">
        <is>
          <t>เป็นยาอันตราย ต้องซื้อโดยวิธีสอบราคาในกรณีที่ซื้อน้อยกว่า 100,000 บาท</t>
        </is>
      </c>
      <c r="I55" s="2" t="n">
        <v>1</v>
      </c>
      <c r="J55" s="2"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พ.ร.บ. ยา พ.ศ. 2510</t>
        </is>
      </c>
      <c r="M55" s="2" t="inlineStr">
        <is>
          <t>SAP</t>
        </is>
      </c>
      <c r="N55" s="2" t="inlineStr">
        <is>
          <t>ข้อ 76 Pharma Plus เล่มม่วง (เฉลยข้อ ก)</t>
        </is>
      </c>
      <c r="O55" s="2" t="inlineStr">
        <is>
          <t>Mock</t>
        </is>
      </c>
      <c r="P55" s="2" t="inlineStr">
        <is>
          <t>Pharma Plus เล่มม่วง</t>
        </is>
      </c>
    </row>
    <row r="56" ht="13.2" customHeight="1" s="49">
      <c r="A56" s="2" t="n">
        <v>77</v>
      </c>
      <c r="B56" s="2" t="inlineStr">
        <is>
          <t>Insulin จัดเป็นยาประเภทใด</t>
        </is>
      </c>
      <c r="C56" s="2" t="n"/>
      <c r="D56" s="2" t="inlineStr">
        <is>
          <t>ยาสำคัญประจำบ้าน</t>
        </is>
      </c>
      <c r="E56" s="2" t="inlineStr">
        <is>
          <t>ยาควบคุมพิเศษ</t>
        </is>
      </c>
      <c r="F56" s="2" t="inlineStr">
        <is>
          <t>ยาอันตราย</t>
        </is>
      </c>
      <c r="G56" s="2" t="inlineStr">
        <is>
          <t>ยาบรรจุเสร็จที่ไม่ใช่ยาอันตรายและยาควบคุมพิเศษ</t>
        </is>
      </c>
      <c r="H56" s="2" t="inlineStr">
        <is>
          <t>ไม่มีข้อถูก</t>
        </is>
      </c>
      <c r="I56" s="2" t="n">
        <v>3</v>
      </c>
      <c r="J56" s="2"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พ.ร.บ. ยา พ.ศ. 2510</t>
        </is>
      </c>
      <c r="M56" s="2" t="inlineStr">
        <is>
          <t>SAP</t>
        </is>
      </c>
      <c r="N56" s="2" t="inlineStr">
        <is>
          <t>ข้อ 77 Pharma Plus เล่มม่วง (เฉลยข้อ ค)</t>
        </is>
      </c>
      <c r="O56" s="2" t="inlineStr">
        <is>
          <t>Mock</t>
        </is>
      </c>
      <c r="P56" s="2" t="inlineStr">
        <is>
          <t>Pharma Plus เล่มม่วง</t>
        </is>
      </c>
    </row>
    <row r="57" ht="13.2" customHeight="1" s="49">
      <c r="A57" s="2" t="n">
        <v>78</v>
      </c>
      <c r="B57" s="2" t="inlineStr">
        <is>
          <t>การโฆษณาคุมกำเนิดเป็นยาสำหรับคุมกำเนิด กระทำได้หรือไม่ เพราะเหตุใด</t>
        </is>
      </c>
      <c r="C57" s="2" t="n"/>
      <c r="D57" s="2" t="inlineStr">
        <is>
          <t>กระทำได้ เพราะไม่มีข้อห้ามใดในกฎหมายยา</t>
        </is>
      </c>
      <c r="E57" s="2" t="inlineStr">
        <is>
          <t>กระทำได้แต่ต้องให้รัฐมนตรีอนุญาตก่อน</t>
        </is>
      </c>
      <c r="F57" s="2" t="inlineStr">
        <is>
          <t>กระทำไม่ได้ เพราะกฎหมายห้ามโฆษณาสรรพคุณยาอันตรายและยาควบคุมพิเศษ</t>
        </is>
      </c>
      <c r="G57" s="2" t="inlineStr">
        <is>
          <t>กระทำไม่ได้ เพราะกฎหมายห้ามมิให้แสดงสรรพคุณว่าเป็นยาคุมกำเนิดหรือยาบำรุงกาม</t>
        </is>
      </c>
      <c r="H57" s="2" t="inlineStr">
        <is>
          <t>ข้อ ค และ ง ถูกต้อง</t>
        </is>
      </c>
      <c r="I57" s="2" t="n">
        <v>5</v>
      </c>
      <c r="J57" s="2"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พ.ร.บ. ยา พ.ศ. 2510</t>
        </is>
      </c>
      <c r="M57" s="2" t="inlineStr">
        <is>
          <t>SAP</t>
        </is>
      </c>
      <c r="N57" s="2" t="inlineStr">
        <is>
          <t>ข้อ 78 Pharma Plus เล่มม่วง (เฉลยข้อ จ)</t>
        </is>
      </c>
      <c r="O57" s="2" t="inlineStr">
        <is>
          <t>Mock</t>
        </is>
      </c>
      <c r="P57" s="2" t="inlineStr">
        <is>
          <t>Pharma Plus เล่มม่วง</t>
        </is>
      </c>
    </row>
    <row r="58" ht="13.2" customHeight="1" s="49">
      <c r="A58" s="2" t="n">
        <v>79</v>
      </c>
      <c r="B58" s="2" t="inlineStr">
        <is>
          <t>ยาในข้อใดมีประเภทตามกฎหมายเช่นเดียวกับ cotrimoxazole</t>
        </is>
      </c>
      <c r="C58" s="2" t="n"/>
      <c r="D58" s="2" t="inlineStr">
        <is>
          <t>Amitriptyline, brown mixture ขนาด 120 ml</t>
        </is>
      </c>
      <c r="E58" s="2" t="inlineStr">
        <is>
          <t>Tramadol, alprazolam</t>
        </is>
      </c>
      <c r="F58" s="2" t="inlineStr">
        <is>
          <t>Fluoxetine, topical steroid</t>
        </is>
      </c>
      <c r="G58" s="2" t="inlineStr">
        <is>
          <t>Methotrexate, Benadryl</t>
        </is>
      </c>
      <c r="H58" s="2" t="inlineStr">
        <is>
          <t>Isotretinoin, Imodium</t>
        </is>
      </c>
      <c r="I58" s="2" t="n">
        <v>1</v>
      </c>
      <c r="J58" s="2"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พ.ร.บ. ยา พ.ศ. 2510</t>
        </is>
      </c>
      <c r="M58" s="2" t="inlineStr">
        <is>
          <t>SAP</t>
        </is>
      </c>
      <c r="N58" s="2" t="inlineStr">
        <is>
          <t>ข้อ 79 Pharma Plus เล่มม่วง (เฉลยข้อ ไมมีคำตอบ)</t>
        </is>
      </c>
      <c r="O58" s="2" t="inlineStr">
        <is>
          <t>Mock</t>
        </is>
      </c>
      <c r="P58" s="2" t="inlineStr">
        <is>
          <t>Pharma Plus เล่มม่วง</t>
        </is>
      </c>
    </row>
    <row r="59" ht="13.2" customHeight="1" s="49">
      <c r="A59" s="2" t="n">
        <v>80</v>
      </c>
      <c r="B59" s="2" t="inlineStr">
        <is>
          <t>ข้อใดถูกต้องสำหรับยา haloperidol</t>
        </is>
      </c>
      <c r="C59" s="2" t="n"/>
      <c r="D59" s="2" t="inlineStr">
        <is>
          <t>จัดอยู่ในประเภทอันตราย เภสัชกรสามารถจ่ายได้ในร้านยา</t>
        </is>
      </c>
      <c r="E59" s="2" t="inlineStr">
        <is>
          <t>จัดอยู่ในประเภทยาควบคุมพิเศษ เภสัชกรสามารถจ่ายได้หากมีใบสั่งแพทย์</t>
        </is>
      </c>
      <c r="F59" s="2" t="inlineStr">
        <is>
          <t>จัดอยู่ในประเภทอันตราย จ่ายได้เฉพาะในโรงพยาบาล</t>
        </is>
      </c>
      <c r="G59" s="2" t="inlineStr">
        <is>
          <t>จัดอยู่ในประเภทยาเสพติดให้โทษประเภทที่ 3 ต้องทำบัญชีรายงานคณะกรรมการอาหารและยา</t>
        </is>
      </c>
      <c r="H59" s="2" t="inlineStr">
        <is>
          <t>จัดอยู่ในประเภทวัตถุออกฤทธิ์ต่อจิตประสาท</t>
        </is>
      </c>
      <c r="I59" s="2" t="n">
        <v>2</v>
      </c>
      <c r="J59" s="2"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2" t="n"/>
      <c r="L59" s="2" t="inlineStr">
        <is>
          <t>พ.ร.บ. ยาเสพติดให้โทษ &amp; วัตถุออกฤทธิ์</t>
        </is>
      </c>
      <c r="M59" s="2" t="inlineStr">
        <is>
          <t>SAP</t>
        </is>
      </c>
      <c r="N59" s="2" t="inlineStr">
        <is>
          <t>ข้อ 80 Pharma Plus เล่มม่วง (เฉลยข้อ ข)</t>
        </is>
      </c>
      <c r="O59" s="2" t="inlineStr">
        <is>
          <t>Mock</t>
        </is>
      </c>
      <c r="P59" s="2" t="inlineStr">
        <is>
          <t>Pharma Plus เล่มม่วง</t>
        </is>
      </c>
    </row>
    <row r="60" ht="13.2" customHeight="1" s="49">
      <c r="A60" s="2" t="n">
        <v>81</v>
      </c>
      <c r="B60" s="2" t="inlineStr">
        <is>
          <t>ยา risperidone มีเลขทะเบียนดังนี้: 1A253/49 จากเลขทะเบียนดังกล่าว ข้อใดมีความหมายถูกต้อง</t>
        </is>
      </c>
      <c r="C60" s="2" t="n"/>
      <c r="D60" s="2" t="inlineStr">
        <is>
          <t>เป็นยาเดี่ยวสำหรับมนุษย์ ผลิตในประเทศ</t>
        </is>
      </c>
      <c r="E60" s="2" t="inlineStr">
        <is>
          <t>เป็นยาแผนปัจจุบัน นำเข้าจากต่างประเทศ</t>
        </is>
      </c>
      <c r="F60" s="2" t="inlineStr">
        <is>
          <t>เป็นยาแผนปัจจุบัน แบ่งบรรจุ</t>
        </is>
      </c>
      <c r="G60" s="2" t="inlineStr">
        <is>
          <t>เป็นยาผสม ขึ้นทะเบียนในปี พ.ศ.2549</t>
        </is>
      </c>
      <c r="H60" s="2" t="inlineStr">
        <is>
          <t>เป็นยาเดี่ยว ขึ้นทะเบียนแบบมีเงื่อนไข</t>
        </is>
      </c>
      <c r="I60" s="2" t="n">
        <v>1</v>
      </c>
      <c r="J60" s="2"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พ.ร.บ. ยา พ.ศ. 2510</t>
        </is>
      </c>
      <c r="M60" s="2" t="inlineStr">
        <is>
          <t>SAP</t>
        </is>
      </c>
      <c r="N60" s="2" t="inlineStr">
        <is>
          <t>ข้อ 81 Pharma Plus เล่มม่วง (เฉลยข้อ ก)</t>
        </is>
      </c>
      <c r="O60" s="2" t="inlineStr">
        <is>
          <t>Mock</t>
        </is>
      </c>
      <c r="P60" s="2" t="inlineStr">
        <is>
          <t>Pharma Plus เล่มม่วง</t>
        </is>
      </c>
    </row>
    <row r="61" ht="13.2" customHeight="1" s="49">
      <c r="A61" s="2" t="n">
        <v>82</v>
      </c>
      <c r="B61" s="2"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2" t="n"/>
      <c r="D61" s="2" t="inlineStr">
        <is>
          <t>จ่ายได้ เพราะเป็นยาอันตราย</t>
        </is>
      </c>
      <c r="E61" s="2" t="inlineStr">
        <is>
          <t>จ่ายได้ เพราะเป็นยาบรรจุเสร็จที่ไม่ใช่ยาอันตรายหรือยาควบคุมพิเศษ</t>
        </is>
      </c>
      <c r="F61" s="2" t="inlineStr">
        <is>
          <t>จ่ายไม่ได้ เพราะเป็นวัตถุออกฤทธิ์ต่อจิตประสาทประเภทที่ 4</t>
        </is>
      </c>
      <c r="G61" s="2" t="inlineStr">
        <is>
          <t>จ่ายไม่ได้ เพราะเป็นยาเสพติดให้โทษประเภทที่ 3</t>
        </is>
      </c>
      <c r="H61" s="2" t="inlineStr">
        <is>
          <t>จ่ายไม่ได้ เพราะเป็นยาควบคุมพิเศษ</t>
        </is>
      </c>
      <c r="I61" s="2" t="n">
        <v>5</v>
      </c>
      <c r="J61" s="2"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พ.ร.บ. ยา พ.ศ. 2510</t>
        </is>
      </c>
      <c r="M61" s="2" t="inlineStr">
        <is>
          <t>SAP</t>
        </is>
      </c>
      <c r="N61" s="2" t="inlineStr">
        <is>
          <t>ข้อ 82 Pharma Plus เล่มม่วง (เฉลยข้อ จ)</t>
        </is>
      </c>
      <c r="O61" s="2" t="inlineStr">
        <is>
          <t>Mock</t>
        </is>
      </c>
      <c r="P61" s="2" t="inlineStr">
        <is>
          <t>Pharma Plus เล่มม่วง</t>
        </is>
      </c>
    </row>
    <row r="62" ht="13.2" customHeight="1" s="49">
      <c r="A62" s="2" t="n">
        <v>83</v>
      </c>
      <c r="B62" s="2" t="inlineStr">
        <is>
          <t>ยาลดกรดในข้อใดที่เป็นยาสามัญประจำบ้าน</t>
        </is>
      </c>
      <c r="C62" s="2" t="n"/>
      <c r="D62" s="2" t="inlineStr">
        <is>
          <t>Sucralfate</t>
        </is>
      </c>
      <c r="E62" s="2" t="inlineStr">
        <is>
          <t>Aluminium hydroxide gel</t>
        </is>
      </c>
      <c r="F62" s="2" t="inlineStr">
        <is>
          <t>Cimetidine</t>
        </is>
      </c>
      <c r="G62" s="2" t="inlineStr">
        <is>
          <t>ยาธาตุน้ำแดง</t>
        </is>
      </c>
      <c r="H62" s="2" t="inlineStr">
        <is>
          <t>Bismuth compound</t>
        </is>
      </c>
      <c r="I62" s="2" t="n">
        <v>2</v>
      </c>
      <c r="J62" s="2"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พ.ร.บ. ยา พ.ศ. 2510</t>
        </is>
      </c>
      <c r="M62" s="2" t="inlineStr">
        <is>
          <t>SAP</t>
        </is>
      </c>
      <c r="N62" s="2" t="inlineStr">
        <is>
          <t>ข้อ 83 Pharma Plus เล่มม่วง (เฉลยข้อ ข ง)</t>
        </is>
      </c>
      <c r="O62" s="2" t="inlineStr">
        <is>
          <t>Mock</t>
        </is>
      </c>
      <c r="P62" s="2" t="inlineStr">
        <is>
          <t>Pharma Plus เล่มม่วง</t>
        </is>
      </c>
    </row>
    <row r="63" ht="13.2" customHeight="1" s="49">
      <c r="A63" s="2" t="n">
        <v>84</v>
      </c>
      <c r="B63" s="2" t="inlineStr">
        <is>
          <t>Bromhexine จัดอยู่ในยาประเภทใดตาม พรบ. ยา 2510</t>
        </is>
      </c>
      <c r="C63" s="2" t="n"/>
      <c r="D63" s="2" t="inlineStr">
        <is>
          <t>ยาสามัญประจำบ้าน</t>
        </is>
      </c>
      <c r="E63" s="2" t="inlineStr">
        <is>
          <t>ยาบรรจุเสร็จที่ไม่ใช่ยาอันตรายและยาควบคุมพิเศษ</t>
        </is>
      </c>
      <c r="F63" s="2" t="inlineStr">
        <is>
          <t>ยาอันตราย</t>
        </is>
      </c>
      <c r="G63" s="2" t="inlineStr">
        <is>
          <t>ยาควบคุมพิเศษ</t>
        </is>
      </c>
      <c r="H63" s="2" t="inlineStr">
        <is>
          <t>ไม่มีข้อถูก</t>
        </is>
      </c>
      <c r="I63" s="2" t="n">
        <v>2</v>
      </c>
      <c r="J63" s="2"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พ.ร.บ. ยา พ.ศ. 2510</t>
        </is>
      </c>
      <c r="M63" s="2" t="inlineStr">
        <is>
          <t>SAP</t>
        </is>
      </c>
      <c r="N63" s="2" t="inlineStr">
        <is>
          <t>ข้อ 84 Pharma Plus เล่มม่วง (เฉลยข้อ ข)</t>
        </is>
      </c>
      <c r="O63" s="2" t="inlineStr">
        <is>
          <t>Mock</t>
        </is>
      </c>
      <c r="P63" s="2" t="inlineStr">
        <is>
          <t>Pharma Plus เล่มม่วง</t>
        </is>
      </c>
    </row>
    <row r="64" ht="13.2" customHeight="1" s="49">
      <c r="A64" s="2" t="n">
        <v>85</v>
      </c>
      <c r="B64" s="2" t="inlineStr">
        <is>
          <t>ข้างขวดยา GPO vir S 40 เขียนว่า 2A 2/46 (NC)
ข้อใดกล่าวไม่ถูกต้อง</t>
        </is>
      </c>
      <c r="C64" s="2" t="n"/>
      <c r="D64" s="2" t="inlineStr">
        <is>
          <t>ยานี้จดทะเบียนยาแบบมีเงื่อนไข</t>
        </is>
      </c>
      <c r="E64" s="2" t="inlineStr">
        <is>
          <t>เป็นยาแผนปัจจุบันสำหรับมนุษย์</t>
        </is>
      </c>
      <c r="F64" s="2" t="inlineStr">
        <is>
          <t>เป็นยาผสม</t>
        </is>
      </c>
      <c r="G64" s="2" t="inlineStr">
        <is>
          <t>เป็นยาแบ่งบรรจุ</t>
        </is>
      </c>
      <c r="H64" s="2" t="inlineStr">
        <is>
          <t>เป็นยาใหม่</t>
        </is>
      </c>
      <c r="I64" s="2" t="n">
        <v>4</v>
      </c>
      <c r="J64" s="2"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พ.ร.บ. ยา พ.ศ. 2510</t>
        </is>
      </c>
      <c r="M64" s="2" t="inlineStr">
        <is>
          <t>SAP</t>
        </is>
      </c>
      <c r="N64" s="2" t="inlineStr">
        <is>
          <t>ข้อ 85 Pharma Plus เล่มม่วง (เฉลยข้อ ง)</t>
        </is>
      </c>
      <c r="O64" s="2" t="inlineStr">
        <is>
          <t>Mock</t>
        </is>
      </c>
      <c r="P64" s="2" t="inlineStr">
        <is>
          <t>Pharma Plus เล่มม่วง</t>
        </is>
      </c>
    </row>
    <row r="65" ht="13.2" customHeight="1" s="49">
      <c r="A65" s="2" t="n">
        <v>86</v>
      </c>
      <c r="B65" s="2" t="inlineStr">
        <is>
          <t>ยาต้านไวรัสเอชไอวีเป็นยาประเภทใดตามกฎหมายไทย</t>
        </is>
      </c>
      <c r="C65" s="2" t="n"/>
      <c r="D65" s="2" t="inlineStr">
        <is>
          <t>ยากำพร้า</t>
        </is>
      </c>
      <c r="E65" s="2" t="inlineStr">
        <is>
          <t>ยาควบคุมพิเศษ</t>
        </is>
      </c>
      <c r="F65" s="2" t="inlineStr">
        <is>
          <t>ยาสามัญประจำบ้าน</t>
        </is>
      </c>
      <c r="G65" s="2" t="inlineStr">
        <is>
          <t>ยาอันตราย</t>
        </is>
      </c>
      <c r="H65" s="2" t="inlineStr">
        <is>
          <t>ถูกทั้งข้อ ก. และ ข.</t>
        </is>
      </c>
      <c r="I65" s="2" t="n">
        <v>2</v>
      </c>
      <c r="J65" s="2"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พ.ร.บ. ยา พ.ศ. 2510</t>
        </is>
      </c>
      <c r="M65" s="2" t="inlineStr">
        <is>
          <t>SAP</t>
        </is>
      </c>
      <c r="N65" s="2" t="inlineStr">
        <is>
          <t>ข้อ 86 Pharma Plus เล่มม่วง (เฉลยข้อ ข)</t>
        </is>
      </c>
      <c r="O65" s="2" t="inlineStr">
        <is>
          <t>Mock</t>
        </is>
      </c>
      <c r="P65" s="2" t="inlineStr">
        <is>
          <t>Pharma Plus เล่มม่วง</t>
        </is>
      </c>
    </row>
    <row r="66" ht="13.2" customHeight="1" s="49">
      <c r="A66" s="2" t="n">
        <v>87</v>
      </c>
      <c r="B66" s="2" t="inlineStr">
        <is>
          <t>ยาในข้อใดไม่จัดอยู่ในประเภททายาตามกฎหมายประเภทเดียวกับ ciprofloxacin</t>
        </is>
      </c>
      <c r="C66" s="2" t="n"/>
      <c r="D66" s="2" t="inlineStr">
        <is>
          <t>Oristat tablets</t>
        </is>
      </c>
      <c r="E66" s="2" t="inlineStr">
        <is>
          <t>Topical 0.05% isotretinoin</t>
        </is>
      </c>
      <c r="F66" s="2" t="inlineStr">
        <is>
          <t>0.1% TA cream</t>
        </is>
      </c>
      <c r="G66" s="2" t="inlineStr">
        <is>
          <t>Carbocystein tablets</t>
        </is>
      </c>
      <c r="H66" s="2" t="inlineStr">
        <is>
          <t>Fluoxitine tablets</t>
        </is>
      </c>
      <c r="I66" s="2" t="n">
        <v>4</v>
      </c>
      <c r="J66" s="2"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พ.ร.บ. ยา พ.ศ. 2510</t>
        </is>
      </c>
      <c r="M66" s="2" t="inlineStr">
        <is>
          <t>SAP</t>
        </is>
      </c>
      <c r="N66" s="2" t="inlineStr">
        <is>
          <t>ข้อ 87 Pharma Plus เล่มม่วง (เฉลยข้อ ง)</t>
        </is>
      </c>
      <c r="O66" s="2" t="inlineStr">
        <is>
          <t>Mock</t>
        </is>
      </c>
      <c r="P66" s="2" t="inlineStr">
        <is>
          <t>Pharma Plus เล่มม่วง</t>
        </is>
      </c>
    </row>
    <row r="67" ht="13.2" customHeight="1" s="49">
      <c r="A67" s="2" t="n">
        <v>88</v>
      </c>
      <c r="B67" s="2" t="inlineStr">
        <is>
          <t>เภสัชกรไม่ควรหยิบ ciprofloxacin จากขวดใดให้ คนไข้</t>
        </is>
      </c>
      <c r="C67" s="2" t="n"/>
      <c r="D67" s="2" t="inlineStr">
        <is>
          <t>ขวดที่มียาเม็ดเปลี่ยนสี</t>
        </is>
      </c>
      <c r="E67" s="2" t="inlineStr">
        <is>
          <t>ขวดที่มียาเม็ดบิ่น</t>
        </is>
      </c>
      <c r="F67" s="2" t="inlineStr">
        <is>
          <t>ที่ขวดเขียนว่า Mfd. 02/2010</t>
        </is>
      </c>
      <c r="G67" s="2" t="inlineStr">
        <is>
          <t>ที่ขวดเขียนว่า Exp. 02/2015</t>
        </is>
      </c>
      <c r="H67" s="2" t="inlineStr">
        <is>
          <t>ขวดที่ฉลากมีรอยเปื้อน</t>
        </is>
      </c>
      <c r="I67" s="2" t="n">
        <v>1</v>
      </c>
      <c r="J67" s="2"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พ.ร.บ. ยา พ.ศ. 2510</t>
        </is>
      </c>
      <c r="M67" s="2" t="inlineStr">
        <is>
          <t>SAP</t>
        </is>
      </c>
      <c r="N67" s="2" t="inlineStr">
        <is>
          <t>ข้อ 88 Pharma Plus เล่มม่วง (เฉลยข้อ ก ง)</t>
        </is>
      </c>
      <c r="O67" s="2" t="inlineStr">
        <is>
          <t>Mock</t>
        </is>
      </c>
      <c r="P67" s="2" t="inlineStr">
        <is>
          <t>Pharma Plus เล่มม่วง</t>
        </is>
      </c>
    </row>
    <row r="68" ht="13.2" customHeight="1" s="49">
      <c r="A68" s="2" t="n">
        <v>95</v>
      </c>
      <c r="B68" s="2" t="inlineStr">
        <is>
          <t>Sucralfate เป็นยาในบัญชียาหลักแห่งชาติ ในหมวดบัญชี ค หมายถึงข้อใด</t>
        </is>
      </c>
      <c r="C68" s="2" t="n"/>
      <c r="D68" s="2"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2"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2" t="inlineStr">
        <is>
          <t>รายการยาที่ต้องใช้ในโรคเฉพาะทาง โดยผู้ชำนาญ หรือผู้ที่ได้รับมอบหมายจากผู้อำนวยการของสถานพยาบาลนั้น ๆ</t>
        </is>
      </c>
      <c r="G68" s="2"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2"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2" t="n">
        <v>3</v>
      </c>
      <c r="J68"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พ.ร.บ. ยา พ.ศ. 2510</t>
        </is>
      </c>
      <c r="M68" s="2" t="inlineStr">
        <is>
          <t>SAP</t>
        </is>
      </c>
      <c r="N68" s="2" t="inlineStr">
        <is>
          <t>ข้อ 95 Pharma Plus เล่มม่วง (เฉลยข้อ ค)</t>
        </is>
      </c>
      <c r="O68" s="2" t="inlineStr">
        <is>
          <t>Mock</t>
        </is>
      </c>
      <c r="P68" s="2" t="inlineStr">
        <is>
          <t>Pharma Plus เล่มม่วง</t>
        </is>
      </c>
    </row>
    <row r="69" ht="13.2" customHeight="1" s="49">
      <c r="A69" s="2" t="n">
        <v>96</v>
      </c>
      <c r="B69" s="2" t="inlineStr">
        <is>
          <t>องค์การเภสัชกรรมมีการผลิตและมีจำหน่ายยา praziquantel เภสัชกรประจำโรงพยาบาลทำการสั่งซื้อยาอย่างไร</t>
        </is>
      </c>
      <c r="C69" s="2" t="n"/>
      <c r="D69" s="2" t="inlineStr">
        <is>
          <t>ตกลงราคาถ้าวงเงินไม่เกิน 100,000 บาท</t>
        </is>
      </c>
      <c r="E69" s="2" t="inlineStr">
        <is>
          <t>สอบราคาถ้าวงเงินไม่เกิน 100,000 บาท</t>
        </is>
      </c>
      <c r="F69" s="2" t="inlineStr">
        <is>
          <t>ประกวดราคาถ้าวงเงินไม่เกิน 100,000 บาท</t>
        </is>
      </c>
      <c r="G69" s="2" t="inlineStr">
        <is>
          <t>วิธีพิเศษไม่จำกัดวงเงิน</t>
        </is>
      </c>
      <c r="H69" s="2" t="inlineStr">
        <is>
          <t>วิธีกรณีพิเศษไม่จำกัดวงเงิน</t>
        </is>
      </c>
      <c r="I69" s="2" t="n">
        <v>5</v>
      </c>
      <c r="J69" s="2"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พ.ร.บ. ยา พ.ศ. 2510</t>
        </is>
      </c>
      <c r="M69" s="2" t="inlineStr">
        <is>
          <t>SAP</t>
        </is>
      </c>
      <c r="N69" s="2" t="inlineStr">
        <is>
          <t>ข้อ 96 Pharma Plus เล่มม่วง (เฉลยข้อ จ)</t>
        </is>
      </c>
      <c r="O69" s="2" t="inlineStr">
        <is>
          <t>Mock</t>
        </is>
      </c>
      <c r="P69" s="2" t="inlineStr">
        <is>
          <t>Pharma Plus เล่มม่วง</t>
        </is>
      </c>
    </row>
    <row r="70" ht="13.2" customHeight="1" s="49">
      <c r="A70" s="2" t="n">
        <v>97</v>
      </c>
      <c r="B70" s="2" t="inlineStr">
        <is>
          <t>ถ้ายา antacid วิเคราะห์พบว่า มีตัวยาสำคัญ 3.05 mg/100 ml แต่ในฉลากยาระบุว่า 4.4 mg/100 ml ถามว่าจัดเป็นยากลุ่มใด</t>
        </is>
      </c>
      <c r="C70" s="2" t="n"/>
      <c r="D70" s="2" t="inlineStr">
        <is>
          <t>ยาปลอม</t>
        </is>
      </c>
      <c r="E70" s="2" t="inlineStr">
        <is>
          <t>ยาปนเปื้อน</t>
        </is>
      </c>
      <c r="F70" s="2" t="inlineStr">
        <is>
          <t>ยาผิดมาตรฐาน</t>
        </is>
      </c>
      <c r="G70" s="2" t="inlineStr">
        <is>
          <t>ยาอันตราย</t>
        </is>
      </c>
      <c r="H70" s="2" t="inlineStr">
        <is>
          <t>ยาเรียกคืน</t>
        </is>
      </c>
      <c r="I70" s="2" t="n">
        <v>1</v>
      </c>
      <c r="J7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พ.ร.บ. ยา พ.ศ. 2510</t>
        </is>
      </c>
      <c r="M70" s="2" t="inlineStr">
        <is>
          <t>SAP</t>
        </is>
      </c>
      <c r="N70" s="2" t="inlineStr">
        <is>
          <t>ข้อ 97 Pharma Plus เล่มม่วง (เฉลยข้อ ก)</t>
        </is>
      </c>
      <c r="O70" s="2" t="inlineStr">
        <is>
          <t>Mock</t>
        </is>
      </c>
      <c r="P70" s="2" t="inlineStr">
        <is>
          <t>Pharma Plus เล่มม่วง</t>
        </is>
      </c>
    </row>
    <row r="71" ht="13.2" customHeight="1" s="49">
      <c r="A71" s="2" t="n">
        <v>98</v>
      </c>
      <c r="B71" s="2" t="inlineStr">
        <is>
          <t>ข้อใดถูก</t>
        </is>
      </c>
      <c r="C71" s="2" t="n"/>
      <c r="D71" s="2" t="inlineStr">
        <is>
          <t>ยาสามัญประจำบ้าน ต้องบอกเฉพาะชื่อสามัญ ห้ามเขียนชื่อการค้า</t>
        </is>
      </c>
      <c r="E71" s="2" t="inlineStr">
        <is>
          <t>ยาสามัญประจำบ้าน ต้องเขียนคำว่า "ยาสามัญประจำบ้าน" ตัวสีแดงระบุไว้</t>
        </is>
      </c>
      <c r="F71" s="2" t="inlineStr">
        <is>
          <t>องค์การเภสัชกรรมต้องขออนุญาตผลิตยาในกรณีที่ไม่ใช่ยาสามัญประจำบ้าน</t>
        </is>
      </c>
      <c r="G71" s="2" t="inlineStr">
        <is>
          <t>โฆษณาได้แต่ต้องขออนุญาตก่อน รวมถึงในกรณีที่โฆษณากับผู้ประกอบโรคศิลป์ผ่านสื่อต่างๆ</t>
        </is>
      </c>
      <c r="H71" s="2" t="inlineStr">
        <is>
          <t>ยาสามัญประจำบ้าน ในกรณีไม่มีพื้นที่เพียงพอไม่ต้องเขียนคำว่า "ยาสามัญประจำบ้าน" ได้แต่ต้องขออนุญาต</t>
        </is>
      </c>
      <c r="I71" s="2" t="n">
        <v>4</v>
      </c>
      <c r="J71" s="2"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พ.ร.บ. ยา พ.ศ. 2510</t>
        </is>
      </c>
      <c r="M71" s="2" t="inlineStr">
        <is>
          <t>SAP</t>
        </is>
      </c>
      <c r="N71" s="2" t="inlineStr">
        <is>
          <t>ข้อ 98 Pharma Plus เล่มม่วง (เฉลยข้อ ง)</t>
        </is>
      </c>
      <c r="O71" s="2" t="inlineStr">
        <is>
          <t>Mock</t>
        </is>
      </c>
      <c r="P71" s="2" t="inlineStr">
        <is>
          <t>Pharma Plus เล่มม่วง</t>
        </is>
      </c>
    </row>
    <row r="72" ht="13.2" customHeight="1" s="49">
      <c r="A72" s="2" t="n">
        <v>99</v>
      </c>
      <c r="B72" s="2" t="inlineStr">
        <is>
          <t>เภสัชกรร้านยา สามารถจ่ายยาแก่ผู้ป่วยรายนี้ ตามกรณีใดได้ โดยไม่ผิด ตาม พ.ร.บ. ยา 2510</t>
        </is>
      </c>
      <c r="C72" s="2" t="n"/>
      <c r="D72" s="2" t="inlineStr">
        <is>
          <t>จ่ายยา diclofenac tab 25 mg ที่เลยวันหมดอายุตามฉลากไปแล้ว 2 วัน</t>
        </is>
      </c>
      <c r="E72" s="2" t="inlineStr">
        <is>
          <t>จ่ายยา piroxicam cap 10 mg ที่ยังไม่ถึงวันหมดอายุตามฉลาก แต่ลักษณะเม็ดยากระด่างกระดำ</t>
        </is>
      </c>
      <c r="F72" s="2" t="inlineStr">
        <is>
          <t>จ่ายยาเม็ด tolperisone 50 mg และ diclofenac 25 mg ใส่ในซองเดียวกัน อย่างละ 1 เม็ด หลังอาหาร</t>
        </is>
      </c>
      <c r="G72" s="2"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2" t="inlineStr">
        <is>
          <t>นำยา rofecoxib 25 mg ซึ่งซื้อมาจากร้านค้าปลอดภาษีที่สิงคโปร์และมีราคาถูกกว่าทำในประเทศไทยมาขายที่ร้านยา</t>
        </is>
      </c>
      <c r="I72" s="2" t="n">
        <v>4</v>
      </c>
      <c r="J72" s="2"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พ.ร.บ. ยา พ.ศ. 2510</t>
        </is>
      </c>
      <c r="M72" s="2" t="inlineStr">
        <is>
          <t>SAP</t>
        </is>
      </c>
      <c r="N72" s="2" t="inlineStr">
        <is>
          <t>ข้อ 99 Pharma Plus เล่มม่วง (เฉลยข้อ ง)</t>
        </is>
      </c>
      <c r="O72" s="2" t="inlineStr">
        <is>
          <t>Mock</t>
        </is>
      </c>
      <c r="P72" s="2" t="inlineStr">
        <is>
          <t>Pharma Plus เล่มม่วง</t>
        </is>
      </c>
    </row>
    <row r="73" ht="13.2" customHeight="1" s="49">
      <c r="A73" s="2" t="n">
        <v>100</v>
      </c>
      <c r="B73" s="2"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2" t="n"/>
      <c r="D73" s="2" t="inlineStr">
        <is>
          <t>Cost minimization analysis (CMA)</t>
        </is>
      </c>
      <c r="E73" s="2" t="inlineStr">
        <is>
          <t>Cost benefit analysis</t>
        </is>
      </c>
      <c r="F73" s="2" t="inlineStr">
        <is>
          <t>Cost utility analysis</t>
        </is>
      </c>
      <c r="G73" s="2" t="inlineStr">
        <is>
          <t>Cost effectiveness analysis (CEA)</t>
        </is>
      </c>
      <c r="H73" s="2" t="inlineStr">
        <is>
          <t>ถูกทุกข้อ</t>
        </is>
      </c>
      <c r="I73" s="2" t="n">
        <v>4</v>
      </c>
      <c r="J73" s="2"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พ.ร.บ. ยา พ.ศ. 2510</t>
        </is>
      </c>
      <c r="M73" s="2" t="inlineStr">
        <is>
          <t>SAP</t>
        </is>
      </c>
      <c r="N73" s="2" t="inlineStr">
        <is>
          <t>ข้อ 100 Pharma Plus เล่มม่วง (เฉลยข้อ ง)</t>
        </is>
      </c>
      <c r="O73" s="2" t="inlineStr">
        <is>
          <t>Mock</t>
        </is>
      </c>
      <c r="P73" s="2" t="inlineStr">
        <is>
          <t>Pharma Plus เล่มม่วง</t>
        </is>
      </c>
    </row>
    <row r="74" ht="13.2" customHeight="1" s="49">
      <c r="A74" s="2" t="n">
        <v>101</v>
      </c>
      <c r="B74" s="2" t="inlineStr">
        <is>
          <t>เภสัชกรที่ร้านขายยาไม่สามารถจ่ายยาต่อไปนี้ให้ผู้ป่วยรายนี้ได้</t>
        </is>
      </c>
      <c r="C74" s="2" t="n"/>
      <c r="D74" s="2" t="inlineStr">
        <is>
          <t>ยา allopurinol เนื่องจากเป็นยาอันตราย</t>
        </is>
      </c>
      <c r="E74" s="2" t="inlineStr">
        <is>
          <t>ยา colchicine เนื่องจากเป็นยาอันตราย</t>
        </is>
      </c>
      <c r="F74" s="2" t="inlineStr">
        <is>
          <t>ยา etoricoxib เนื่องจากเป็นยาควบคุมพิเศษ</t>
        </is>
      </c>
      <c r="G74" s="2" t="inlineStr">
        <is>
          <t>ยา prednisolone เนื่องจากเป็นยาควบคุมพิเศษ</t>
        </is>
      </c>
      <c r="H74" s="2" t="inlineStr">
        <is>
          <t>เภสัชกรสามารถจ่ายยาได้ทุกข้อ</t>
        </is>
      </c>
      <c r="I74" s="2" t="n">
        <v>4</v>
      </c>
      <c r="J74" s="2"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พ.ร.บ. ยา พ.ศ. 2510</t>
        </is>
      </c>
      <c r="M74" s="2" t="inlineStr">
        <is>
          <t>SAP</t>
        </is>
      </c>
      <c r="N74" s="2" t="inlineStr">
        <is>
          <t>ข้อ 101 Pharma Plus เล่มม่วง (เฉลยข้อ ง)</t>
        </is>
      </c>
      <c r="O74" s="2" t="inlineStr">
        <is>
          <t>Mock</t>
        </is>
      </c>
      <c r="P74" s="2" t="inlineStr">
        <is>
          <t>Pharma Plus เล่มม่วง</t>
        </is>
      </c>
    </row>
    <row r="75" ht="13.2" customHeight="1" s="49">
      <c r="A75" s="2" t="n">
        <v>104</v>
      </c>
      <c r="B75" s="2"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2" t="n"/>
      <c r="D75" s="2" t="inlineStr">
        <is>
          <t>Cohort study</t>
        </is>
      </c>
      <c r="E75" s="2" t="inlineStr">
        <is>
          <t>Crossover study</t>
        </is>
      </c>
      <c r="F75" s="2" t="inlineStr">
        <is>
          <t>Control study</t>
        </is>
      </c>
      <c r="G75" s="2" t="inlineStr">
        <is>
          <t>Case-control study</t>
        </is>
      </c>
      <c r="H75" s="2" t="inlineStr">
        <is>
          <t>Cross-section study</t>
        </is>
      </c>
      <c r="I75" s="2" t="n">
        <v>3</v>
      </c>
      <c r="J75" s="2"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พ.ร.บ. ยา พ.ศ. 2510</t>
        </is>
      </c>
      <c r="M75" s="2" t="inlineStr">
        <is>
          <t>SAP</t>
        </is>
      </c>
      <c r="N75" s="2" t="inlineStr">
        <is>
          <t>ข้อ 104 Pharma Plus เล่มม่วง (เฉลยข้อ ค)</t>
        </is>
      </c>
      <c r="O75" s="2" t="inlineStr">
        <is>
          <t>Mock</t>
        </is>
      </c>
      <c r="P75" s="2" t="inlineStr">
        <is>
          <t>Pharma Plus เล่มม่วง</t>
        </is>
      </c>
    </row>
    <row r="76" ht="13.2" customHeight="1" s="49">
      <c r="A76" s="2" t="n">
        <v>107</v>
      </c>
      <c r="B76" s="2" t="inlineStr">
        <is>
          <t>เด็กทารกได้รับการฉีดวัคซีน หลังจากนั้นเด็กมีอาการไข้สูง 39 °C ชัก จะมาเรียกร้องค่าเสียหายได้หรือไม่ เพราะเหตุใด</t>
        </is>
      </c>
      <c r="C76" s="2" t="n"/>
      <c r="D76" s="2" t="inlineStr">
        <is>
          <t>ได้ ผู้บริโภคมีสิทธิที่จะได้รับการพิจารณาและได้รับค่าเสียหาย</t>
        </is>
      </c>
      <c r="E76" s="2" t="inlineStr">
        <is>
          <t>ได้ ผู้บริโภคมีสิทธิที่จะปฏิเสธไม่รับวัคซีน</t>
        </is>
      </c>
      <c r="F76" s="2" t="inlineStr">
        <is>
          <t>ไม่ได้ เนื่องจากผู้บริโภคมีสิทธิที่จะทราบผลดี ผลเสีย แต่ไม่ทำ</t>
        </is>
      </c>
      <c r="G76" s="2" t="inlineStr">
        <is>
          <t>ไม่ได้ เนื่องจากอาการข้างเคียงที่เกิดขึ้นพบน้อย</t>
        </is>
      </c>
      <c r="H76" s="2" t="inlineStr">
        <is>
          <t>ไม่ได้ เนื่องจากไม่มีความผิดในการรักษา</t>
        </is>
      </c>
      <c r="I76" s="2" t="n">
        <v>5</v>
      </c>
      <c r="J76" s="2"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2" t="n"/>
      <c r="L76" s="2" t="inlineStr">
        <is>
          <t>พ.ร.บ. ยา พ.ศ. 2510</t>
        </is>
      </c>
      <c r="M76" s="2" t="inlineStr">
        <is>
          <t>SAP</t>
        </is>
      </c>
      <c r="N76" s="2" t="inlineStr">
        <is>
          <t>ข้อ 107 Pharma Plus เล่มม่วง (เฉลยข้อ จ)</t>
        </is>
      </c>
      <c r="O76" s="2" t="inlineStr">
        <is>
          <t>Mock</t>
        </is>
      </c>
      <c r="P76" s="2" t="inlineStr">
        <is>
          <t>Pharma Plus เล่มม่วง</t>
        </is>
      </c>
    </row>
    <row r="77" ht="13.2" customHeight="1" s="49">
      <c r="A77" s="2" t="n">
        <v>108</v>
      </c>
      <c r="B77" s="2"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2" t="n"/>
      <c r="D77" s="2" t="inlineStr">
        <is>
          <t>ยาปลอม</t>
        </is>
      </c>
      <c r="E77" s="2" t="inlineStr">
        <is>
          <t>ยาปนเปื้อน</t>
        </is>
      </c>
      <c r="F77" s="2" t="inlineStr">
        <is>
          <t>ยาผิดมาตรฐาน</t>
        </is>
      </c>
      <c r="G77" s="2" t="inlineStr">
        <is>
          <t>ยาด้อยคุณภาพ</t>
        </is>
      </c>
      <c r="H77" s="2" t="inlineStr">
        <is>
          <t>ยาเสื่อมคุณภาพ</t>
        </is>
      </c>
      <c r="I77" s="2" t="n">
        <v>1</v>
      </c>
      <c r="J77"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2" t="n"/>
      <c r="L77" s="2" t="inlineStr">
        <is>
          <t>พ.ร.บ. ยา พ.ศ. 2510</t>
        </is>
      </c>
      <c r="M77" s="2" t="inlineStr">
        <is>
          <t>SAP</t>
        </is>
      </c>
      <c r="N77" s="2" t="inlineStr">
        <is>
          <t>ข้อ 108 Pharma Plus เล่มม่วง (เฉลยข้อ ก)</t>
        </is>
      </c>
      <c r="O77" s="2" t="inlineStr">
        <is>
          <t>Mock</t>
        </is>
      </c>
      <c r="P77" s="2" t="inlineStr">
        <is>
          <t>Pharma Plus เล่มม่วง</t>
        </is>
      </c>
    </row>
    <row r="78" ht="13.2" customHeight="1" s="49">
      <c r="A78" s="2" t="n">
        <v>109</v>
      </c>
      <c r="B78" s="2" t="inlineStr">
        <is>
          <t>ข้อใดไม่ใช่ใช้อำนาจของสารวัตรอาหารและยา ในการปฏิบัติหน้าที่ตามพระราชบัญญัติยา</t>
        </is>
      </c>
      <c r="C78" s="2" t="n"/>
      <c r="D78" s="2" t="inlineStr">
        <is>
          <t>ยึดหรืออายัดยา</t>
        </is>
      </c>
      <c r="E78" s="2" t="inlineStr">
        <is>
          <t>เข้าไปตรวจร้านยานอกเวลาทำการ</t>
        </is>
      </c>
      <c r="F78" s="2" t="inlineStr">
        <is>
          <t>นำยาไปทำลายตามข้อกำหนดกระทรวง</t>
        </is>
      </c>
      <c r="G78" s="2" t="inlineStr">
        <is>
          <t>นำยาไปเป็นตัวอย่างเพื่อการตรวจวิเคราะห์</t>
        </is>
      </c>
      <c r="H78" s="2" t="inlineStr">
        <is>
          <t>ให้ร้านยาเรียกเก็บคืนภายในเวลาที่กำหนด</t>
        </is>
      </c>
      <c r="I78" s="2" t="n">
        <v>2</v>
      </c>
      <c r="J78" s="2"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2" t="n"/>
      <c r="L78" s="2" t="inlineStr">
        <is>
          <t>พ.ร.บ. ยา พ.ศ. 2510</t>
        </is>
      </c>
      <c r="M78" s="2" t="inlineStr">
        <is>
          <t>SAP</t>
        </is>
      </c>
      <c r="N78" s="2" t="inlineStr">
        <is>
          <t>ข้อ 109 Pharma Plus เล่มม่วง (เฉลยข้อ ข)</t>
        </is>
      </c>
      <c r="O78" s="2" t="inlineStr">
        <is>
          <t>Mock</t>
        </is>
      </c>
      <c r="P78" s="2" t="inlineStr">
        <is>
          <t>Pharma Plus เล่มม่วง</t>
        </is>
      </c>
    </row>
    <row r="79" ht="13.2" customHeight="1" s="49">
      <c r="A79" s="2" t="n">
        <v>110</v>
      </c>
      <c r="B79" s="2" t="inlineStr">
        <is>
          <t>ตามกฎหมายไทยในปัจจุบัน ยากลุ่มใดที่ต้องใช้ใบสั่งแพทย์ในการจ่ายยา</t>
        </is>
      </c>
      <c r="C79" s="2" t="n"/>
      <c r="D79" s="2" t="inlineStr">
        <is>
          <t>Antipsychotic drugs</t>
        </is>
      </c>
      <c r="E79" s="2" t="inlineStr">
        <is>
          <t>Hypnotic drugs กลุ่ม BZD</t>
        </is>
      </c>
      <c r="F79" s="2" t="inlineStr">
        <is>
          <t>Antidepressant กลุ่ม SSRI</t>
        </is>
      </c>
      <c r="G79" s="2" t="inlineStr">
        <is>
          <t>Melatonin receptor agonist</t>
        </is>
      </c>
      <c r="H79" s="2" t="inlineStr">
        <is>
          <t>ถูกทุกข้อ</t>
        </is>
      </c>
      <c r="I79" s="2" t="n">
        <v>1</v>
      </c>
      <c r="J79" s="2"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2" t="n"/>
      <c r="L79" s="2" t="inlineStr">
        <is>
          <t>พ.ร.บ. ยา พ.ศ. 2510</t>
        </is>
      </c>
      <c r="M79" s="2" t="inlineStr">
        <is>
          <t>SAP</t>
        </is>
      </c>
      <c r="N79" s="2" t="inlineStr">
        <is>
          <t>ข้อ 110 Pharma Plus เล่มม่วง (เฉลยข้อ ก ข)</t>
        </is>
      </c>
      <c r="O79" s="2" t="inlineStr">
        <is>
          <t>Mock</t>
        </is>
      </c>
      <c r="P79" s="2" t="inlineStr">
        <is>
          <t>Pharma Plus เล่มม่วง</t>
        </is>
      </c>
    </row>
    <row r="80" ht="13.2" customHeight="1" s="49">
      <c r="A80" s="2" t="n">
        <v>111</v>
      </c>
      <c r="B80" s="2" t="inlineStr">
        <is>
          <t>เหตุใดร้านขายยาจึงขาย Phenobarbital ไม่ได้</t>
        </is>
      </c>
      <c r="C80" s="2" t="n"/>
      <c r="D80" s="2" t="inlineStr">
        <is>
          <t>เพราะยังไม่มีใบอนุญาตมีจำหน่ายวัตถุออกฤทธิ์ต่อจิตประสาทประเภท 3</t>
        </is>
      </c>
      <c r="E80" s="2" t="inlineStr">
        <is>
          <t>เพราะยังไม่มีใบอนุญาตมีจำหน่ายวัตถุออกฤทธิ์ต่อจิตประสาทประเภท 4</t>
        </is>
      </c>
      <c r="F80" s="2" t="inlineStr">
        <is>
          <t>เพราะยังไม่มีใบอนุญาตมีจำหน่ายยาอันตราย</t>
        </is>
      </c>
      <c r="G80" s="2" t="inlineStr">
        <is>
          <t>เพราะยังไม่มีใบอนุญาตมีจำหน่ายยาควบคุมพิเศษ</t>
        </is>
      </c>
      <c r="H80" s="2" t="inlineStr">
        <is>
          <t>ไม่มีข้อใดถูก</t>
        </is>
      </c>
      <c r="I80" s="2" t="n">
        <v>2</v>
      </c>
      <c r="J80" s="2"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2" t="n"/>
      <c r="L80" s="2" t="inlineStr">
        <is>
          <t>พ.ร.บ. ยาเสพติดให้โทษ &amp; วัตถุออกฤทธิ์</t>
        </is>
      </c>
      <c r="M80" s="2" t="inlineStr">
        <is>
          <t>SAP</t>
        </is>
      </c>
      <c r="N80" s="2" t="inlineStr">
        <is>
          <t>ข้อ 111 Pharma Plus เล่มม่วง (เฉลยข้อ ข)</t>
        </is>
      </c>
      <c r="O80" s="2" t="inlineStr">
        <is>
          <t>Mock</t>
        </is>
      </c>
      <c r="P80" s="2" t="inlineStr">
        <is>
          <t>Pharma Plus เล่มม่วง</t>
        </is>
      </c>
    </row>
    <row r="81" ht="13.2" customHeight="1" s="49">
      <c r="A81" s="2" t="n">
        <v>112</v>
      </c>
      <c r="B81" s="2" t="inlineStr">
        <is>
          <t>ข้อใดถูกต้องเกี่ยวกับยา fluoxetine</t>
        </is>
      </c>
      <c r="C81" s="2" t="n"/>
      <c r="D81" s="2" t="inlineStr">
        <is>
          <t>จัดอยู่ในประเภทอันตราย เภสัชกรสามารถจ่ายได้ในร้านยา</t>
        </is>
      </c>
      <c r="E81" s="2" t="inlineStr">
        <is>
          <t>จัดอยู่ในประเภทควบคุมพิเศษ เภสัชกรไม่สามารถจ่ายได้</t>
        </is>
      </c>
      <c r="F81" s="2" t="inlineStr">
        <is>
          <t>จัดอยู่ในประเภทอันตราย จ่ายได้เฉพาะในโรงพยาบาล</t>
        </is>
      </c>
      <c r="G81" s="2" t="inlineStr">
        <is>
          <t>จัดอยู่ในประเภทยาเสพติดให้โทษประเภท 4 ต้องทำบัญชีรายงานคณะกรรมการอาหารและยา</t>
        </is>
      </c>
      <c r="H81" s="2" t="inlineStr">
        <is>
          <t>จัดอยู่ในประเภทวัตถุออกฤทธิ์ต่อจิตประสาท</t>
        </is>
      </c>
      <c r="I81" s="2" t="n">
        <v>1</v>
      </c>
      <c r="J81" s="2"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2" t="n"/>
      <c r="L81" s="2" t="inlineStr">
        <is>
          <t>พ.ร.บ. ยา พ.ศ. 2510</t>
        </is>
      </c>
      <c r="M81" s="2" t="inlineStr">
        <is>
          <t>SAP</t>
        </is>
      </c>
      <c r="N81" s="2" t="inlineStr">
        <is>
          <t>ข้อ 112 Pharma Plus เล่มม่วง (เฉลยข้อ ก)</t>
        </is>
      </c>
      <c r="O81" s="2" t="inlineStr">
        <is>
          <t>Mock</t>
        </is>
      </c>
      <c r="P81" s="2" t="inlineStr">
        <is>
          <t>Pharma Plus เล่มม่วง</t>
        </is>
      </c>
    </row>
    <row r="82" ht="13.2" customHeight="1" s="49">
      <c r="A82" s="2" t="n">
        <v>113</v>
      </c>
      <c r="B82" s="2" t="inlineStr">
        <is>
          <t>Clozapine จัดเป็นยาในข้อใด</t>
        </is>
      </c>
      <c r="C82" s="2" t="n"/>
      <c r="D82" s="2" t="inlineStr">
        <is>
          <t>ยาอันตราย</t>
        </is>
      </c>
      <c r="E82" s="2" t="inlineStr">
        <is>
          <t>ยาบรรจุเสร็จ</t>
        </is>
      </c>
      <c r="F82" s="2" t="inlineStr">
        <is>
          <t>วัตถุออกฤทธิ์ต่อจิตประสาท</t>
        </is>
      </c>
      <c r="G82" s="2" t="inlineStr">
        <is>
          <t>ยาเสพติด</t>
        </is>
      </c>
      <c r="H82" s="2" t="inlineStr">
        <is>
          <t>ยาควบคุมพิเศษ</t>
        </is>
      </c>
      <c r="I82" s="2" t="n">
        <v>5</v>
      </c>
      <c r="J82" s="2"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2" t="n"/>
      <c r="L82" s="2" t="inlineStr">
        <is>
          <t>พ.ร.บ. ยา พ.ศ. 2510</t>
        </is>
      </c>
      <c r="M82" s="2" t="inlineStr">
        <is>
          <t>SAP</t>
        </is>
      </c>
      <c r="N82" s="2" t="inlineStr">
        <is>
          <t>ข้อ 113 Pharma Plus เล่มม่วง (เฉลยข้อ จ)</t>
        </is>
      </c>
      <c r="O82" s="2" t="inlineStr">
        <is>
          <t>Mock</t>
        </is>
      </c>
      <c r="P82" s="2" t="inlineStr">
        <is>
          <t>Pharma Plus เล่มม่วง</t>
        </is>
      </c>
    </row>
    <row r="83" ht="13.2" customHeight="1" s="49">
      <c r="A83" s="2" t="n">
        <v>114</v>
      </c>
      <c r="B83" s="2" t="inlineStr">
        <is>
          <t>Flunarizine จัดเป็นยาในข้อใด</t>
        </is>
      </c>
      <c r="C83" s="2" t="n"/>
      <c r="D83" s="2" t="inlineStr">
        <is>
          <t>ยาอันตราย</t>
        </is>
      </c>
      <c r="E83" s="2" t="inlineStr">
        <is>
          <t>ยาบรรจุเสร็จ</t>
        </is>
      </c>
      <c r="F83" s="2" t="inlineStr">
        <is>
          <t>วัตถุออกฤทธิ์ต่อจิตประสาท</t>
        </is>
      </c>
      <c r="G83" s="2" t="inlineStr">
        <is>
          <t>ยาเสพติด</t>
        </is>
      </c>
      <c r="H83" s="2" t="inlineStr">
        <is>
          <t>ยาควบคุมพิเศษ</t>
        </is>
      </c>
      <c r="I83" s="2" t="n">
        <v>1</v>
      </c>
      <c r="J83"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2" t="n"/>
      <c r="L83" s="2" t="inlineStr">
        <is>
          <t>พ.ร.บ. ยา พ.ศ. 2510</t>
        </is>
      </c>
      <c r="M83" s="2" t="inlineStr">
        <is>
          <t>SAP</t>
        </is>
      </c>
      <c r="N83" s="2" t="inlineStr">
        <is>
          <t>ข้อ 114 Pharma Plus เล่มม่วง (เฉลยข้อ ก)</t>
        </is>
      </c>
      <c r="O83" s="2" t="inlineStr">
        <is>
          <t>Mock</t>
        </is>
      </c>
      <c r="P83" s="2" t="inlineStr">
        <is>
          <t>Pharma Plus เล่มม่วง</t>
        </is>
      </c>
    </row>
    <row r="84" ht="13.2" customHeight="1" s="49">
      <c r="A84" s="2" t="n">
        <v>115</v>
      </c>
      <c r="B84" s="2" t="inlineStr">
        <is>
          <t>ข้อใดไม่ใช่บทบาทเภสัชกรในการจ่ายยา clozapine</t>
        </is>
      </c>
      <c r="C84" s="2" t="n"/>
      <c r="D84" s="2" t="inlineStr">
        <is>
          <t>ต้องอยู่ประจำร้านเวลาเปิดการ</t>
        </is>
      </c>
      <c r="E84" s="2" t="inlineStr">
        <is>
          <t>ต้องจ่ายยาตามใบสั่งแพทย์</t>
        </is>
      </c>
      <c r="F84" s="2" t="inlineStr">
        <is>
          <t>ต้องควบคุมการจัดยาให้เป็นสัดส่วน</t>
        </is>
      </c>
      <c r="G84" s="2" t="inlineStr">
        <is>
          <t>ต้องควบคุมบัญชีซื้อ-จ่าย</t>
        </is>
      </c>
      <c r="H84" s="2" t="inlineStr">
        <is>
          <t>ต้องควบคุมการแบ่งบรรจุและฉลาก</t>
        </is>
      </c>
      <c r="I84" s="2" t="n">
        <v>5</v>
      </c>
      <c r="J84" s="2"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2" t="n"/>
      <c r="L84" s="2" t="inlineStr">
        <is>
          <t>พ.ร.บ. ยา พ.ศ. 2510</t>
        </is>
      </c>
      <c r="M84" s="2" t="inlineStr">
        <is>
          <t>SAP</t>
        </is>
      </c>
      <c r="N84" s="2" t="inlineStr">
        <is>
          <t>ข้อ 115 Pharma Plus เล่มม่วง (เฉลยข้อ จ)</t>
        </is>
      </c>
      <c r="O84" s="2" t="inlineStr">
        <is>
          <t>Mock</t>
        </is>
      </c>
      <c r="P84" s="2" t="inlineStr">
        <is>
          <t>Pharma Plus เล่มม่วง</t>
        </is>
      </c>
    </row>
    <row r="85" ht="13.2" customHeight="1" s="49">
      <c r="A85" s="2" t="n">
        <v>116</v>
      </c>
      <c r="B85" s="2" t="inlineStr">
        <is>
          <t>ข้อใดผิด</t>
        </is>
      </c>
      <c r="C85" s="2" t="n"/>
      <c r="D85" s="2" t="inlineStr">
        <is>
          <t>imipramine เป็นยาอันตราย</t>
        </is>
      </c>
      <c r="E85" s="2" t="inlineStr">
        <is>
          <t>วัตถุออกฤทธิ์ต่อจิตประสาท ประเภท 3 ห้ามขายในร้านยา</t>
        </is>
      </c>
      <c r="F85" s="2" t="inlineStr">
        <is>
          <t>ยาจิตเภทเป็นยาควบคุมพิเศษ</t>
        </is>
      </c>
      <c r="G85" s="2" t="inlineStr">
        <is>
          <t>ยาสงบระงับ (tranquilizer) เป็นยาอันตราย ยกเว้นประกาศเป็นยาควบคุมพิเศษ</t>
        </is>
      </c>
      <c r="H85" s="2" t="inlineStr">
        <is>
          <t>ยาสงบระงับ (tranquilizer) เป็นยาอันตราย ยกเว้นประกาศเป็นวัตถุออกฤทธิ์ต่อจิตประสาท</t>
        </is>
      </c>
      <c r="I85" s="2" t="n">
        <v>2</v>
      </c>
      <c r="J85" s="2"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2" t="n"/>
      <c r="L85" s="2" t="inlineStr">
        <is>
          <t>พ.ร.บ. ยา พ.ศ. 2510</t>
        </is>
      </c>
      <c r="M85" s="2" t="inlineStr">
        <is>
          <t>SAP</t>
        </is>
      </c>
      <c r="N85" s="2" t="inlineStr">
        <is>
          <t>ข้อ 116 Pharma Plus เล่มม่วง (เฉลยข้อ ข)</t>
        </is>
      </c>
      <c r="O85" s="2" t="inlineStr">
        <is>
          <t>Mock</t>
        </is>
      </c>
      <c r="P85" s="2" t="inlineStr">
        <is>
          <t>Pharma Plus เล่มม่วง</t>
        </is>
      </c>
    </row>
    <row r="86" ht="13.2" customHeight="1" s="49">
      <c r="A86" s="2" t="n">
        <v>117</v>
      </c>
      <c r="B86" s="2" t="inlineStr">
        <is>
          <t>ท่านสามารถจ่ายยา diazepam 5 mg tablet ได้หรือไม่</t>
        </is>
      </c>
      <c r="C86" s="2" t="n"/>
      <c r="D86" s="2" t="inlineStr">
        <is>
          <t>ได้ เพราะเป็นการจ่ายยาต่อเนื่องจากแพทย์ (refill medication)</t>
        </is>
      </c>
      <c r="E86" s="2" t="inlineStr">
        <is>
          <t>ได้ เพราะบ้านผู้ป่วยอยู่ห่างจากโรงพยาบาล 10 กิโลเมตร</t>
        </is>
      </c>
      <c r="F86" s="2" t="inlineStr">
        <is>
          <t>ไม่ได้ เพราะไม่อนุญาตให้ขายยานี้ในร้านยา</t>
        </is>
      </c>
      <c r="G86" s="2" t="inlineStr">
        <is>
          <t>ไม่ได้ เพราะยานี้ต้องจ่ายตามใบสั่งยา</t>
        </is>
      </c>
      <c r="H86" s="2" t="inlineStr">
        <is>
          <t>ไม่ได้ เพราะเป็นยาควบคุมพิเศษ</t>
        </is>
      </c>
      <c r="I86" s="2" t="n">
        <v>2</v>
      </c>
      <c r="J86" s="2"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2" t="n"/>
      <c r="L86" s="2" t="inlineStr">
        <is>
          <t>พ.ร.บ. ยา พ.ศ. 2510</t>
        </is>
      </c>
      <c r="M86" s="2" t="inlineStr">
        <is>
          <t>SAP</t>
        </is>
      </c>
      <c r="N86" s="2" t="inlineStr">
        <is>
          <t>ข้อ 117 Pharma Plus เล่มม่วง (เฉลยข้อ ข)</t>
        </is>
      </c>
      <c r="O86" s="2" t="inlineStr">
        <is>
          <t>Mock</t>
        </is>
      </c>
      <c r="P86" s="2" t="inlineStr">
        <is>
          <t>Pharma Plus เล่มม่วง</t>
        </is>
      </c>
    </row>
    <row r="87" ht="13.2" customHeight="1" s="49">
      <c r="A87" s="2" t="n">
        <v>118</v>
      </c>
      <c r="B87" s="2" t="inlineStr">
        <is>
          <t>จากข้อกำหนดเกณฑ์ขั้นตอนของร้านยาคุณภาพของสภาเภสัชกรรม ข้อใดไม่อยู่ในเกณฑ์ดังกล่าว</t>
        </is>
      </c>
      <c r="C87" s="2" t="n"/>
      <c r="D87" s="2"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2"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2" t="inlineStr">
        <is>
          <t>มีเภสัชกรเป็นผู้ส่งมอบยาให้แก่ผู้มารับบริการโดยตรง</t>
        </is>
      </c>
      <c r="G87" s="2" t="inlineStr">
        <is>
          <t>ห้ามส่งมอบยาอันตรายให้เด็กอายุต่ำกว่า 12 ปี ในทุกกรณี</t>
        </is>
      </c>
      <c r="H87" s="2" t="inlineStr">
        <is>
          <t>ไม่มีคำตอบที่ต้องการ</t>
        </is>
      </c>
      <c r="I87" s="2" t="n">
        <v>4</v>
      </c>
      <c r="J87" s="2"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2" t="n"/>
      <c r="L87" s="2" t="inlineStr">
        <is>
          <t>พ.ร.บ. วิชาชีพเภสัชกรรม 2537</t>
        </is>
      </c>
      <c r="M87" s="2" t="inlineStr">
        <is>
          <t>SAP</t>
        </is>
      </c>
      <c r="N87" s="2" t="inlineStr">
        <is>
          <t>ข้อ 118 Pharma Plus เล่มม่วง (เฉลยข้อ ง)</t>
        </is>
      </c>
      <c r="O87" s="2" t="inlineStr">
        <is>
          <t>Mock</t>
        </is>
      </c>
      <c r="P87" s="2" t="inlineStr">
        <is>
          <t>Pharma Plus เล่มม่วง</t>
        </is>
      </c>
    </row>
    <row r="88" ht="13.2" customHeight="1" s="49">
      <c r="A88" s="2" t="n">
        <v>119</v>
      </c>
      <c r="B88" s="2" t="inlineStr">
        <is>
          <t>บริษัทเตรียมสคลิปโฆษณายา norfloxacin เพื่อเตรียมออกอากาศทางทีวี ข้อใดกล่าวถูกต้อง เมื่ออ้างถึงพรบ. ยา 2510</t>
        </is>
      </c>
      <c r="C88" s="2" t="n"/>
      <c r="D88" s="2" t="inlineStr">
        <is>
          <t>สามารถมีการร้องรำทำเพลงประกอบโฆษณา norfloxacin ชนิดเม็ดได้</t>
        </is>
      </c>
      <c r="E88" s="2" t="inlineStr">
        <is>
          <t>สามารถมีเภสัชกรบอกสรรพคุณของยาได้</t>
        </is>
      </c>
      <c r="F88" s="2" t="inlineStr">
        <is>
          <t>การโฆษณานี้ สามารถมีรายการแถม คือซื้อ norfloxacin 100 เม็ด แถมยา paracetamol 1 แผง</t>
        </is>
      </c>
      <c r="G88" s="2" t="inlineStr">
        <is>
          <t>ยานี้จะโฆษณาผ่านทางทีวีเพื่อแสดงสรรพคุณยาไม่ได้เลย</t>
        </is>
      </c>
      <c r="H88" s="2"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2" t="n">
        <v>4</v>
      </c>
      <c r="J88" s="2"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2" t="n"/>
      <c r="L88" s="2" t="inlineStr">
        <is>
          <t>พ.ร.บ. ยา พ.ศ. 2510</t>
        </is>
      </c>
      <c r="M88" s="2" t="inlineStr">
        <is>
          <t>SAP</t>
        </is>
      </c>
      <c r="N88" s="2" t="inlineStr">
        <is>
          <t>ข้อ 119 Pharma Plus เล่มม่วง (เฉลยข้อ ง)</t>
        </is>
      </c>
      <c r="O88" s="2" t="inlineStr">
        <is>
          <t>Mock</t>
        </is>
      </c>
      <c r="P88" s="2" t="inlineStr">
        <is>
          <t>Pharma Plus เล่มม่วง</t>
        </is>
      </c>
    </row>
    <row r="89" ht="13.2" customHeight="1" s="49">
      <c r="A89" s="2" t="n">
        <v>120</v>
      </c>
      <c r="B89" s="2"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2" t="n"/>
      <c r="D89" s="2" t="inlineStr">
        <is>
          <t>ยาสมุนไพร</t>
        </is>
      </c>
      <c r="E89" s="2" t="inlineStr">
        <is>
          <t>ยาสามัญประจำบ้าน</t>
        </is>
      </c>
      <c r="F89" s="2" t="inlineStr">
        <is>
          <t>ยาแผนโบราณ</t>
        </is>
      </c>
      <c r="G89" s="2" t="inlineStr">
        <is>
          <t>ยาปลอม</t>
        </is>
      </c>
      <c r="H89" s="2" t="inlineStr">
        <is>
          <t>ยาแผนไทย</t>
        </is>
      </c>
      <c r="I89" s="2" t="n">
        <v>1</v>
      </c>
      <c r="J89" s="2"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2" t="n"/>
      <c r="L89" s="2" t="inlineStr">
        <is>
          <t>พ.ร.บ. ผลิตภัณฑ์สมุนไพร &amp; เครื่องสำอาง</t>
        </is>
      </c>
      <c r="M89" s="2" t="inlineStr">
        <is>
          <t>SAP</t>
        </is>
      </c>
      <c r="N89" s="2" t="inlineStr">
        <is>
          <t>ข้อ 120 Pharma Plus เล่มม่วง (เฉลยข้อ ก)</t>
        </is>
      </c>
      <c r="O89" s="2" t="inlineStr">
        <is>
          <t>Mock</t>
        </is>
      </c>
      <c r="P89" s="2" t="inlineStr">
        <is>
          <t>Pharma Plus เล่มม่วง</t>
        </is>
      </c>
    </row>
    <row r="90" ht="13.2" customHeight="1" s="49">
      <c r="A90" s="2" t="n">
        <v>121</v>
      </c>
      <c r="B90" s="2"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2" t="n"/>
      <c r="D90" s="2" t="inlineStr">
        <is>
          <t>Unit cost analysis</t>
        </is>
      </c>
      <c r="E90" s="2" t="inlineStr">
        <is>
          <t>Cost effectiveness analysis</t>
        </is>
      </c>
      <c r="F90" s="2" t="inlineStr">
        <is>
          <t>Cost minimization analysis</t>
        </is>
      </c>
      <c r="G90" s="2" t="inlineStr">
        <is>
          <t>Cost benefit analysis</t>
        </is>
      </c>
      <c r="H90" s="2" t="inlineStr">
        <is>
          <t>Cost utility analysis</t>
        </is>
      </c>
      <c r="I90" s="2" t="n">
        <v>2</v>
      </c>
      <c r="J90" s="2"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2" t="n"/>
      <c r="L90" s="2" t="inlineStr">
        <is>
          <t>พ.ร.บ. ยา พ.ศ. 2510</t>
        </is>
      </c>
      <c r="M90" s="2" t="inlineStr">
        <is>
          <t>SAP</t>
        </is>
      </c>
      <c r="N90" s="2" t="inlineStr">
        <is>
          <t>ข้อ 121 Pharma Plus เล่มม่วง (เฉลยข้อ ข)</t>
        </is>
      </c>
      <c r="O90" s="2" t="inlineStr">
        <is>
          <t>Mock</t>
        </is>
      </c>
      <c r="P90" s="2" t="inlineStr">
        <is>
          <t>Pharma Plus เล่มม่วง</t>
        </is>
      </c>
    </row>
    <row r="91" ht="13.2" customHeight="1" s="49">
      <c r="A91" s="2" t="n">
        <v>122</v>
      </c>
      <c r="B91" s="2" t="inlineStr">
        <is>
          <t>การพิจารณายาในโรงพยาบาล ยาใดจะไม่ถูกพิจารณาเข้าโรงพยาบาล เมื่อเปรียบเทียบกับ Utility</t>
        </is>
      </c>
      <c r="C91" s="2" t="n"/>
      <c r="D91" s="2" t="inlineStr">
        <is>
          <t>ยา A เป็นเงิน 25,000 บาท Utility เท่ากับ 0.5</t>
        </is>
      </c>
      <c r="E91" s="2" t="inlineStr">
        <is>
          <t>ยา B เป็นเงิน 50,000 บาท Utility เท่ากับ 0.5</t>
        </is>
      </c>
      <c r="F91" s="2" t="inlineStr">
        <is>
          <t>ยา C เป็นเงิน 55,000 บาท Utility เท่ากับ 0.6</t>
        </is>
      </c>
      <c r="G91" s="2" t="inlineStr">
        <is>
          <t>ยา D เป็นเงิน 70,000 บาท Utility เท่ากับ 0.7</t>
        </is>
      </c>
      <c r="H91" s="2" t="inlineStr">
        <is>
          <t>ยา E เป็นเงิน 80,000 บาท Utility เท่ากับ 0.8</t>
        </is>
      </c>
      <c r="I91" s="2" t="n">
        <v>5</v>
      </c>
      <c r="J91" s="2"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2" t="n"/>
      <c r="L91" s="2" t="inlineStr">
        <is>
          <t>พ.ร.บ. ยา พ.ศ. 2510</t>
        </is>
      </c>
      <c r="M91" s="2" t="inlineStr">
        <is>
          <t>SAP</t>
        </is>
      </c>
      <c r="N91" s="2" t="inlineStr">
        <is>
          <t>ข้อ 122 Pharma Plus เล่มม่วง (เฉลยข้อ จ)</t>
        </is>
      </c>
      <c r="O91" s="2" t="inlineStr">
        <is>
          <t>Mock</t>
        </is>
      </c>
      <c r="P91" s="2" t="inlineStr">
        <is>
          <t>Pharma Plus เล่มม่วง</t>
        </is>
      </c>
    </row>
    <row r="92" ht="13.2" customHeight="1" s="49">
      <c r="A92" s="2" t="n">
        <v>123</v>
      </c>
      <c r="B92" s="2" t="inlineStr">
        <is>
          <t>ข้อใดไม่ผิดหลักจรรยาบรรณวิชาชีพเภสัชกรรม</t>
        </is>
      </c>
      <c r="C92" s="2" t="n"/>
      <c r="D92" s="2" t="inlineStr">
        <is>
          <t>ใช้มอเตอร์ไซค์รับจ้างไปส่งยาและรับเงินมา</t>
        </is>
      </c>
      <c r="E92" s="2" t="inlineStr">
        <is>
          <t>แนะนำให้ภรรยามาตรวจเพราะเป็นโรคติดต่อทางเพศสัมพันธ์</t>
        </is>
      </c>
      <c r="F92" s="2" t="inlineStr">
        <is>
          <t>เภสัชกรจ่ายยาสุนไพร ล้างลำไส้ผู้ป่วย เพราะเชื่อว่าไม่เป็นอันตราย</t>
        </is>
      </c>
      <c r="G92" s="2" t="inlineStr">
        <is>
          <t>เภสัชกรโทรไปบอกภรรยาผู้ป่วยโดยเภสัชกรค้นเบอร์จากที่ผู้ป่วยให้ไว้เอง เพื่อตามภรรยาผู้ป่วยมารับการรักษา</t>
        </is>
      </c>
      <c r="H92" s="2" t="inlineStr">
        <is>
          <t>เภสัชกรแนะนำไม่ให้ผู้ป่วยไปคลินิกอีก เพราะหมอจ่ายยาแล้วทำให้ผู้ป่วยแพ้ยา</t>
        </is>
      </c>
      <c r="I92" s="2" t="n">
        <v>2</v>
      </c>
      <c r="J92" s="2"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2" t="n"/>
      <c r="L92" s="2" t="inlineStr">
        <is>
          <t>พ.ร.บ. วิชาชีพเภสัชกรรม 2537</t>
        </is>
      </c>
      <c r="M92" s="2" t="inlineStr">
        <is>
          <t>SAP</t>
        </is>
      </c>
      <c r="N92" s="2" t="inlineStr">
        <is>
          <t>ข้อ 123 Pharma Plus เล่มม่วง (เฉลยข้อ ข)</t>
        </is>
      </c>
      <c r="O92" s="2" t="inlineStr">
        <is>
          <t>Mock</t>
        </is>
      </c>
      <c r="P92" s="2" t="inlineStr">
        <is>
          <t>Pharma Plus เล่มม่วง</t>
        </is>
      </c>
    </row>
    <row r="93" ht="13.2" customHeight="1" s="49">
      <c r="A93" s="2" t="n">
        <v>124</v>
      </c>
      <c r="B93" s="2" t="inlineStr">
        <is>
          <t>ข้อใดถูกต้องตามหลักบัญชียาหลัก</t>
        </is>
      </c>
      <c r="C93" s="2" t="n"/>
      <c r="D93" s="2" t="inlineStr">
        <is>
          <t>Azithromycin เป็นยาบัญชี ง. ที่มีหลาย indication แต่ที่มีเหมาะสมเพียงไม่กี่ indication</t>
        </is>
      </c>
      <c r="E93" s="2" t="inlineStr">
        <is>
          <t>Doxycycline เป็นยาบัญชี ข. ใช้แทน tetracycline ในกรณีโรคติดเชื้อ</t>
        </is>
      </c>
      <c r="F93" s="2" t="inlineStr">
        <is>
          <t>Flavoxxate เป็นยาบัญชี ค. สามสามารถใช้ได้โดยผู้เชี่ยวชาญเท่านั้น</t>
        </is>
      </c>
      <c r="G93" s="2" t="inlineStr">
        <is>
          <t>Norfloxacin เป็นยาบัญชี ข. ใช้แทน ofloxacin ในกรณีโรคติดเชื้อ</t>
        </is>
      </c>
      <c r="H93" s="2" t="inlineStr">
        <is>
          <t>Phenazopyridine เป็นยาบัญชี ก. โดยสถานบริการทุกระดับสามารถเข้าถึงได้</t>
        </is>
      </c>
      <c r="I93" s="2" t="n">
        <v>2</v>
      </c>
      <c r="J93" s="2"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2" t="n"/>
      <c r="L93" s="2" t="inlineStr">
        <is>
          <t>พ.ร.บ. ยา พ.ศ. 2510</t>
        </is>
      </c>
      <c r="M93" s="2" t="inlineStr">
        <is>
          <t>SAP</t>
        </is>
      </c>
      <c r="N93" s="2" t="inlineStr">
        <is>
          <t>ข้อ 124 Pharma Plus เล่มม่วง (เฉลยข้อ ข)</t>
        </is>
      </c>
      <c r="O93" s="2" t="inlineStr">
        <is>
          <t>Mock</t>
        </is>
      </c>
      <c r="P93" s="2" t="inlineStr">
        <is>
          <t>Pharma Plus เล่มม่วง</t>
        </is>
      </c>
    </row>
    <row r="94" ht="13.2" customHeight="1" s="49">
      <c r="A94" s="2" t="n">
        <v>125</v>
      </c>
      <c r="B94" s="2" t="inlineStr">
        <is>
          <t>ข้อใดถูกต้องเกี่ยวกับยา benzoyl peroxide</t>
        </is>
      </c>
      <c r="C94" s="2" t="n"/>
      <c r="D94" s="2" t="inlineStr">
        <is>
          <t>เป็นยาควบคุมพิเศษ</t>
        </is>
      </c>
      <c r="E94" s="2" t="inlineStr">
        <is>
          <t>เป็นยาแผนปัจจุบัน</t>
        </is>
      </c>
      <c r="F94" s="2" t="inlineStr">
        <is>
          <t>เป็นวัตถุออกฤทธิ์ต่อจิตประสาท</t>
        </is>
      </c>
      <c r="G94" s="2" t="inlineStr">
        <is>
          <t>เป็นวัตถุเสพติดให้โทษประเภท 3</t>
        </is>
      </c>
      <c r="H94" s="2" t="inlineStr">
        <is>
          <t>เป็นยาสามัญประจำบ้าน</t>
        </is>
      </c>
      <c r="I94" s="2" t="n">
        <v>1</v>
      </c>
      <c r="J94" s="2"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2" t="n"/>
      <c r="L94" s="2" t="inlineStr">
        <is>
          <t>พ.ร.บ. ยา พ.ศ. 2510</t>
        </is>
      </c>
      <c r="M94" s="2" t="inlineStr">
        <is>
          <t>SAP</t>
        </is>
      </c>
      <c r="N94" s="2" t="inlineStr">
        <is>
          <t>ข้อ 125 Pharma Plus เล่มม่วง (เฉลยข้อ ไมมีคำตอบ)</t>
        </is>
      </c>
      <c r="O94" s="2" t="inlineStr">
        <is>
          <t>Mock</t>
        </is>
      </c>
      <c r="P94" s="2" t="inlineStr">
        <is>
          <t>Pharma Plus เล่มม่วง</t>
        </is>
      </c>
    </row>
    <row r="95" ht="13.2" customHeight="1" s="49">
      <c r="A95" s="2" t="n">
        <v>126</v>
      </c>
      <c r="B95" s="2" t="inlineStr">
        <is>
          <t>ข้อใดคۆیาผิดมาตรฐานฐาน</t>
        </is>
      </c>
      <c r="C95" s="2" t="n"/>
      <c r="D95" s="2" t="inlineStr">
        <is>
          <t>ผสม cotrimazole ร่วมกับ terbenafine เพื่อลดต้นทุน</t>
        </is>
      </c>
      <c r="E95" s="2" t="inlineStr">
        <is>
          <t>ในฉลากระบุวันหมดอายุ คือ มกราคม 2009 แต่ความจริงหมดอายุเมื่อ มกราคม 2019</t>
        </is>
      </c>
      <c r="F95" s="2" t="inlineStr">
        <is>
          <t>ยามี %LA = 87%</t>
        </is>
      </c>
      <c r="G95" s="2" t="inlineStr">
        <is>
          <t>ยาหมดอายุตามที่ระบุไว้ในฉลาก</t>
        </is>
      </c>
      <c r="H95" s="2" t="inlineStr">
        <is>
          <t>แจ้งที่อยู่ในการผลิต ไม่ตรงกับที่ขึ้นทะเบียนยา</t>
        </is>
      </c>
      <c r="I95" s="2" t="n">
        <v>3</v>
      </c>
      <c r="J95" s="2"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2" t="n"/>
      <c r="L95" s="2" t="inlineStr">
        <is>
          <t>พ.ร.บ. ยา พ.ศ. 2510</t>
        </is>
      </c>
      <c r="M95" s="2" t="inlineStr">
        <is>
          <t>SAP</t>
        </is>
      </c>
      <c r="N95" s="2" t="inlineStr">
        <is>
          <t>ข้อ 126 Pharma Plus เล่มม่วง (เฉลยข้อ ค)</t>
        </is>
      </c>
      <c r="O95" s="2" t="inlineStr">
        <is>
          <t>Mock</t>
        </is>
      </c>
      <c r="P95" s="2" t="inlineStr">
        <is>
          <t>Pharma Plus เล่มม่วง</t>
        </is>
      </c>
    </row>
    <row r="96" ht="13.2" customHeight="1" s="49">
      <c r="A96" s="2" t="n">
        <v>127</v>
      </c>
      <c r="B96" s="2" t="inlineStr">
        <is>
          <t>ยาที่ใช้ในโรคผิวหนังของชายผู้นี้ รายการใดที่ผู้ป่วยไม่สามารถเรียกซื้อได้จากเภสัชกรหากไม่มีใบสั่งยาจากแพทย์</t>
        </is>
      </c>
      <c r="C96" s="2" t="n"/>
      <c r="D96" s="2" t="inlineStr">
        <is>
          <t>Coal tar shampoo</t>
        </is>
      </c>
      <c r="E96" s="2" t="inlineStr">
        <is>
          <t>Dexamethasone cream</t>
        </is>
      </c>
      <c r="F96" s="2" t="inlineStr">
        <is>
          <t>Betamethasone + salicylic ointment</t>
        </is>
      </c>
      <c r="G96" s="2" t="inlineStr">
        <is>
          <t>Hydroxyzine tablet 25 mg</t>
        </is>
      </c>
      <c r="H96" s="2" t="inlineStr">
        <is>
          <t>Methotrexate tab 2.5 mg</t>
        </is>
      </c>
      <c r="I96" s="2" t="n">
        <v>5</v>
      </c>
      <c r="J96" s="2"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2" t="n"/>
      <c r="L96" s="2" t="inlineStr">
        <is>
          <t>พ.ร.บ. ยา พ.ศ. 2510</t>
        </is>
      </c>
      <c r="M96" s="2" t="inlineStr">
        <is>
          <t>SAP</t>
        </is>
      </c>
      <c r="N96" s="2" t="inlineStr">
        <is>
          <t>ข้อ 127 Pharma Plus เล่มม่วง (เฉลยข้อ จ)</t>
        </is>
      </c>
      <c r="O96" s="2" t="inlineStr">
        <is>
          <t>Mock</t>
        </is>
      </c>
      <c r="P96" s="2" t="inlineStr">
        <is>
          <t>Pharma Plus เล่มม่วง</t>
        </is>
      </c>
    </row>
    <row r="97" ht="13.2" customHeight="1" s="49">
      <c r="A97" s="2" t="n">
        <v>130</v>
      </c>
      <c r="B97" s="2" t="inlineStr">
        <is>
          <t>จากบัญชียาหลักแห่งชาติ ยา cisplatin จัดอยู่ในบัญชี ค. มีความหมายว่าอย่างไร</t>
        </is>
      </c>
      <c r="C97" s="2" t="n"/>
      <c r="D97" s="2"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2"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2" t="inlineStr">
        <is>
          <t>รายการยาที่ต้องใช้ในโรคเฉพาะทาง โดยผู้ชำนาญ หรือผู้ที่ได้รับมอบหมายจากผู้อำนวยการของสถานพยาบาล</t>
        </is>
      </c>
      <c r="G97" s="2"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2" t="inlineStr">
        <is>
          <t>รายการยาสำหรับโครงการพิเศษของรัฐ เพื่อใช้ในยามฉุกเฉิน</t>
        </is>
      </c>
      <c r="I97" s="2" t="n">
        <v>3</v>
      </c>
      <c r="J97" s="2"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2" t="n"/>
      <c r="L97" s="2" t="inlineStr">
        <is>
          <t>พ.ร.บ. ยา พ.ศ. 2510</t>
        </is>
      </c>
      <c r="M97" s="2" t="inlineStr">
        <is>
          <t>SAP</t>
        </is>
      </c>
      <c r="N97" s="2" t="inlineStr">
        <is>
          <t>ข้อ 130 Pharma Plus เล่มม่วง (เฉลยข้อ ค)</t>
        </is>
      </c>
      <c r="O97" s="2" t="inlineStr">
        <is>
          <t>Mock</t>
        </is>
      </c>
      <c r="P97" s="2" t="inlineStr">
        <is>
          <t>Pharma Plus เล่มม่วง</t>
        </is>
      </c>
    </row>
    <row r="98" ht="13.2" customHeight="1" s="49">
      <c r="A98" s="2" t="n">
        <v>131</v>
      </c>
      <c r="B98" s="2"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2" t="n"/>
      <c r="D98" s="2" t="inlineStr">
        <is>
          <t>Cost effectiveness analysis (CEA)</t>
        </is>
      </c>
      <c r="E98" s="2" t="inlineStr">
        <is>
          <t>Cost minimization analysis (CMA)</t>
        </is>
      </c>
      <c r="F98" s="2" t="inlineStr">
        <is>
          <t>Cost benefit analysis</t>
        </is>
      </c>
      <c r="G98" s="2" t="inlineStr">
        <is>
          <t>Cost utility analysis</t>
        </is>
      </c>
      <c r="H98" s="2" t="inlineStr">
        <is>
          <t>ถูกทุกข้อ</t>
        </is>
      </c>
      <c r="I98" s="2" t="n">
        <v>1</v>
      </c>
      <c r="J98" s="2"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2" t="n"/>
      <c r="L98" s="2" t="inlineStr">
        <is>
          <t>พ.ร.บ. ยา พ.ศ. 2510</t>
        </is>
      </c>
      <c r="M98" s="2" t="inlineStr">
        <is>
          <t>SAP</t>
        </is>
      </c>
      <c r="N98" s="2" t="inlineStr">
        <is>
          <t>ข้อ 131 Pharma Plus เล่มม่วง (เฉลยข้อ ก)</t>
        </is>
      </c>
      <c r="O98" s="2" t="inlineStr">
        <is>
          <t>Mock</t>
        </is>
      </c>
      <c r="P98" s="2" t="inlineStr">
        <is>
          <t>Pharma Plus เล่มม่วง</t>
        </is>
      </c>
    </row>
    <row r="99" ht="13.2" customHeight="1" s="49">
      <c r="A99" s="2" t="n">
        <v>132</v>
      </c>
      <c r="B99" s="2" t="inlineStr">
        <is>
          <t>ข้อความต่อไปนี้ 2A 33/28 น่าจะปรากฏอยู่บนฉลากของยาใด</t>
        </is>
      </c>
      <c r="C99" s="2" t="n"/>
      <c r="D99" s="2" t="inlineStr">
        <is>
          <t>Prednisolone</t>
        </is>
      </c>
      <c r="E99" s="2" t="inlineStr">
        <is>
          <t>Cyclophosphamide</t>
        </is>
      </c>
      <c r="F99" s="2" t="inlineStr">
        <is>
          <t>Enalapril</t>
        </is>
      </c>
      <c r="G99" s="2" t="inlineStr">
        <is>
          <t>Calcium carbonate</t>
        </is>
      </c>
      <c r="H99" s="2" t="inlineStr">
        <is>
          <t>Obimin AF</t>
        </is>
      </c>
      <c r="I99" s="2" t="n">
        <v>5</v>
      </c>
      <c r="J99" s="2"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2" t="n"/>
      <c r="L99" s="2" t="inlineStr">
        <is>
          <t>พ.ร.บ. ยา พ.ศ. 2510</t>
        </is>
      </c>
      <c r="M99" s="2" t="inlineStr">
        <is>
          <t>SAP</t>
        </is>
      </c>
      <c r="N99" s="2" t="inlineStr">
        <is>
          <t>ข้อ 132 Pharma Plus เล่มม่วง (เฉลยข้อ จ)</t>
        </is>
      </c>
      <c r="O99" s="2" t="inlineStr">
        <is>
          <t>Mock</t>
        </is>
      </c>
      <c r="P99" s="2" t="inlineStr">
        <is>
          <t>Pharma Plus เล่มม่วง</t>
        </is>
      </c>
    </row>
    <row r="100" ht="13.2" customHeight="1" s="49">
      <c r="A100" s="2" t="n">
        <v>133</v>
      </c>
      <c r="B100" s="2" t="inlineStr">
        <is>
          <t>Augmentin เป็นยาประเภทใดตามกฎหมาย</t>
        </is>
      </c>
      <c r="C100" s="2" t="n"/>
      <c r="D100" s="2" t="inlineStr">
        <is>
          <t>ยาอันตราย</t>
        </is>
      </c>
      <c r="E100" s="2" t="inlineStr">
        <is>
          <t>ยาควบคุมพิเศษ</t>
        </is>
      </c>
      <c r="F100" s="2" t="inlineStr">
        <is>
          <t>ยาสามัญประจำบ้าน</t>
        </is>
      </c>
      <c r="G100" s="2" t="inlineStr">
        <is>
          <t>วัตถุออกฤทธิ์ต่อจิตและประสาท</t>
        </is>
      </c>
      <c r="H100" s="2" t="inlineStr">
        <is>
          <t>ยาเสพติดให้โทษ</t>
        </is>
      </c>
      <c r="I100" s="2" t="n">
        <v>1</v>
      </c>
      <c r="J1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2" t="n"/>
      <c r="L100" s="2" t="inlineStr">
        <is>
          <t>พ.ร.บ. ยา พ.ศ. 2510</t>
        </is>
      </c>
      <c r="M100" s="2" t="inlineStr">
        <is>
          <t>SAP</t>
        </is>
      </c>
      <c r="N100" s="2" t="inlineStr">
        <is>
          <t>ข้อ 133 Pharma Plus เล่มม่วง (เฉลยข้อ ก)</t>
        </is>
      </c>
      <c r="O100" s="2" t="inlineStr">
        <is>
          <t>Mock</t>
        </is>
      </c>
      <c r="P100" s="2" t="inlineStr">
        <is>
          <t>Pharma Plus เล่มม่วง</t>
        </is>
      </c>
    </row>
    <row r="101" ht="13.2" customHeight="1" s="49">
      <c r="A101" s="8" t="inlineStr">
        <is>
          <t>100</t>
        </is>
      </c>
      <c r="B101"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2" t="n"/>
      <c r="D101" s="2" t="inlineStr">
        <is>
          <t>Accurate</t>
        </is>
      </c>
      <c r="E101" s="2" t="inlineStr">
        <is>
          <t>Contemporary</t>
        </is>
      </c>
      <c r="F101" s="2" t="inlineStr">
        <is>
          <t>Enduring</t>
        </is>
      </c>
      <c r="G101" s="2" t="inlineStr">
        <is>
          <t>Legible</t>
        </is>
      </c>
      <c r="H101" s="2" t="inlineStr">
        <is>
          <t>Original</t>
        </is>
      </c>
      <c r="I101" s="8" t="inlineStr">
        <is>
          <t>1</t>
        </is>
      </c>
      <c r="J101" s="2"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2" t="n"/>
      <c r="L101" s="2" t="inlineStr">
        <is>
          <t>พ.ร.บ. ยา พ.ศ. 2510</t>
        </is>
      </c>
      <c r="M101" s="2" t="inlineStr">
        <is>
          <t>Law &amp; Regulations &amp; Ethics</t>
        </is>
      </c>
      <c r="N101" s="2" t="inlineStr">
        <is>
          <t>Mock PLE-CC 1 ข้อ 8</t>
        </is>
      </c>
      <c r="O101" s="2" t="inlineStr">
        <is>
          <t>Mock</t>
        </is>
      </c>
      <c r="P101" s="2" t="inlineStr">
        <is>
          <t>Mock RxCU83</t>
        </is>
      </c>
      <c r="Q101" s="2" t="n"/>
    </row>
    <row r="102" ht="13.2" customHeight="1" s="49">
      <c r="A102" s="8" t="inlineStr">
        <is>
          <t>101</t>
        </is>
      </c>
      <c r="B102" s="2"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2" t="n"/>
      <c r="D102" s="2" t="inlineStr">
        <is>
          <t>สิทธิประกันสุขภาพแห่งชาติ</t>
        </is>
      </c>
      <c r="E102" s="2" t="inlineStr">
        <is>
          <t>สิทธิประกันสังคม</t>
        </is>
      </c>
      <c r="F102" s="2" t="inlineStr">
        <is>
          <t>สิทธิข้าราชการ</t>
        </is>
      </c>
      <c r="G102" s="2" t="inlineStr">
        <is>
          <t>สิทธิ 30 บาท</t>
        </is>
      </c>
      <c r="H102" s="2" t="inlineStr">
        <is>
          <t>สิทธิบัตรทอง</t>
        </is>
      </c>
      <c r="I102" s="8" t="inlineStr">
        <is>
          <t>1</t>
        </is>
      </c>
      <c r="J102" s="2"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2" t="n"/>
      <c r="L102" s="2" t="inlineStr">
        <is>
          <t>พ.ร.บ. ยา พ.ศ. 2510</t>
        </is>
      </c>
      <c r="M102" s="2" t="inlineStr">
        <is>
          <t>Law &amp; Regulations &amp; Ethics</t>
        </is>
      </c>
      <c r="N102" s="2" t="inlineStr">
        <is>
          <t>Mock PLE-CC 1 ข้อ 11</t>
        </is>
      </c>
      <c r="O102" s="2" t="inlineStr">
        <is>
          <t>Mock</t>
        </is>
      </c>
      <c r="P102" s="2" t="inlineStr">
        <is>
          <t>Mock RxCU83</t>
        </is>
      </c>
      <c r="Q102" s="2" t="n"/>
    </row>
    <row r="103" ht="13.2" customHeight="1" s="49">
      <c r="A103" s="8" t="inlineStr">
        <is>
          <t>102</t>
        </is>
      </c>
      <c r="B103" s="2" t="inlineStr">
        <is>
          <t>ต้องแจ้งให้คำแนะนำให้แพทย์ให้ยาได้ครั้งละประมาณเท่าไหร่จึงจะได้ประสิทธิภาพใกล้เคียงเดิม</t>
        </is>
      </c>
      <c r="C103" s="2" t="n"/>
      <c r="D103" s="2" t="inlineStr">
        <is>
          <t>3 ml</t>
        </is>
      </c>
      <c r="E103" s="2" t="inlineStr">
        <is>
          <t>6 ml</t>
        </is>
      </c>
      <c r="F103" s="2" t="inlineStr">
        <is>
          <t>9 ml</t>
        </is>
      </c>
      <c r="G103" s="2" t="inlineStr">
        <is>
          <t>12 ml</t>
        </is>
      </c>
      <c r="H103" s="2"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t>
        </is>
      </c>
      <c r="I103" s="8" t="inlineStr">
        <is>
          <t>1</t>
        </is>
      </c>
      <c r="J103" s="2" t="inlineStr">
        <is>
          <t>✅ คำตอบที่ถูกต้อง: ข้อ ก. 3 ml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2" t="n"/>
      <c r="L103" s="2" t="inlineStr">
        <is>
          <t>พ.ร.บ. ยา พ.ศ. 2510</t>
        </is>
      </c>
      <c r="M103" s="2" t="inlineStr">
        <is>
          <t>Law &amp; Regulations &amp; Ethics</t>
        </is>
      </c>
      <c r="N103" s="2" t="inlineStr">
        <is>
          <t>PLE_CC1_2567_Key ข้อ 13</t>
        </is>
      </c>
      <c r="O103" s="2" t="inlineStr">
        <is>
          <t>ข้อสอบจริง</t>
        </is>
      </c>
      <c r="P103" s="2" t="inlineStr">
        <is>
          <t>ปี 2567</t>
        </is>
      </c>
      <c r="Q103" s="2" t="n"/>
    </row>
    <row r="104" ht="13.2" customHeight="1" s="49">
      <c r="A104" s="8" t="inlineStr">
        <is>
          <t>103</t>
        </is>
      </c>
      <c r="B104" s="2" t="inlineStr">
        <is>
          <t>เคสนี้หลังจากผ่าตัดได้ 1 วัน pain score ได้ 8/10 ไม่ควรใช้ยาแก้ปวดตัวใด Opioid เ"นJตาKน B1 'ใILองMน Wernicke’s encephalopathy Antidote ของ Opioid Antidote ของ Benzodiazepine &gt; คoมาpอ CPM 100 เjด 5 กระiก ไปใ;เqก เrอ&gt;น sอเ"นการใ'ยาแบบtอง0น โดยไFc-อuงใ'ทางการแพทH และเ"นการ(ายยาvนวนมากwดปกx &gt; เภyชvเ"น{องประเ|นความเหมาะสม}อน(ายยา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2" t="n"/>
      <c r="D104" s="2" t="inlineStr">
        <is>
          <t>amitriptyline</t>
        </is>
      </c>
      <c r="E104" s="2" t="inlineStr">
        <is>
          <t>paracetamol</t>
        </is>
      </c>
      <c r="F104" s="2" t="inlineStr">
        <is>
          <t>ketorolac</t>
        </is>
      </c>
      <c r="G104" s="2" t="inlineStr">
        <is>
          <t>pethidine</t>
        </is>
      </c>
      <c r="H104" s="2" t="inlineStr">
        <is>
          <t>fentanyl</t>
        </is>
      </c>
      <c r="I104" s="8" t="inlineStr">
        <is>
          <t>1</t>
        </is>
      </c>
      <c r="J104" s="2"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2" t="n"/>
      <c r="L104" s="2" t="inlineStr">
        <is>
          <t>พ.ร.บ. วิชาชีพเภสัชกรรม 2537</t>
        </is>
      </c>
      <c r="M104" s="2" t="inlineStr">
        <is>
          <t>Law &amp; Regulations &amp; Ethics</t>
        </is>
      </c>
      <c r="N104" s="2" t="inlineStr">
        <is>
          <t>PLE_CC1_2567_Set1_Key ข้อ 15</t>
        </is>
      </c>
      <c r="O104" s="2" t="inlineStr">
        <is>
          <t>ข้อสอบจริง</t>
        </is>
      </c>
      <c r="P104" s="2" t="inlineStr">
        <is>
          <t>ปี 2567</t>
        </is>
      </c>
      <c r="Q104" s="2" t="n"/>
    </row>
    <row r="105" ht="13.2" customHeight="1" s="49">
      <c r="A105" s="8" t="inlineStr">
        <is>
          <t>104</t>
        </is>
      </c>
      <c r="B105" s="2" t="inlineStr">
        <is>
          <t>หากไม่สามารถฉีดได้ภายในวันเดียวกับที่ฉีดวัคซีนไม่ควรฉีดให้ ห่างจากวันที่ฉีดวัคซีนไป7 วัน (จริงๆแต่ละช้อยมันยาวกว่านี้) ??? กฎหมายเภสัชกรลาชั่วคราวอยากได้เภสัชกรที่อื่นมาประจำร้าน แทนต้องทำยังไงถามข้อใดไม่ถูกตามที่กฎหมายกำหนด ??? เภสัชไม่สวมเสื้อกาวน์ขณะปฏิบัติวิชาชีพผิดข้อบังคับจรรณยาบร รณข้อไหน</t>
        </is>
      </c>
      <c r="C105" s="2" t="n"/>
      <c r="D105" s="2" t="inlineStr">
        <is>
          <t>Law &amp; Regulations &amp; Ethics</t>
        </is>
      </c>
      <c r="E105" s="2" t="inlineStr">
        <is>
          <t>พ.ร.บ. ยา พ.ศ. 2510 (การจำหน่ายยาอันตรายและยาควบคุมพิเศษ)</t>
        </is>
      </c>
      <c r="F105" s="2" t="inlineStr">
        <is>
          <t>พ.ร.บ. ยาเสพติดให้โทษ พ.ศ. 2522 (ยาเสพติดให้โทษประเภท 2 และ 3)</t>
        </is>
      </c>
      <c r="G105" s="2" t="inlineStr">
        <is>
          <t>พ.ร.บ. วัตถุที่ออกฤทธิ์ต่อจิตและประสาท พ.ศ. 2559 (ประเภท 2 และ 4)</t>
        </is>
      </c>
      <c r="H105" s="2" t="inlineStr">
        <is>
          <t>พ.ร.บ. วิชาชีพเภสัชกรรม พ.ศ. 2537 และข้อบังคับจรรยาบรรณวิชาชีพ</t>
        </is>
      </c>
      <c r="I105" s="8" t="inlineStr">
        <is>
          <t>1</t>
        </is>
      </c>
      <c r="J105" s="2" t="inlineStr">
        <is>
          <t>✅ คำตอบที่ถูกต้อง: ข้อ ก. Law &amp; Regulations &amp; Ethics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5" s="2" t="n"/>
      <c r="L105" s="2" t="inlineStr">
        <is>
          <t>พ.ร.บ. ยา พ.ศ. 2510</t>
        </is>
      </c>
      <c r="M105" s="2" t="inlineStr">
        <is>
          <t>Law &amp; Regulations &amp; Ethics</t>
        </is>
      </c>
      <c r="N105" s="2" t="inlineStr">
        <is>
          <t>PLE-CC1 ปี 2566 Day 1 ข้อ 5</t>
        </is>
      </c>
      <c r="O105" s="2" t="inlineStr">
        <is>
          <t>ข้อสอบจริง</t>
        </is>
      </c>
      <c r="P105" s="2" t="inlineStr">
        <is>
          <t>ปี 2566</t>
        </is>
      </c>
    </row>
    <row r="106" ht="13.2" customHeight="1" s="49">
      <c r="A106" s="8" t="inlineStr">
        <is>
          <t>105</t>
        </is>
      </c>
      <c r="B106" s="2" t="inlineStr">
        <is>
          <t>กฎหมายออกยาที่ไม่ต้องทำบัญชีขย11. ตัวเลือก</t>
        </is>
      </c>
      <c r="C106" s="2" t="n"/>
      <c r="D106" s="2" t="inlineStr">
        <is>
          <t>Law &amp; Regulations &amp; Ethics</t>
        </is>
      </c>
      <c r="E106" s="2" t="inlineStr">
        <is>
          <t>พ.ร.บ. วิชาชีพเภสัชกรรม พ.ศ. 2537 และข้อบังคับจรรยาบรรณวิชาชีพ</t>
        </is>
      </c>
      <c r="F106" s="2" t="inlineStr">
        <is>
          <t>พ.ร.บ. ผลิตภัณฑ์สมุนไพร พ.ศ. 2562</t>
        </is>
      </c>
      <c r="G106" s="2" t="inlineStr">
        <is>
          <t>พ.ร.บ. เครื่องสำอาง พ.ศ. 2558</t>
        </is>
      </c>
      <c r="H106" s="2" t="inlineStr">
        <is>
          <t>พ.ร.บ. หลักประกันสุขภาพแห่งชาติ พ.ศ. 2545</t>
        </is>
      </c>
      <c r="I106" s="8" t="inlineStr">
        <is>
          <t>1</t>
        </is>
      </c>
      <c r="J10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6" s="2" t="n"/>
      <c r="L106" s="2" t="inlineStr">
        <is>
          <t>พ.ร.บ. ยา พ.ศ. 2510</t>
        </is>
      </c>
      <c r="M106" s="2" t="inlineStr">
        <is>
          <t>Law &amp; Regulations &amp; Ethics</t>
        </is>
      </c>
      <c r="N106" s="2" t="inlineStr">
        <is>
          <t>PLE-CC1 ปี 2566 Day 2 ข้อ 24</t>
        </is>
      </c>
      <c r="O106" s="2" t="inlineStr">
        <is>
          <t>ข้อสอบจริง</t>
        </is>
      </c>
      <c r="P106" s="2" t="inlineStr">
        <is>
          <t>ปี 2566</t>
        </is>
      </c>
    </row>
    <row r="107" ht="13.2" customHeight="1" s="49">
      <c r="A107" s="8" t="inlineStr">
        <is>
          <t>106</t>
        </is>
      </c>
      <c r="B107" s="2" t="inlineStr">
        <is>
          <t>ขายได้เพราะร้านขายยาแผนปัจจุบันตามกฎหมายยาได้รับการยกเว้นไม่ต้องขออนุญาต</t>
        </is>
      </c>
      <c r="C107" s="2" t="n"/>
      <c r="D107" s="2" t="inlineStr">
        <is>
          <t>Law &amp; Regulations &amp; Ethics</t>
        </is>
      </c>
      <c r="E107" s="2" t="inlineStr">
        <is>
          <t>พ.ร.บ. หลักประกันสุขภาพแห่งชาติ พ.ศ. 2545</t>
        </is>
      </c>
      <c r="F107" s="2" t="inlineStr">
        <is>
          <t>การปฏิบัติทางเภสัชกรรมชุมชน (Good Pharmacy Practice: GPP)</t>
        </is>
      </c>
      <c r="G107" s="2" t="inlineStr">
        <is>
          <t>บัญชียาหลักแห่งชาติ (National List of Essential Medicines: NLEM)</t>
        </is>
      </c>
      <c r="H107" s="2" t="inlineStr">
        <is>
          <t>เกณฑ์จริยธรรมว่าด้วยการส่งเสริมการขายยาของกระทรวงสาธารณสุข</t>
        </is>
      </c>
      <c r="I107" s="8" t="inlineStr">
        <is>
          <t>5</t>
        </is>
      </c>
      <c r="J107" s="2" t="inlineStr">
        <is>
          <t>✅ คำตอบที่ถูกต้อง: ข้อ จ. เกณฑ์จริยธรรมว่าด้วยการส่งเสริมการขายยาของกระทรวงสาธารณสุข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เกณฑ์จริยธรรมว่าด้วยการส่งเสริมการขายยาของกระทรวงสาธารณสุข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7" s="2" t="n"/>
      <c r="L107" s="2" t="inlineStr">
        <is>
          <t>พ.ร.บ. ยา พ.ศ. 2510</t>
        </is>
      </c>
      <c r="M107" s="2" t="inlineStr">
        <is>
          <t>Law &amp; Regulations &amp; Ethics</t>
        </is>
      </c>
      <c r="N107" s="2" t="inlineStr">
        <is>
          <t>PLE-CC1 ปี 2566 Day 2 ข้อ 5</t>
        </is>
      </c>
      <c r="O107" s="2" t="inlineStr">
        <is>
          <t>ข้อสอบจริง</t>
        </is>
      </c>
      <c r="P107" s="2" t="inlineStr">
        <is>
          <t>ปี 2566</t>
        </is>
      </c>
    </row>
    <row r="108" ht="13.2" customHeight="1" s="49">
      <c r="A108" s="8" t="inlineStr">
        <is>
          <t>107</t>
        </is>
      </c>
      <c r="B108" s="2" t="inlineStr">
        <is>
          <t>สถานการณ์ต่อเนื่องพาร์ทกฎหมายถ้าร้านขายยาแผนปัจจุบันขึ้นป้ายแสดงว่า“ ภ.ก. XXXX XXX (เกียรตินิยมอันดับ1) ภ.บ. จบ จากสหรัฐอเมริกาเวลาทำการ07.00 - 19.00 น. ร้านนี้ยาดีราคาถูกที่สุด… ” ถามว่าข้อความใดสามารถแสดงบนป้ายได้ ตัวเลือก</t>
        </is>
      </c>
      <c r="C108" s="2" t="n"/>
      <c r="D108" s="2" t="inlineStr">
        <is>
          <t>Law &amp; Regulations &amp; Ethics</t>
        </is>
      </c>
      <c r="E108" s="2" t="inlineStr">
        <is>
          <t>เกณฑ์จริยธรรมว่าด้วยการส่งเสริมการขายยาของกระทรวงสาธารณสุข</t>
        </is>
      </c>
      <c r="F108" s="2" t="inlineStr">
        <is>
          <t>พ.ร.บ. ยา พ.ศ. 2510 (การจำหน่ายยาอันตรายและยาควบคุมพิเศษ)</t>
        </is>
      </c>
      <c r="G108" s="2" t="inlineStr">
        <is>
          <t>พ.ร.บ. ยาเสพติดให้โทษ พ.ศ. 2522 (ยาเสพติดให้โทษประเภท 2 และ 3)</t>
        </is>
      </c>
      <c r="H108" s="2" t="inlineStr">
        <is>
          <t>พ.ร.บ. วัตถุที่ออกฤทธิ์ต่อจิตและประสาท พ.ศ. 2559 (ประเภท 2 และ 4)</t>
        </is>
      </c>
      <c r="I108" s="8" t="inlineStr">
        <is>
          <t>1</t>
        </is>
      </c>
      <c r="J10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8" s="2" t="n"/>
      <c r="L108" s="2" t="inlineStr">
        <is>
          <t>พ.ร.บ. ยา พ.ศ. 2510</t>
        </is>
      </c>
      <c r="M108" s="2" t="inlineStr">
        <is>
          <t>Law &amp; Regulations &amp; Ethics</t>
        </is>
      </c>
      <c r="N108" s="2" t="inlineStr">
        <is>
          <t>PLE-CC1 ปี 2566 Day 2 ข้อ 73</t>
        </is>
      </c>
      <c r="O108" s="2" t="inlineStr">
        <is>
          <t>ข้อสอบจริง</t>
        </is>
      </c>
      <c r="P108" s="2" t="inlineStr">
        <is>
          <t>ปี 2566</t>
        </is>
      </c>
    </row>
    <row r="109" ht="13.2" customHeight="1" s="49">
      <c r="A109" s="8" t="inlineStr">
        <is>
          <t>108</t>
        </is>
      </c>
      <c r="B109" s="2" t="inlineStr">
        <is>
          <t>ยาใดไม;ตองทำ ขย. 11 ตาม พรบ. ยา 2510 ยา$อง'ขย. 11 )างงตามประกาศ อย. เ3อง รายการยา4นตราย$อง'6ญ8การขายยา ไ:แ&lt;</t>
        </is>
      </c>
      <c r="C109" s="2" t="n"/>
      <c r="D109" s="2" t="inlineStr">
        <is>
          <t>Law &amp; Regulations &amp; Ethics</t>
        </is>
      </c>
      <c r="E109" s="2" t="inlineStr">
        <is>
          <t>พ.ร.บ. วัตถุที่ออกฤทธิ์ต่อจิตและประสาท พ.ศ. 2559 (ประเภท 2 และ 4)</t>
        </is>
      </c>
      <c r="F109" s="2" t="inlineStr">
        <is>
          <t>พ.ร.บ. วิชาชีพเภสัชกรรม พ.ศ. 2537 และข้อบังคับจรรยาบรรณวิชาชีพ</t>
        </is>
      </c>
      <c r="G109" s="2" t="inlineStr">
        <is>
          <t>พ.ร.บ. ผลิตภัณฑ์สมุนไพร พ.ศ. 2562</t>
        </is>
      </c>
      <c r="H109" s="2" t="inlineStr">
        <is>
          <t>พ.ร.บ. เครื่องสำอาง พ.ศ. 2558</t>
        </is>
      </c>
      <c r="I109" s="8" t="inlineStr">
        <is>
          <t>1</t>
        </is>
      </c>
      <c r="J109"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9" s="2" t="n"/>
      <c r="L109" s="2" t="inlineStr">
        <is>
          <t>พ.ร.บ. ยา พ.ศ. 2510</t>
        </is>
      </c>
      <c r="M109" s="2" t="inlineStr">
        <is>
          <t>Law &amp; Regulations &amp; Ethics</t>
        </is>
      </c>
      <c r="N109" s="2" t="inlineStr">
        <is>
          <t>PLE_CC1_2565_Day1_Key ข้อ 76</t>
        </is>
      </c>
      <c r="O109" s="2" t="inlineStr">
        <is>
          <t>ข้อสอบจริง</t>
        </is>
      </c>
      <c r="P109" s="2" t="inlineStr">
        <is>
          <t>ปี 2565</t>
        </is>
      </c>
    </row>
    <row r="110" ht="13.2" customHeight="1" s="49">
      <c r="A110" s="8" t="inlineStr">
        <is>
          <t>109</t>
        </is>
      </c>
      <c r="B110" s="2" t="inlineStr">
        <is>
          <t>ยาใดไม;ตองทำ ขย. 11 ตาม พรบ. ยา 2510</t>
        </is>
      </c>
      <c r="C110" s="2" t="n"/>
      <c r="D110" s="2" t="inlineStr">
        <is>
          <t>Tramadol เดี่ยวและผสม</t>
        </is>
      </c>
      <c r="E110" s="2" t="inlineStr">
        <is>
          <t>Dextromethorphan เดี่ยวและผสม</t>
        </is>
      </c>
      <c r="F110" s="2" t="inlineStr">
        <is>
          <t>CPM เดี่ยวและผสม เฉพาะยาน้ำ</t>
        </is>
      </c>
      <c r="G110" s="2" t="inlineStr">
        <is>
          <t>Cetirizine เดี่ยวและผสม เฉพาะยาน้ำ</t>
        </is>
      </c>
      <c r="H110" s="2" t="inlineStr">
        <is>
          <t>Diphenhydramine เดี่ยวและผสม เฉพาะยาน้ำ ิ</t>
        </is>
      </c>
      <c r="I110" s="8" t="inlineStr">
        <is>
          <t>1</t>
        </is>
      </c>
      <c r="J110" s="2" t="inlineStr">
        <is>
          <t>✅ คำตอบที่ถูกต้อง: ข้อ ก. Tramadol เดี่ยวและผสม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2" t="n"/>
      <c r="L110" s="2" t="inlineStr">
        <is>
          <t>พ.ร.บ. ยา พ.ศ. 2510</t>
        </is>
      </c>
      <c r="M110" s="2" t="inlineStr">
        <is>
          <t>Law &amp; Regulations &amp; Ethics</t>
        </is>
      </c>
      <c r="N110" s="2" t="inlineStr">
        <is>
          <t>PLE_CC1_2565_Day1_Key ข้อ 76</t>
        </is>
      </c>
      <c r="O110" s="2" t="inlineStr">
        <is>
          <t>ข้อสอบจริง</t>
        </is>
      </c>
      <c r="P110" s="2" t="inlineStr">
        <is>
          <t>ปี 2565</t>
        </is>
      </c>
      <c r="Q110" s="2" t="n"/>
    </row>
    <row r="111" ht="13.2" customHeight="1" s="49">
      <c r="A111" s="8" t="inlineStr">
        <is>
          <t>110</t>
        </is>
      </c>
      <c r="B111" s="2" t="inlineStr">
        <is>
          <t>พรบ.ยา ฉบับ 6 ปh 2562 ใบสำคัญการขึ้นทะเบียนตำรับปh 2565 ขอใดถูก</t>
        </is>
      </c>
      <c r="C111" s="2" t="n"/>
      <c r="D111" s="2" t="inlineStr">
        <is>
          <t>5 ปhตั้งแต;วันที่ออกใบสำคัญการขึ้นทะเบียน</t>
        </is>
      </c>
      <c r="E111" s="2" t="inlineStr">
        <is>
          <t>7 ปhตั้งแต;วันที่ออกใบสำคัญการขึ้นทะเบียน</t>
        </is>
      </c>
      <c r="F111" s="2" t="inlineStr">
        <is>
          <t>9 ปhตั้งแต;วันที่ออกใบสำคัญการขึ้นทะเบียน</t>
        </is>
      </c>
      <c r="G111" s="2" t="inlineStr">
        <is>
          <t>วันที่ 31 ธันวาคม ของปhที่ 5 หลังจากออกใบสำคัญการขึ้นทะเบียน</t>
        </is>
      </c>
      <c r="H111" s="2"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8" t="inlineStr">
        <is>
          <t>1</t>
        </is>
      </c>
      <c r="J111" s="2" t="inlineStr">
        <is>
          <t>✅ คำตอบที่ถูกต้อง: ข้อ ก. 5 ปhตั้งแต;วันที่ออกใบสำคัญการขึ้นทะเบียน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2" t="n"/>
      <c r="L111" s="2" t="inlineStr">
        <is>
          <t>พ.ร.บ. ยา พ.ศ. 2510</t>
        </is>
      </c>
      <c r="M111" s="2" t="inlineStr">
        <is>
          <t>Law &amp; Regulations &amp; Ethics</t>
        </is>
      </c>
      <c r="N111" s="2" t="inlineStr">
        <is>
          <t>PLE_CC1_2565_Day1_Key ข้อ 79</t>
        </is>
      </c>
      <c r="O111" s="2" t="inlineStr">
        <is>
          <t>ข้อสอบจริง</t>
        </is>
      </c>
      <c r="P111" s="2" t="inlineStr">
        <is>
          <t>ปี 2565</t>
        </is>
      </c>
      <c r="Q111" s="2" t="n"/>
    </row>
    <row r="112" ht="13.2" customHeight="1" s="49">
      <c r="A112" s="8" t="inlineStr">
        <is>
          <t>111</t>
        </is>
      </c>
      <c r="B112" s="2" t="inlineStr">
        <is>
          <t>ขอใดไม;จัดอยู;ในพรบ.สมุนไพร</t>
        </is>
      </c>
      <c r="C112" s="2" t="n"/>
      <c r="D112" s="2" t="inlineStr">
        <is>
          <t>ยาแผนโบราณที่ใชกับมนุษยç</t>
        </is>
      </c>
      <c r="E112" s="2" t="inlineStr">
        <is>
          <t>ยาแผนโบราณที่ใชกับสัตวç</t>
        </is>
      </c>
      <c r="F112" s="2" t="inlineStr">
        <is>
          <t>ยาแผนจีน</t>
        </is>
      </c>
      <c r="G112" s="2" t="inlineStr">
        <is>
          <t>[NEED_REVIEW]</t>
        </is>
      </c>
      <c r="H112" s="2" t="inlineStr">
        <is>
          <t>[NEED_REVIEW]</t>
        </is>
      </c>
      <c r="I112" s="8" t="inlineStr">
        <is>
          <t>1</t>
        </is>
      </c>
      <c r="J112" s="2" t="inlineStr">
        <is>
          <t>✅ คำตอบที่ถูกต้อง: ข้อ ก. ยาแผนโบราณที่ใชกับมนุษยç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(พระราชบัญญัติยา พ.ศ. 2510 และที่แก้ไขเพิ่มเติม รวมถึงกฎกระทรวงว่าด้วยการขออนุญาตและการออกใบอนุญาตขายยาแผนปัจจุบัน (GPP)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2" t="n"/>
      <c r="L112" s="2" t="inlineStr">
        <is>
          <t>พ.ร.บ. ผลิตภัณฑ์สมุนไพร &amp; เครื่องสำอาง</t>
        </is>
      </c>
      <c r="M112" s="2" t="inlineStr">
        <is>
          <t>Law &amp; Regulations &amp; Ethics</t>
        </is>
      </c>
      <c r="N112" s="2" t="inlineStr">
        <is>
          <t>PLE_CC1_2565_Day1_Key ข้อ 81</t>
        </is>
      </c>
      <c r="O112" s="2" t="inlineStr">
        <is>
          <t>ข้อสอบจริง</t>
        </is>
      </c>
      <c r="P112" s="2" t="inlineStr">
        <is>
          <t>ปี 2565</t>
        </is>
      </c>
      <c r="Q112" s="2" t="n"/>
    </row>
    <row r="113" ht="13.2" customHeight="1" s="49">
      <c r="A113" s="8" t="inlineStr">
        <is>
          <t>112</t>
        </is>
      </c>
      <c r="B113" s="2" t="inlineStr">
        <is>
          <t>เภสัชจัด stock ยา แลวไลฟàสด แลวพูดว;ายา antihistamine ตัวนึงเขาแลวค;า ตัวนี้เปMนยาแกแพแบบไม; ง;วง (ยาสามัญประจำบาน) ผิดกฎหมายโฆษณาหรือไม;</t>
        </is>
      </c>
      <c r="C113" s="2" t="n"/>
      <c r="D113" s="2" t="inlineStr">
        <is>
          <t>Law &amp; Regulations &amp; Ethics</t>
        </is>
      </c>
      <c r="E113" s="2" t="inlineStr">
        <is>
          <t>พ.ร.บ. ผลิตภัณฑ์สมุนไพร พ.ศ. 2562</t>
        </is>
      </c>
      <c r="F113" s="2" t="inlineStr">
        <is>
          <t>พ.ร.บ. เครื่องสำอาง พ.ศ. 2558</t>
        </is>
      </c>
      <c r="G113" s="2" t="inlineStr">
        <is>
          <t>พ.ร.บ. หลักประกันสุขภาพแห่งชาติ พ.ศ. 2545</t>
        </is>
      </c>
      <c r="H113" s="2" t="inlineStr">
        <is>
          <t>การปฏิบัติทางเภสัชกรรมชุมชน (Good Pharmacy Practice: GPP)</t>
        </is>
      </c>
      <c r="I113" s="8" t="inlineStr">
        <is>
          <t>1</t>
        </is>
      </c>
      <c r="J113"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3" s="2" t="n"/>
      <c r="L113" s="2" t="inlineStr">
        <is>
          <t>พ.ร.บ. ยา พ.ศ. 2510</t>
        </is>
      </c>
      <c r="M113" s="2" t="inlineStr">
        <is>
          <t>Law &amp; Regulations &amp; Ethics</t>
        </is>
      </c>
      <c r="N113" s="2" t="inlineStr">
        <is>
          <t>PLE_CC1_2565_Day1_Key ข้อ 83</t>
        </is>
      </c>
      <c r="O113" s="2" t="inlineStr">
        <is>
          <t>ข้อสอบจริง</t>
        </is>
      </c>
      <c r="P113" s="2" t="inlineStr">
        <is>
          <t>ปี 2565</t>
        </is>
      </c>
    </row>
    <row r="114" ht="13.2" customHeight="1" s="49">
      <c r="A114" s="8" t="inlineStr">
        <is>
          <t>113</t>
        </is>
      </c>
      <c r="B114" s="2" t="inlineStr">
        <is>
          <t>กฎหมาย (12 ข`อ)</t>
        </is>
      </c>
      <c r="C114" s="2" t="n"/>
      <c r="D114" s="2" t="inlineStr">
        <is>
          <t>Law &amp; Regulations &amp; Ethics</t>
        </is>
      </c>
      <c r="E114" s="2" t="inlineStr">
        <is>
          <t>การปฏิบัติทางเภสัชกรรมชุมชน (Good Pharmacy Practice: GPP)</t>
        </is>
      </c>
      <c r="F114" s="2" t="inlineStr">
        <is>
          <t>บัญชียาหลักแห่งชาติ (National List of Essential Medicines: NLEM)</t>
        </is>
      </c>
      <c r="G114" s="2" t="inlineStr">
        <is>
          <t>เกณฑ์จริยธรรมว่าด้วยการส่งเสริมการขายยาของกระทรวงสาธารณสุข</t>
        </is>
      </c>
      <c r="H114" s="2" t="inlineStr">
        <is>
          <t>พ.ร.บ. ยา พ.ศ. 2510 (การจำหน่ายยาอันตรายและยาควบคุมพิเศษ)</t>
        </is>
      </c>
      <c r="I114" s="8" t="inlineStr">
        <is>
          <t>1</t>
        </is>
      </c>
      <c r="J114"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4" s="2" t="n"/>
      <c r="L114" s="2" t="inlineStr">
        <is>
          <t>พ.ร.บ. ยา พ.ศ. 2510</t>
        </is>
      </c>
      <c r="M114" s="2" t="inlineStr">
        <is>
          <t>Law &amp; Regulations &amp; Ethics</t>
        </is>
      </c>
      <c r="N114" s="2" t="inlineStr">
        <is>
          <t>PLE_CC1_2565_Day1_Key ข้อ 19</t>
        </is>
      </c>
      <c r="O114" s="2" t="inlineStr">
        <is>
          <t>ข้อสอบจริง</t>
        </is>
      </c>
      <c r="P114" s="2" t="inlineStr">
        <is>
          <t>ปี 2565</t>
        </is>
      </c>
    </row>
    <row r="115" ht="13.2" customHeight="1" s="49">
      <c r="A115" s="8" t="inlineStr">
        <is>
          <t>114</t>
        </is>
      </c>
      <c r="B115" s="2" t="inlineStr">
        <is>
          <t>ยา C xxx/xx (NC) เปQนยาประเภทใดตามกฎหมาย SดTายาUไVเWาXยามYZบ[บ</t>
        </is>
      </c>
      <c r="C115" s="2" t="n"/>
      <c r="D115" s="2" t="inlineStr">
        <is>
          <t>ยาควบคุมพิเศษ</t>
        </is>
      </c>
      <c r="E115" s="2" t="inlineStr">
        <is>
          <t>ยาควบคุมเฉพาะสถานพยาบาล</t>
        </is>
      </c>
      <c r="F115" s="2" t="inlineStr">
        <is>
          <t>ยาอันตรายแบบมีเงื่อนไข</t>
        </is>
      </c>
      <c r="G115" s="2" t="inlineStr">
        <is>
          <t>ยาอันตรายแบบไม-มีเงื่อนไข</t>
        </is>
      </c>
      <c r="H115" s="2" t="inlineStr">
        <is>
          <t>[NEED_REVIEW]</t>
        </is>
      </c>
      <c r="I115" s="8" t="inlineStr">
        <is>
          <t>1</t>
        </is>
      </c>
      <c r="J115" s="2" t="inlineStr">
        <is>
          <t>✅ คำตอบที่ถูกต้อง: ข้อ ก. ยาควบคุมพิเศษ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2" t="n"/>
      <c r="L115" s="2" t="inlineStr">
        <is>
          <t>พ.ร.บ. ยา พ.ศ. 2510</t>
        </is>
      </c>
      <c r="M115" s="2" t="inlineStr">
        <is>
          <t>Law &amp; Regulations &amp; Ethics</t>
        </is>
      </c>
      <c r="N115" s="2" t="inlineStr">
        <is>
          <t>PLE_CC1_2565_Day2_Key ข้อ 69</t>
        </is>
      </c>
      <c r="O115" s="2" t="inlineStr">
        <is>
          <t>ข้อสอบจริง</t>
        </is>
      </c>
      <c r="P115" s="2" t="inlineStr">
        <is>
          <t>ปี 2565</t>
        </is>
      </c>
      <c r="Q115" s="2" t="n"/>
    </row>
    <row r="116" ht="13.2" customHeight="1" s="49">
      <c r="A116" s="8" t="inlineStr">
        <is>
          <t>115</t>
        </is>
      </c>
      <c r="B116" s="2" t="inlineStr">
        <is>
          <t>ผลข้างเคียงของ Levonorgestrel จากบทความของภาควิชาเภสัชวิทยา คณะเภสัชศาสตร์</t>
        </is>
      </c>
      <c r="C116" s="2" t="n"/>
      <c r="D116" s="2" t="inlineStr">
        <is>
          <t>Law &amp; Regulations &amp; Ethics</t>
        </is>
      </c>
      <c r="E116" s="2" t="inlineStr">
        <is>
          <t>พ.ร.บ. วิชาชีพเภสัชกรรม พ.ศ. 2537 และข้อบังคับจรรยาบรรณวิชาชีพ</t>
        </is>
      </c>
      <c r="F116" s="2" t="inlineStr">
        <is>
          <t>พ.ร.บ. ผลิตภัณฑ์สมุนไพร พ.ศ. 2562</t>
        </is>
      </c>
      <c r="G116" s="2" t="inlineStr">
        <is>
          <t>พ.ร.บ. เครื่องสำอาง พ.ศ. 2558</t>
        </is>
      </c>
      <c r="H116" s="2" t="inlineStr">
        <is>
          <t>พ.ร.บ. หลักประกันสุขภาพแห่งชาติ พ.ศ. 2545</t>
        </is>
      </c>
      <c r="I116" s="8" t="inlineStr">
        <is>
          <t>1</t>
        </is>
      </c>
      <c r="J11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6" s="2" t="n"/>
      <c r="L116" s="2" t="inlineStr">
        <is>
          <t>พ.ร.บ. ยา พ.ศ. 2510</t>
        </is>
      </c>
      <c r="M116" s="2" t="inlineStr">
        <is>
          <t>Law &amp; Regulations &amp; Ethics</t>
        </is>
      </c>
      <c r="N116" s="2" t="inlineStr">
        <is>
          <t>PLE_CC1_2564_All_Key ข้อ 27</t>
        </is>
      </c>
      <c r="O116" s="2" t="inlineStr">
        <is>
          <t>ข้อสอบจริง</t>
        </is>
      </c>
      <c r="P116" s="2" t="inlineStr">
        <is>
          <t>ปี 2564</t>
        </is>
      </c>
    </row>
    <row r="117" ht="13.2" customHeight="1" s="49">
      <c r="A117" s="8" t="inlineStr">
        <is>
          <t>116</t>
        </is>
      </c>
      <c r="B117" s="2" t="inlineStr">
        <is>
          <t>เป้าหมายการรักษา RA a…. / b…. / c. ควบคุมอาการ / d…. / e. ให้ยาฉีดให้ช้าที่สุด (โรครูมาตอยดเ์ป็นโรคที่มีความผิดปกติของการควบคุมภูมิคุ้มกันของร่างกาย (autoimmune disease) ก่อใหเ้กิดการอักเสบ ยาที่ใช้รักษาจึงเป็นกลุ่มท่ีมีฤทธ์ิปรับภูมิภูมิคุ้มกันให้การทำงานลดลง รวมทั้ง ลดการสร้างสารอักเสบต่าง ๆ ปัจจุบันมียาที่ถูกออกแบบมาเพื่อฤทธ์ิเฉพาะที่ (targeted therapy) ทำให้ประสิทธิภาพการรักษาดีข้ึน จุดมุ่งหมายในการรักษา คือ</t>
        </is>
      </c>
      <c r="C117" s="2" t="n"/>
      <c r="D117" s="2" t="inlineStr">
        <is>
          <t>Law &amp; Regulations &amp; Ethics</t>
        </is>
      </c>
      <c r="E117" s="2" t="inlineStr">
        <is>
          <t>พ.ร.บ. หลักประกันสุขภาพแห่งชาติ พ.ศ. 2545</t>
        </is>
      </c>
      <c r="F117" s="2" t="inlineStr">
        <is>
          <t>การปฏิบัติทางเภสัชกรรมชุมชน (Good Pharmacy Practice: GPP)</t>
        </is>
      </c>
      <c r="G117" s="2" t="inlineStr">
        <is>
          <t>บัญชียาหลักแห่งชาติ (National List of Essential Medicines: NLEM)</t>
        </is>
      </c>
      <c r="H117" s="2" t="inlineStr">
        <is>
          <t>เกณฑ์จริยธรรมว่าด้วยการส่งเสริมการขายยาของกระทรวงสาธารณสุข</t>
        </is>
      </c>
      <c r="I117" s="8" t="inlineStr">
        <is>
          <t>3</t>
        </is>
      </c>
      <c r="J117" s="2" t="inlineStr">
        <is>
          <t>✅ คำตอบที่ถูกต้อง: ข้อ ค. การปฏิบัติทางเภสัชกรรมชุมชน (Good Pharmacy Practice: GPP)
💡 Background:
โรคข้ออักเสบรูมาตอยด์ (RA) เป็น systemic autoimmune disease ต้องรีบเริ่ม DMARDs ทันทีเพื่อป้องกัน joint destruction
🎯 ทำไมข้อนี้ถึงถูก:
การปฏิบัติทางเภสัชกรรมชุมชน (Good Pharmacy Practice: GPP)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7" s="2" t="n"/>
      <c r="L117" s="2" t="inlineStr">
        <is>
          <t>พ.ร.บ. ยา พ.ศ. 2510</t>
        </is>
      </c>
      <c r="M117" s="2" t="inlineStr">
        <is>
          <t>Law &amp; Regulations &amp; Ethics</t>
        </is>
      </c>
      <c r="N117" s="2" t="inlineStr">
        <is>
          <t>PLE_CC1_2564_All_Key ข้อ 32</t>
        </is>
      </c>
      <c r="O117" s="2" t="inlineStr">
        <is>
          <t>ข้อสอบจริง</t>
        </is>
      </c>
      <c r="P117" s="2" t="inlineStr">
        <is>
          <t>ปี 2564</t>
        </is>
      </c>
    </row>
    <row r="118" ht="13.2" customHeight="1" s="49">
      <c r="A118" s="8" t="inlineStr">
        <is>
          <t>117</t>
        </is>
      </c>
      <c r="B118" s="2" t="inlineStr">
        <is>
          <t>พบ ค. ลูกจ้างกำลังจัดยาหลายขนาน ฉลากมีเขียนแค่สรรพคุณ (แก้ปวด) ข. ผิดพรบ. ยา ยังไง</t>
        </is>
      </c>
      <c r="C118" s="2" t="n"/>
      <c r="D118" s="2" t="inlineStr">
        <is>
          <t>Law &amp; Regulations &amp; Ethics</t>
        </is>
      </c>
      <c r="E118" s="2" t="inlineStr">
        <is>
          <t>เกณฑ์จริยธรรมว่าด้วยการส่งเสริมการขายยาของกระทรวงสาธารณสุข</t>
        </is>
      </c>
      <c r="F118" s="2" t="inlineStr">
        <is>
          <t>ผิดพรบ. ยา พ.ศ. 2510</t>
        </is>
      </c>
      <c r="G118" s="2" t="inlineStr">
        <is>
          <t>พ.ร.บ. ยาเสพติดให้โทษ พ.ศ. 2522 (ยาเสพติดให้โทษประเภท 2 และ 3)</t>
        </is>
      </c>
      <c r="H118" s="2" t="inlineStr">
        <is>
          <t>พ.ร.บ. วัตถุที่ออกฤทธิ์ต่อจิตและประสาท พ.ศ. 2559 (ประเภท 2 และ 4)</t>
        </is>
      </c>
      <c r="I118" s="8" t="inlineStr">
        <is>
          <t>1</t>
        </is>
      </c>
      <c r="J11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(ผิดพรบ. ยา พ.ศ. 2510): ผิดพรบ. ยา พ.ศ. 2510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8" s="2" t="n"/>
      <c r="L118" s="2" t="inlineStr">
        <is>
          <t>พ.ร.บ. ยา พ.ศ. 2510</t>
        </is>
      </c>
      <c r="M118" s="2" t="inlineStr">
        <is>
          <t>Law &amp; Regulations &amp; Ethics</t>
        </is>
      </c>
      <c r="N118" s="2" t="inlineStr">
        <is>
          <t>PLE_CC1_2564_All_Key ข้อ 57</t>
        </is>
      </c>
      <c r="O118" s="2" t="inlineStr">
        <is>
          <t>ข้อสอบจริง</t>
        </is>
      </c>
      <c r="P118" s="2" t="inlineStr">
        <is>
          <t>ปี 2564</t>
        </is>
      </c>
    </row>
    <row r="119" ht="13.2" customHeight="1" s="49">
      <c r="A119" s="8" t="inlineStr">
        <is>
          <t>118</t>
        </is>
      </c>
      <c r="B119" s="2" t="inlineStr">
        <is>
          <t>ยาที่ผลิตขึ้นไม่ถูกต้องตามมาตรฐานถึงขนาดที่ปริมาณหรือความแรงของสารออกฤทธิ์ขาด หรือเกินกว่าร้อยละ 20 จากเกณฑ์ต่ำสุด หรือสูงสุด เช่น para 500 mg ต้องมี 95- 100% ยาปลอมคือมีน้อยกว่า 95% อยู่ 20 % เป็นต้น) - ยานั้นเปลี่ยนไปใช้เป็นอาหาร หรือเครื่องสำอางโดยได้รับใบอนุญาติผลิตเพื่อจำหน่ายซึ่งอาหาร ที่ควบคุมเฉพาะหรือได้รับใบสำคัญการขึ้นทะเบียนเครื่องสำอางตามกฎหมายว่าด้วยการนั้น https://www.fda.moph.go.th/sites/drug/LawDrug/drug2510-krisdika-v2020.pdf ................................................................................................................................................................................................................................................</t>
        </is>
      </c>
      <c r="C119" s="2" t="n"/>
      <c r="D119" s="2" t="inlineStr">
        <is>
          <t>Law &amp; Regulations &amp; Ethics</t>
        </is>
      </c>
      <c r="E119" s="2" t="inlineStr">
        <is>
          <t>พ.ร.บ. วัตถุที่ออกฤทธิ์ต่อจิตและประสาท พ.ศ. 2559 (ประเภท 2 และ 4)</t>
        </is>
      </c>
      <c r="F119" s="2" t="inlineStr">
        <is>
          <t>พ.ร.บ. วิชาชีพเภสัชกรรม พ.ศ. 2537 และข้อบังคับจรรยาบรรณวิชาชีพ</t>
        </is>
      </c>
      <c r="G119" s="2" t="inlineStr">
        <is>
          <t>พ.ร.บ. ผลิตภัณฑ์สมุนไพร พ.ศ. 2562</t>
        </is>
      </c>
      <c r="H119" s="2" t="inlineStr">
        <is>
          <t>พ.ร.บ. เครื่องสำอาง พ.ศ. 2558</t>
        </is>
      </c>
      <c r="I119" s="8" t="inlineStr">
        <is>
          <t>1</t>
        </is>
      </c>
      <c r="J119"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9" s="2" t="n"/>
      <c r="L119" s="2" t="inlineStr">
        <is>
          <t>พ.ร.บ. ผลิตภัณฑ์สมุนไพร &amp; เครื่องสำอาง</t>
        </is>
      </c>
      <c r="M119" s="2" t="inlineStr">
        <is>
          <t>Law &amp; Regulations &amp; Ethics</t>
        </is>
      </c>
      <c r="N119" s="2" t="inlineStr">
        <is>
          <t>PLE_CC1_2564_All_Key ข้อ 5</t>
        </is>
      </c>
      <c r="O119" s="2" t="inlineStr">
        <is>
          <t>ข้อสอบจริง</t>
        </is>
      </c>
      <c r="P119" s="2" t="inlineStr">
        <is>
          <t>ปี 2564</t>
        </is>
      </c>
    </row>
    <row r="120" ht="13.2" customHeight="1" s="49">
      <c r="A120" s="8" t="inlineStr">
        <is>
          <t>119</t>
        </is>
      </c>
      <c r="B120" s="2" t="inlineStr">
        <is>
          <t>พิจารณาประสิทธิภาพ omeprazole อย่างสั้นที่สุดที่จะพิจารณาปรับเปลี่ยนการรักษาต้องพิจารณาหลังใช้ยาเป็นเวลาเท่าไหร่ (GERD)</t>
        </is>
      </c>
      <c r="C120" s="2" t="n"/>
      <c r="D120" s="2" t="inlineStr">
        <is>
          <t>Law &amp; Regulations &amp; Ethics</t>
        </is>
      </c>
      <c r="E120" s="2" t="inlineStr">
        <is>
          <t>1 สัปดาห์</t>
        </is>
      </c>
      <c r="F120" s="2" t="inlineStr">
        <is>
          <t>2 สัปดาห์</t>
        </is>
      </c>
      <c r="G120" s="2" t="inlineStr">
        <is>
          <t>1 เดือน</t>
        </is>
      </c>
      <c r="H120" s="2" t="inlineStr">
        <is>
          <t>บัญชียาหลักแห่งชาติ (National List of Essential Medicines: NLEM)</t>
        </is>
      </c>
      <c r="I120" s="8" t="inlineStr">
        <is>
          <t>1</t>
        </is>
      </c>
      <c r="J120" s="2" t="inlineStr">
        <is>
          <t>✅ คำตอบที่ถูกต้อง: ข้อ ก. Law &amp; Regulations &amp; Ethics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Law &amp; Regulations &amp; Ethics หลังจากนั้นพิจารณาการตอบสนองต่อยา หากไม่ตอบสนองให้เปลี่ยนเป็น double dose PPI หรือ เปลี่ยนเป็น standard dose สัปดาห์
🔍 ข้ออื่นผิดเพราะอะไร:
• ข้อ ข. (1 สัปดาห์): 1 สัปดาห์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(1 เดือน): 1 เดือน ไม่ตรงกับข้อบ่งใช้หรือกลไกการออกฤทธิ์ที่ถูกต้องตาม พ.ร.บ. ยา พ.ศ. 2510 / พ.ร.บ. วิชาชีพเภสัชกรรม พ.ศ. 2537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0" s="2" t="n"/>
      <c r="L120" s="2" t="inlineStr">
        <is>
          <t>พ.ร.บ. ยา พ.ศ. 2510</t>
        </is>
      </c>
      <c r="M120" s="2" t="inlineStr">
        <is>
          <t>Law &amp; Regulations &amp; Ethics</t>
        </is>
      </c>
      <c r="N120" s="2" t="inlineStr">
        <is>
          <t>PLE_CC1_2564_All_Key ข้อ 107</t>
        </is>
      </c>
      <c r="O120" s="2" t="inlineStr">
        <is>
          <t>ข้อสอบจริง</t>
        </is>
      </c>
      <c r="P120" s="2" t="inlineStr">
        <is>
          <t>ปี 2564</t>
        </is>
      </c>
    </row>
    <row r="121" ht="13.2" customHeight="1" s="49">
      <c r="A121" s="8" t="inlineStr">
        <is>
          <t>120</t>
        </is>
      </c>
      <c r="B121" s="2" t="inlineStr">
        <is>
          <t>เภสัชกรรับให้คำปรึกษาและขายยาทางอินเทอร์เน็ต ขั้นต่ำ 1,000 บาท ผิดจรรยาบรรณข้อไหน</t>
        </is>
      </c>
      <c r="C121" s="2" t="n"/>
      <c r="D121" s="2" t="inlineStr">
        <is>
          <t>Law &amp; Regulations &amp; Ethics</t>
        </is>
      </c>
      <c r="E121" s="2" t="inlineStr">
        <is>
          <t>ผู้ประกอบวิชาชีพย่อมดำรงตนให้สมควรในสังคมโดยธรรมและเคารพต่อกฎหมาย</t>
        </is>
      </c>
      <c r="F121" s="2" t="inlineStr">
        <is>
          <t>ผู้ประกอบวิชาชีพย่อมประกอบอาชีพด้วยเจตนาดี โดยไม่คำนึงถึงฐานะ เชื้อชาติ ศาสนา สังคม หรือลัทธิการเมือง</t>
        </is>
      </c>
      <c r="G121" s="2" t="inlineStr">
        <is>
          <t>ผู้ประกอบวิชาชีพต้องไม่ชักจูงหรือชักชวนให้มารับบริการทางวิชาชีพเภสัชกรรมเพื่อประโยชน์ตน</t>
        </is>
      </c>
      <c r="H121" s="2" t="inlineStr">
        <is>
          <t>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t>
        </is>
      </c>
      <c r="I121" s="8" t="inlineStr">
        <is>
          <t>1</t>
        </is>
      </c>
      <c r="J121"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
🔍 ข้ออื่นผิดเพราะอะไร:
• ข้อ ข. (ผู้ประกอบวิชาชีพย่อมดำรงตนให้สมควรในสังคมโดยธรรมและเคารพต่อกฎหมาย): ผู้ประกอบวิชาชีพย่อมดำรงตนให้สมควรในสังคมโดยธรรมและเคารพต่อกฎหมาย ไม่ตรงกับข้อบ่งใช้หรือกลไกการออกฤทธิ์ที่ถูกต้องตาม พ.ร.บ. ยา พ.ศ. 2510 / พ.ร.บ. วิชาชีพเภสัชกรรม พ.ศ. 2537
• ข้อ ค. (ผู้ประกอบวิชาชีพย่อมประกอบอาชีพด้วยเจตนาดี โดยไม่คำนึงถึงฐานะ เชื้อชาติ ศาสนา สังคม หรือลัทธิการเมือง): ผู้ประกอบวิชาชีพย่อมประกอบอาชีพด้วยเจตนาดี โดยไม่คำนึงถึงฐานะ เชื้อชาติ ศาสนา สังคม หรือลัทธิการเมือง ไม่ตรงกับข้อบ่งใช้หรือกลไกการออกฤทธิ์ที่ถูกต้องตาม พ.ร.บ. ยา พ.ศ. 2510 / พ.ร.บ. วิชาชีพเภสัชกรรม พ.ศ. 2537
• ข้อ ง. (ผู้ประกอบวิชาชีพต้องไม่ชักจูงหรือชักชวนให้มารับบริการทางวิชาชีพเภสัชกรรมเพื่อประโยชน์ตน): ผู้ประกอบวิชาชีพต้องไม่ชักจูงหรือชักชวนให้มารับบริการทางวิชาชีพเภสัชกรรมเพื่อประโยชน์ตน ไม่ตรงกับข้อบ่งใช้หรือกลไกการออกฤทธิ์ที่ถูกต้องตาม พ.ร.บ. ยา พ.ศ. 2510 / พ.ร.บ. วิชาชีพเภสัชกรรม พ.ศ. 2537
• ข้อ จ.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ไม่ได้ เพราะ ไม่ได้ขึ้นทะเบียน เนื่องจากข้อกำหนดหมวดวิธีปฏิบัติทางเภสัชกรรมชุมชน (การควบคุมคุณภาพยา) กำหนดว่าต้องมีการคัดเลือกยาและจัดหายาจากผู้ผลิต ผู้นำเข้า ผู้จำหน่ายที่ถูกต้องตามกฎหมายว่าด้วยยา และมีมาตรฐานตามหลักเกณฑ์วิธีการที่ดีในการผลิต จัดเก็บ และการขนส่ง โดยมีรายละเอียดข้อ 1 กำหนดว่าภายในร้านจะต้องไม่มียาที่ไม่มีทะเบียนตำรับยา ซึ่งจัดเป็น critical criteria จากคู่มือการตรวจประเมินวิธีปฏิบัติทางเภสัชกรรมชุมชนสำหรับร้านขายยาแผนปัจจุบัน (ข.ย.1)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1" s="2" t="n"/>
      <c r="L121" s="2" t="inlineStr">
        <is>
          <t>พ.ร.บ. วิชาชีพเภสัชกรรม 2537</t>
        </is>
      </c>
      <c r="M121" s="2" t="inlineStr">
        <is>
          <t>Law &amp; Regulations &amp; Ethics</t>
        </is>
      </c>
      <c r="N121" s="2" t="inlineStr">
        <is>
          <t>PLE_CC1_2564_All_Key ข้อ 146</t>
        </is>
      </c>
      <c r="O121" s="2" t="inlineStr">
        <is>
          <t>ข้อสอบจริง</t>
        </is>
      </c>
      <c r="P121" s="2" t="inlineStr">
        <is>
          <t>ปี 2564</t>
        </is>
      </c>
    </row>
    <row r="122" ht="13.2" customHeight="1" s="49">
      <c r="A122" s="8" t="inlineStr">
        <is>
          <t>121</t>
        </is>
      </c>
      <c r="B122" s="2" t="inlineStr">
        <is>
          <t>ข้อบังคับสภาเภสัชกรรมว่าด้วยจรรยาบรรณแห่งวิชาชีพเภสัชกรรม พ.ศ.2538 https://pharmacycouncil.org/share/file/file_5186.08.ข้อบังคับสภาฯว่าด้วยจรรยาบรรณแห่งวิชาชีพพ.ศ.2538อัพเดท.pdf</t>
        </is>
      </c>
      <c r="C122" s="2" t="n"/>
      <c r="D122" s="2" t="inlineStr">
        <is>
          <t>Law &amp; Regulations &amp; Ethics</t>
        </is>
      </c>
      <c r="E122" s="2" t="inlineStr">
        <is>
          <t>พ.ร.บ. ยาเสพติดให้โทษ พ.ศ. 2522 (ยาเสพติดให้โทษประเภท 2 และ 3)</t>
        </is>
      </c>
      <c r="F122" s="2" t="inlineStr">
        <is>
          <t>พ.ร.บ. วัตถุที่ออกฤทธิ์ต่อจิตและประสาท พ.ศ. 2559 (ประเภท 2 และ 4)</t>
        </is>
      </c>
      <c r="G122" s="2" t="inlineStr">
        <is>
          <t>พ.ร.บ. วิชาชีพเภสัชกรรม พ.ศ. 2537 และข้อบังคับจรรยาบรรณวิชาชีพ</t>
        </is>
      </c>
      <c r="H122" s="2" t="inlineStr">
        <is>
          <t>พ.ร.บ. ผลิตภัณฑ์สมุนไพร พ.ศ. 2562</t>
        </is>
      </c>
      <c r="I122" s="8" t="inlineStr">
        <is>
          <t>1</t>
        </is>
      </c>
      <c r="J122"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2" s="2" t="n"/>
      <c r="L122" s="2" t="inlineStr">
        <is>
          <t>พ.ร.บ. วิชาชีพเภสัชกรรม 2537</t>
        </is>
      </c>
      <c r="M122" s="2" t="inlineStr">
        <is>
          <t>Law &amp; Regulations &amp; Ethics</t>
        </is>
      </c>
      <c r="N122" s="2" t="inlineStr">
        <is>
          <t>PLE_CC1_2564_All_Key ข้อ 1</t>
        </is>
      </c>
      <c r="O122" s="2" t="inlineStr">
        <is>
          <t>ข้อสอบจริง</t>
        </is>
      </c>
      <c r="P122" s="2" t="inlineStr">
        <is>
          <t>ปี 2564</t>
        </is>
      </c>
    </row>
    <row r="123" ht="13.2" customHeight="1" s="49">
      <c r="A123" s="8" t="inlineStr">
        <is>
          <t>122</t>
        </is>
      </c>
      <c r="B123" s="2" t="inlineStr">
        <is>
          <t>ข้อบังคับมาตรฐานทำ salbutamo( (โจทย์ยาวกว่านี้) a) minimum fill b) Subvisible particle matter เนื่องจากตัวยา salbutamol จากโจทย์ข้อบน ๆ เป็น formulate ในรูปแบบยาพ่น ซึ่งหัวข้อ specific test หลัก ๆ ที่ต้องทำในหัวข้อ inhalation drug products ได้แก่ Water content, Foreign particulate matter, Leachables, Spray pattern, Microbial limit, Net fill weight และ Leak rate เพราะฉะนั้นจึงต้องตอบข้อ ข) subvisible particulate matter (ตรวจสอบการปนเปื้อน particle ที่มองไม่เห็น) ชีท specification and COA หน้า 67 (General chapters: In: The United States Pharmacopeial Convention. The United States Pharmacopeia 39-The National Formulary 34. Vol. 1. Rockville, MD: The United State Pharmacopeia Conventions Inc.; 2016) .............................................................................................................................................................................................................</t>
        </is>
      </c>
      <c r="C123" s="2" t="n"/>
      <c r="D123" s="2" t="inlineStr">
        <is>
          <t>Law &amp; Regulations &amp; Ethics</t>
        </is>
      </c>
      <c r="E123" s="2" t="inlineStr">
        <is>
          <t>พ.ร.บ. ผลิตภัณฑ์สมุนไพร พ.ศ. 2562</t>
        </is>
      </c>
      <c r="F123" s="2" t="inlineStr">
        <is>
          <t>พ.ร.บ. เครื่องสำอาง พ.ศ. 2558</t>
        </is>
      </c>
      <c r="G123" s="2" t="inlineStr">
        <is>
          <t>พ.ร.บ. หลักประกันสุขภาพแห่งชาติ พ.ศ. 2545</t>
        </is>
      </c>
      <c r="H123" s="2" t="inlineStr">
        <is>
          <t>การปฏิบัติทางเภสัชกรรมชุมชน (Good Pharmacy Practice: GPP)</t>
        </is>
      </c>
      <c r="I123" s="8" t="inlineStr">
        <is>
          <t>1</t>
        </is>
      </c>
      <c r="J123"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SABA Overuse Warning: การใช้ SABA บ่อยเกินไป (≥ 3 หลอด/ปี) สัมพันธ์กับความเสี่ยง acute asthma exacerbation และเสียชีวิตเพิ่มขึ้น
• Tremor &amp; Hypokalemia: กระตุ้น Beta-2 receptor ทำให้เกิด skeletal muscle tremor, tachycardia และกระตุ้น Na+/K+ ATPase ดึงโพแทสเซียมเข้าเซลล์เกิด hypokalemia</t>
        </is>
      </c>
      <c r="K123" s="2" t="n"/>
      <c r="L123" s="2" t="inlineStr">
        <is>
          <t>พ.ร.บ. ยา พ.ศ. 2510</t>
        </is>
      </c>
      <c r="M123" s="2" t="inlineStr">
        <is>
          <t>Law &amp; Regulations &amp; Ethics</t>
        </is>
      </c>
      <c r="N123" s="2" t="inlineStr">
        <is>
          <t>PLE_CC1_2564_All_Key ข้อ 151</t>
        </is>
      </c>
      <c r="O123" s="2" t="inlineStr">
        <is>
          <t>ข้อสอบจริง</t>
        </is>
      </c>
      <c r="P123" s="2" t="inlineStr">
        <is>
          <t>ปี 2564</t>
        </is>
      </c>
    </row>
    <row r="124" ht="13.2" customHeight="1" s="49">
      <c r="A124" s="8" t="inlineStr">
        <is>
          <t>123</t>
        </is>
      </c>
      <c r="B124" s="2" t="inlineStr">
        <is>
          <t>สินค้าได้สัดอยู่ในพรบ.คุ้มครอษผู้บริโภคพ.ศ.2522</t>
        </is>
      </c>
      <c r="C124" s="2" t="n"/>
      <c r="D124" s="2" t="inlineStr">
        <is>
          <t>Law &amp; Regulations &amp; Ethics</t>
        </is>
      </c>
      <c r="E124" s="2" t="inlineStr">
        <is>
          <t>อินอูลิน</t>
        </is>
      </c>
      <c r="F124" s="2" t="inlineStr">
        <is>
          <t>เข็มหีดอินอูลิน</t>
        </is>
      </c>
      <c r="G124" s="2" t="inlineStr">
        <is>
          <t>เครื่อษวัดความดัน ษ. เครื่อษออกกำลัษกาย ส. ผ้าอนามัย</t>
        </is>
      </c>
      <c r="H124" s="2" t="inlineStr">
        <is>
          <t>พ.ร.บ. ยา พ.ศ. 2510 (การจำหน่ายยาอันตรายและยาควบคุมพิเศษ)</t>
        </is>
      </c>
      <c r="I124" s="8" t="inlineStr">
        <is>
          <t>1</t>
        </is>
      </c>
      <c r="J124"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(อินอูลิน): อินอูลิน ไม่ตรงกับข้อบ่งใช้หรือกลไกการออกฤทธิ์ที่ถูกต้องตาม พ.ร.บ. ยา พ.ศ. 2510 / พ.ร.บ. วิชาชีพเภสัชกรรม พ.ศ. 2537
• ข้อ ค. (เข็มหีดอินอูลิน): เข็มหีดอินอูลิน ไม่ตรงกับข้อบ่งใช้หรือกลไกการออกฤทธิ์ที่ถูกต้องตาม พ.ร.บ. ยา พ.ศ. 2510 / พ.ร.บ. วิชาชีพเภสัชกรรม พ.ศ. 2537
• ข้อ ง. (เครื่อษวัดความดัน ษ. เครื่อษออกกำลัษกาย ส. ผ้าอนามัย): เครื่อษวัดความดัน ษ. เครื่อษออกกำลัษกาย ส. ผ้าอนามัย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4" s="2" t="n"/>
      <c r="L124" s="2" t="inlineStr">
        <is>
          <t>พ.ร.บ. ยา พ.ศ. 2510</t>
        </is>
      </c>
      <c r="M124" s="2" t="inlineStr">
        <is>
          <t>Law &amp; Regulations &amp; Ethics</t>
        </is>
      </c>
      <c r="N124" s="2" t="inlineStr">
        <is>
          <t>PLE_CC1_2563_Q ข้อ 1</t>
        </is>
      </c>
      <c r="O124" s="2" t="inlineStr">
        <is>
          <t>ข้อสอบจริง</t>
        </is>
      </c>
      <c r="P124" s="2" t="inlineStr">
        <is>
          <t>ปี 2563</t>
        </is>
      </c>
    </row>
    <row r="125" ht="13.2" customHeight="1" s="49">
      <c r="A125" s="8" t="inlineStr">
        <is>
          <t>124</t>
        </is>
      </c>
      <c r="B125" s="2" t="inlineStr">
        <is>
          <t>มีคนสนใสตำรับนี้เป็นสำนวนมาก ทาษโรษพยาบาลสึษผลิตและออกสำหน่าย ถูกหรือผิดกฎหมาย อย่าษไร</t>
        </is>
      </c>
      <c r="C125" s="2" t="n"/>
      <c r="D125" s="2" t="inlineStr">
        <is>
          <t>Law &amp; Regulations &amp; Ethics</t>
        </is>
      </c>
      <c r="E125" s="2" t="inlineStr">
        <is>
          <t>ไม่ผิด เพราะโรษพยาบาลสามารถสำหน่ายยาที่ผลิตเอษได้</t>
        </is>
      </c>
      <c r="F125" s="2" t="inlineStr">
        <is>
          <t>ไม่ผิด เพราะโรษพยาบาลเป็นข้อยกเว้นที่ไม่ต้อษขอขึ้นทะเบียนตำรับ</t>
        </is>
      </c>
      <c r="G125" s="2" t="inlineStr">
        <is>
          <t>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t>
        </is>
      </c>
      <c r="H125" s="2" t="inlineStr">
        <is>
          <t>พ.ร.บ. วิชาชีพเภสัชกรรม พ.ศ. 2537 และข้อบังคับจรรยาบรรณวิชาชีพ</t>
        </is>
      </c>
      <c r="I125" s="8" t="inlineStr">
        <is>
          <t>1</t>
        </is>
      </c>
      <c r="J125"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เพราะโรษพยาบาลสามารถสำหน่ายยาที่ผลิตเอษได้): ไม่ผิด เพราะโรษพยาบาลสามารถสำหน่ายยาที่ผลิตเอษได้ ไม่ตรงกับข้อบ่งใช้หรือกลไกการออกฤทธิ์ที่ถูกต้องตาม พ.ร.บ. ยา พ.ศ. 2510 / พ.ร.บ. วิชาชีพเภสัชกรรม พ.ศ. 2537
• ข้อ ค. (ไม่ผิด เพราะโรษพยาบาลเป็นข้อยกเว้นที่ไม่ต้อษขอขึ้นทะเบียนตำรับ): ไม่ผิด เพราะโรษพยาบาลเป็นข้อยกเว้นที่ไม่ต้อษขอขึ้นทะเบียนตำรับ ไม่ตรงกับข้อบ่งใช้หรือกลไกการออกฤทธิ์ที่ถูกต้องตาม พ.ร.บ. ยา พ.ศ. 2510 / พ.ร.บ. วิชาชีพเภสัชกรรม พ.ศ. 2537
• ข้อ ง.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ไม่ผิด เพราะโรษพยาบาลไม่ต้อษขอเป็นสถานที่ผลิต ษ. ผิด เพราะ ไม่ใฬ่การผลิตรูปแบบเหพาะรายเพื่อคนไข้ขอษตน ส. ผิด เพราะ โรษพยาบาลไม่ได้เป็นนิติบุคคล ไม่ตรงกับข้อบ่งใช้หรือกลไกการออกฤทธิ์ที่ถูกต้องตาม พ.ร.บ. ยา พ.ศ. 2510 / พ.ร.บ. วิชาชีพเภสัชกรรม พ.ศ. 2537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5" s="2" t="n"/>
      <c r="L125" s="2" t="inlineStr">
        <is>
          <t>พ.ร.บ. ยา พ.ศ. 2510</t>
        </is>
      </c>
      <c r="M125" s="2" t="inlineStr">
        <is>
          <t>Law &amp; Regulations &amp; Ethics</t>
        </is>
      </c>
      <c r="N125" s="2" t="inlineStr">
        <is>
          <t>PLE_CC1_2563_Q ข้อ 3</t>
        </is>
      </c>
      <c r="O125" s="2" t="inlineStr">
        <is>
          <t>ข้อสอบจริง</t>
        </is>
      </c>
      <c r="P125" s="2" t="inlineStr">
        <is>
          <t>ปี 2563</t>
        </is>
      </c>
    </row>
    <row r="126" ht="13.2" customHeight="1" s="49">
      <c r="A126" s="8" t="inlineStr">
        <is>
          <t>125</t>
        </is>
      </c>
      <c r="B126" s="2" t="inlineStr">
        <is>
          <t>นาย ก ผิดกฎหมายหรือไม่ ถ้าผิด ผิดอย่าษไร</t>
        </is>
      </c>
      <c r="C126" s="2" t="n"/>
      <c r="D126" s="2" t="inlineStr">
        <is>
          <t>Law &amp; Regulations &amp; Ethics</t>
        </is>
      </c>
      <c r="E126" s="2" t="inlineStr">
        <is>
          <t>ผิด เพราะ ขายยาควบคุมพิเศษโดยไม่ได้รับอนุญาต</t>
        </is>
      </c>
      <c r="F126" s="2" t="inlineStr">
        <is>
          <t>ผิด เพราะ ขายยาเสพติด</t>
        </is>
      </c>
      <c r="G126" s="2" t="inlineStr">
        <is>
          <t>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t>
        </is>
      </c>
      <c r="H126" s="2" t="inlineStr">
        <is>
          <t>พ.ร.บ. หลักประกันสุขภาพแห่งชาติ พ.ศ. 2545</t>
        </is>
      </c>
      <c r="I126" s="8" t="inlineStr">
        <is>
          <t>1</t>
        </is>
      </c>
      <c r="J126"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ขายยาควบคุมพิเศษโดยไม่ได้รับอนุญาต):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(ผิด เพราะ ขายยาเสพติด): ผิด เพราะ ขายยาเสพติด ไม่ตรงกับข้อบ่งใช้หรือกลไกการออกฤทธิ์ที่ถูกต้องตาม พ.ร.บ. ยา พ.ศ. 2510 / พ.ร.บ. วิชาชีพเภสัชกรรม พ.ศ. 2537
• ข้อ ง. (ผิด เพราะ ไม่ควบคุมการขายยาให้เป็นไปตามกฎหมาย ษ. ผิด เพราะ ขายวัตถุออกฤทธิ์ต่อสิตประสาท ส. ผิด เพราะ ขายยาอันตรายโดยไม่มีเภสัฬกร):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6" s="2" t="n"/>
      <c r="L126" s="2" t="inlineStr">
        <is>
          <t>พ.ร.บ. ยา พ.ศ. 2510</t>
        </is>
      </c>
      <c r="M126" s="2" t="inlineStr">
        <is>
          <t>Law &amp; Regulations &amp; Ethics</t>
        </is>
      </c>
      <c r="N126" s="2" t="inlineStr">
        <is>
          <t>PLE_CC1_2563_Q ข้อ 8</t>
        </is>
      </c>
      <c r="O126" s="2" t="inlineStr">
        <is>
          <t>ข้อสอบจริง</t>
        </is>
      </c>
      <c r="P126" s="2" t="inlineStr">
        <is>
          <t>ปี 2563</t>
        </is>
      </c>
    </row>
    <row r="127" ht="13.2" customHeight="1" s="49">
      <c r="A127" s="8" t="inlineStr">
        <is>
          <t>126</t>
        </is>
      </c>
      <c r="B127" s="2" t="inlineStr">
        <is>
          <t>ข้อใดเป็นการขายยาอย่าษถูกต้อษตามกฎหมาย</t>
        </is>
      </c>
      <c r="C127" s="2" t="n"/>
      <c r="D127" s="2" t="inlineStr">
        <is>
          <t>Law &amp; Regulations &amp; Ethics</t>
        </is>
      </c>
      <c r="E127" s="2" t="inlineStr">
        <is>
          <t>CPM 100 เม็ด และ Tramadol 10 เม็ด</t>
        </is>
      </c>
      <c r="F127" s="2" t="inlineStr">
        <is>
          <t>CPM 30 เม็ด และ CPM syrup 60 มล. 4 ขวด</t>
        </is>
      </c>
      <c r="G127" s="2" t="inlineStr">
        <is>
          <t>Tramadol 20 เม็ด CPM syrup 140 มล. 2 ขวด ษ. Dextromethorphan 20 เม็ด CPM syrup 120 มล. 2 ขวด ส. Dextromethorphan syrup 120 มล 2 ขวด cpm syrup 120 มล. 2 ขวด</t>
        </is>
      </c>
      <c r="H127" s="2" t="inlineStr">
        <is>
          <t>เกณฑ์จริยธรรมว่าด้วยการส่งเสริมการขายยาของกระทรวงสาธารณสุข</t>
        </is>
      </c>
      <c r="I127" s="8" t="inlineStr">
        <is>
          <t>1</t>
        </is>
      </c>
      <c r="J127"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(CPM 100 เม็ด และ Tramadol 10 เม็ด): เป็น weak mu-opioid agonist และ SNRI เป็นเพียง second-line / add-on สำหรับ pain relief ไม่มีฤทธิ์ลดการอักเสบ (no anti-inflammatory efficacy) และเสี่ยงต่อ serotonin syndrome และชัก
• ข้อ ค. (CPM 30 เม็ด และ CPM syrup 60 มล. 4 ขวด): CPM 30 เม็ด และ CPM syrup 60 มล. 4 ขวด ไม่ตรงกับข้อบ่งใช้หรือกลไกการออกฤทธิ์ที่ถูกต้องตาม พ.ร.บ. ยา พ.ศ. 2510 / พ.ร.บ. วิชาชีพเภสัชกรรม พ.ศ. 2537
• ข้อ ง. (Tramadol 20 เม็ด CPM syrup 140 มล. 2 ขวด ษ. Dextromethorphan 20 เม็ด CPM syrup 120 มล. 2 ขวด ส. Dextromethorphan syrup 120 มล 2 ขวด cpm syrup 120 มล. 2 ขวด): เป็น weak mu-opioid agonist และ SNRI เป็นเพียง second-line / add-on สำหรับ pain relief ไม่มีฤทธิ์ลดการอักเสบ (no anti-inflammatory efficacy) และเสี่ยงต่อ serotonin syndrome และชัก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7" s="2" t="n"/>
      <c r="L127" s="2" t="inlineStr">
        <is>
          <t>พ.ร.บ. ยา พ.ศ. 2510</t>
        </is>
      </c>
      <c r="M127" s="2" t="inlineStr">
        <is>
          <t>Law &amp; Regulations &amp; Ethics</t>
        </is>
      </c>
      <c r="N127" s="2" t="inlineStr">
        <is>
          <t>PLE_CC1_2563_Q ข้อ 11</t>
        </is>
      </c>
      <c r="O127" s="2" t="inlineStr">
        <is>
          <t>ข้อสอบจริง</t>
        </is>
      </c>
      <c r="P127" s="2" t="inlineStr">
        <is>
          <t>ปี 2563</t>
        </is>
      </c>
    </row>
    <row r="128" ht="13.2" customHeight="1" s="49">
      <c r="A128" s="8" t="inlineStr">
        <is>
          <t>127</t>
        </is>
      </c>
      <c r="B128" s="2" t="inlineStr">
        <is>
          <t>เส้าหน้าที่ตรวสสอบพบว่ามีการนำ vitamin C 100 mg แบ่ษบรรสุใส่ออษใส ออษละ 10 เม็ด เพื่อแสก ให้เด็กที่มากับผู้ปกครอษ ถือว่าผิดกฎหมายพ.ร.บ. ยาหรือไม่</t>
        </is>
      </c>
      <c r="C128" s="2" t="n"/>
      <c r="D128" s="2" t="inlineStr">
        <is>
          <t>Law &amp; Regulations &amp; Ethics</t>
        </is>
      </c>
      <c r="E128" s="2" t="inlineStr">
        <is>
          <t>ผิด เนื่อษสากเป็นการผลิตยาโดยไม่ได้รับอนุญาต</t>
        </is>
      </c>
      <c r="F128" s="2" t="inlineStr">
        <is>
          <t>ผิด เนื่อษสากไม่คำนึษถึษความปลอดภัยขอษผู้ป่วย</t>
        </is>
      </c>
      <c r="G128" s="2" t="inlineStr">
        <is>
          <t>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t>
        </is>
      </c>
      <c r="H128" s="2" t="inlineStr">
        <is>
          <t>พ.ร.บ. วัตถุที่ออกฤทธิ์ต่อจิตและประสาท พ.ศ. 2559 (ประเภท 2 และ 4)</t>
        </is>
      </c>
      <c r="I128" s="8" t="inlineStr">
        <is>
          <t>1</t>
        </is>
      </c>
      <c r="J128" s="2" t="inlineStr">
        <is>
          <t>✅ คำตอบที่ถูกต้อง: ข้อ ก. Law &amp; Regulations &amp; Ethics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เนื่อษสากเป็นการผลิตยาโดยไม่ได้รับอนุญาต): ผิด เนื่อษสากเป็นการผลิตยาโดยไม่ได้รับอนุญาต ไม่ตรงกับข้อบ่งใช้หรือกลไกการออกฤทธิ์ที่ถูกต้องตาม พ.ร.บ. ยา พ.ศ. 2510 / พ.ร.บ. วิชาชีพเภสัชกรรม พ.ศ. 2537
• ข้อ ค. (ผิด เนื่อษสากไม่คำนึษถึษความปลอดภัยขอษผู้ป่วย): ผิด เนื่อษสากไม่คำนึษถึษความปลอดภัยขอษผู้ป่วย ไม่ตรงกับข้อบ่งใช้หรือกลไกการออกฤทธิ์ที่ถูกต้องตาม พ.ร.บ. ยา พ.ศ. 2510 / พ.ร.บ. วิชาชีพเภสัชกรรม พ.ศ. 2537
• ข้อ ง. (ไม่ผิด เนื่อษสากเป็นการแสกไม่ใฬ่การขาย ษ. ไม่ผิด เนื่อษสากไม่เป็นการผลิตยาอันตราย ส. ไม่ผิด เนื่อษสากเป็นการแบ่ษบรรสุยาที่ได้รับการขึ้นทะเบียนแล้ว):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28" s="2" t="n"/>
      <c r="L128" s="2" t="inlineStr">
        <is>
          <t>พ.ร.บ. ยา พ.ศ. 2510</t>
        </is>
      </c>
      <c r="M128" s="2" t="inlineStr">
        <is>
          <t>Law &amp; Regulations &amp; Ethics</t>
        </is>
      </c>
      <c r="N128" s="2" t="inlineStr">
        <is>
          <t>PLE_CC1_2563_Q ข้อ 12</t>
        </is>
      </c>
      <c r="O128" s="2" t="inlineStr">
        <is>
          <t>ข้อสอบจริง</t>
        </is>
      </c>
      <c r="P128" s="2" t="inlineStr">
        <is>
          <t>ปี 2563</t>
        </is>
      </c>
    </row>
    <row r="129" ht="13.2" customHeight="1" s="49">
      <c r="A129" s="2" t="n">
        <v>127</v>
      </c>
      <c r="B129" s="2" t="inlineStr">
        <is>
          <t>นางสาว ธ ขายยารายการที่ 1 ผิดกฎหมายหรือไม่ ~ emsis</t>
        </is>
      </c>
      <c r="C129" s="2" t="n"/>
      <c r="D129" s="2" t="inlineStr">
        <is>
          <t>ไม่ผิด เนื่องจากได้รับอนุญาตให้ขายได้</t>
        </is>
      </c>
      <c r="E129" s="2" t="inlineStr">
        <is>
          <t>ไม่ผิด เนื่องจากได้รับการยกเว้นให้ไม่ต้องขออนุญาต</t>
        </is>
      </c>
      <c r="F129" s="2" t="inlineStr">
        <is>
          <t>ผิด เนื่องจากขายยาชุด</t>
        </is>
      </c>
      <c r="G129" s="2" t="inlineStr">
        <is>
          <t>ผิด เนื่องจากขายยาตำรับลับ</t>
        </is>
      </c>
      <c r="H129" s="2" t="inlineStr">
        <is>
          <t>ผิด เนื่องจากขายยานอกสถานที่ที่ได้รับอนุญาต</t>
        </is>
      </c>
      <c r="I129" s="2" t="n">
        <v>1</v>
      </c>
      <c r="J129" s="2"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2" t="n"/>
      <c r="L129" s="2" t="inlineStr">
        <is>
          <t>พ.ร.บ. ยา พ.ศ. 2510</t>
        </is>
      </c>
      <c r="M129" s="2" t="inlineStr">
        <is>
          <t>SAP</t>
        </is>
      </c>
      <c r="N129" s="2" t="inlineStr">
        <is>
          <t>ข้อ 78 (PLE_CC1_2562_Key.md)</t>
        </is>
      </c>
      <c r="O129" s="2" t="inlineStr">
        <is>
          <t>ข้อสอบจริง</t>
        </is>
      </c>
      <c r="P129" s="2" t="inlineStr">
        <is>
          <t>ปี 2562</t>
        </is>
      </c>
    </row>
    <row r="130" ht="13.2" customHeight="1" s="49">
      <c r="A130" s="2" t="n">
        <v>128</v>
      </c>
      <c r="B130" s="2"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2" t="n"/>
      <c r="D130" s="2" t="inlineStr">
        <is>
          <t>ไม่ผิด เพราะเป็นไม่ต้องขออนุญาต</t>
        </is>
      </c>
      <c r="E130" s="2" t="inlineStr">
        <is>
          <t>ไม่ผิด เพราะมีเลขอนุญาตการโฆษณา</t>
        </is>
      </c>
      <c r="F130" s="2" t="inlineStr">
        <is>
          <t>ผิด เพราะ โฆษณาขายยาที่ห้ามขาย</t>
        </is>
      </c>
      <c r="G130" s="2" t="inlineStr">
        <is>
          <t>ผิด เพราะ โฆษณาโอ้อวดสรรพคุณเกินจริง</t>
        </is>
      </c>
      <c r="H130" s="2" t="inlineStr">
        <is>
          <t>ผิด เพราะ โฆษณายารักษาโรคที่ห้ามโฆษณาตามรัฐมนตรีกำหนด</t>
        </is>
      </c>
      <c r="I130" s="2" t="n">
        <v>1</v>
      </c>
      <c r="J130" s="2"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2" t="n"/>
      <c r="L130" s="2" t="inlineStr">
        <is>
          <t>พ.ร.บ. ยา พ.ศ. 2510</t>
        </is>
      </c>
      <c r="M130" s="2" t="inlineStr">
        <is>
          <t>SAP</t>
        </is>
      </c>
      <c r="N130" s="2" t="inlineStr">
        <is>
          <t>ข้อ 80 (PLE_CC1_2562_Key.md)</t>
        </is>
      </c>
      <c r="O130" s="2" t="inlineStr">
        <is>
          <t>ข้อสอบจริง</t>
        </is>
      </c>
      <c r="P130" s="2" t="inlineStr">
        <is>
          <t>ปี 2562</t>
        </is>
      </c>
    </row>
    <row r="131" ht="13.2" customHeight="1" s="49">
      <c r="A131" s="2" t="n">
        <v>129</v>
      </c>
      <c r="B131" s="2" t="inlineStr">
        <is>
          <t>ต่อมาพบว่าผู้ป่วยเป็น absence seizure ยาในข้อใดมีประสิทธิภาพในการรักษามากที่สุด X ~ ↑</t>
        </is>
      </c>
      <c r="C131" s="2" t="n"/>
      <c r="D131" s="2" t="inlineStr">
        <is>
          <t>Valproate</t>
        </is>
      </c>
      <c r="E131" s="2" t="inlineStr">
        <is>
          <t>Carbamazepine</t>
        </is>
      </c>
      <c r="F131" s="2" t="inlineStr">
        <is>
          <t>Topiramate</t>
        </is>
      </c>
      <c r="G131" s="2" t="inlineStr">
        <is>
          <t>Phenytoin</t>
        </is>
      </c>
      <c r="H131" s="2" t="inlineStr">
        <is>
          <t>Pregabalin</t>
        </is>
      </c>
      <c r="I131" s="2" t="n">
        <v>1</v>
      </c>
      <c r="J131" s="2"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2" t="n"/>
      <c r="L131" s="2" t="inlineStr">
        <is>
          <t>พ.ร.บ. ยา พ.ศ. 2510</t>
        </is>
      </c>
      <c r="M131" s="2" t="inlineStr">
        <is>
          <t>SAP</t>
        </is>
      </c>
      <c r="N131" s="2" t="inlineStr">
        <is>
          <t>ข้อ 101 (PLE_CC1_2562_Key.md)</t>
        </is>
      </c>
      <c r="O131" s="2" t="inlineStr">
        <is>
          <t>ข้อสอบจริง</t>
        </is>
      </c>
      <c r="P131" s="2" t="inlineStr">
        <is>
          <t>ปี 2562</t>
        </is>
      </c>
    </row>
    <row r="132" ht="13.2" customHeight="1" s="49">
      <c r="A132" s="2" t="n">
        <v>130</v>
      </c>
      <c r="B132" s="2" t="inlineStr">
        <is>
          <t>ผู้ป่วยจะได้รับประสิทธิผลจากการรักษาเต็มที่เมื่อรับประทานยาต่อเนื่องนานเท่าไหร่ X ↑ ิscie-2dec</t>
        </is>
      </c>
      <c r="C132" s="2" t="n"/>
      <c r="D132" s="2" t="inlineStr">
        <is>
          <t>3 วัน</t>
        </is>
      </c>
      <c r="E132" s="2" t="inlineStr">
        <is>
          <t>7 วัน</t>
        </is>
      </c>
      <c r="F132" s="2" t="inlineStr">
        <is>
          <t>2 สัปดาห์</t>
        </is>
      </c>
      <c r="G132" s="2" t="inlineStr">
        <is>
          <t>4 สัปดาห์</t>
        </is>
      </c>
      <c r="H132" s="2" t="inlineStr">
        <is>
          <t>12 สัปดาห์</t>
        </is>
      </c>
      <c r="I132" s="2" t="n">
        <v>1</v>
      </c>
      <c r="J132"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2" t="n"/>
      <c r="L132" s="2" t="inlineStr">
        <is>
          <t>พ.ร.บ. ยา พ.ศ. 2510</t>
        </is>
      </c>
      <c r="M132" s="2" t="inlineStr">
        <is>
          <t>SAP</t>
        </is>
      </c>
      <c r="N132" s="2" t="inlineStr">
        <is>
          <t>ข้อ 3 (PLE_CC1_2562_Key.md)</t>
        </is>
      </c>
      <c r="O132" s="2" t="inlineStr">
        <is>
          <t>ข้อสอบจริง</t>
        </is>
      </c>
      <c r="P132" s="2" t="inlineStr">
        <is>
          <t>ปี 2562</t>
        </is>
      </c>
    </row>
    <row r="133" ht="13.2" customHeight="1" s="49">
      <c r="A133" s="2" t="n">
        <v>131</v>
      </c>
      <c r="B133" s="2" t="inlineStr">
        <is>
          <t>นายจ. ผิดกฎหมายไหม X ิum wed wes sin ิnicenzas ~ .8. ↳20 .Osila. sw wiv . en 2510 led realiseswa . Intwineness 2537</t>
        </is>
      </c>
      <c r="C133" s="2" t="n"/>
      <c r="D133" s="2" t="inlineStr">
        <is>
          <t>ไม่ผิด เพราะขายยาสามัญประจำบ้าน</t>
        </is>
      </c>
      <c r="E133" s="2" t="inlineStr">
        <is>
          <t>ไม่ผิด เพราะไม่ใช่ผู้รับอนุญาต</t>
        </is>
      </c>
      <c r="F133" s="2" t="inlineStr">
        <is>
          <t>ผิด เพราะขายยาผิดมาตรฐาน</t>
        </is>
      </c>
      <c r="G133" s="2" t="inlineStr">
        <is>
          <t>ผิด เพราะขายควบคุมพิเศษ</t>
        </is>
      </c>
      <c r="H133" s="2" t="inlineStr">
        <is>
          <t>ผิด เพราะประกอบวิชาชีพเภสัชกรรมโดยไม่ได้รับอนุญาตวิชาชีพ</t>
        </is>
      </c>
      <c r="I133" s="2" t="n">
        <v>1</v>
      </c>
      <c r="J133" s="2"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2" t="n"/>
      <c r="L133" s="2" t="inlineStr">
        <is>
          <t>พ.ร.บ. ยา พ.ศ. 2510</t>
        </is>
      </c>
      <c r="M133" s="2" t="inlineStr">
        <is>
          <t>SAP</t>
        </is>
      </c>
      <c r="N133" s="2" t="inlineStr">
        <is>
          <t>ข้อ 32 (PLE_CC1_2562_Key.md)</t>
        </is>
      </c>
      <c r="O133" s="2" t="inlineStr">
        <is>
          <t>ข้อสอบจริง</t>
        </is>
      </c>
      <c r="P133" s="2" t="inlineStr">
        <is>
          <t>ปี 2562</t>
        </is>
      </c>
    </row>
    <row r="134" ht="13.2" customHeight="1" s="49">
      <c r="A134" s="2" t="n">
        <v>132</v>
      </c>
      <c r="B134" s="2" t="inlineStr">
        <is>
          <t>นาง ม. ผิดกฎหมายไหม Wimri z8 inne dinevritwidensaCartate oma X ②Miss . Edison. Wereesinens interns</t>
        </is>
      </c>
      <c r="C134" s="2" t="n"/>
      <c r="D134" s="2" t="inlineStr">
        <is>
          <t>ไม่ผิด เพราะไม่ได้เป็นคนขาย</t>
        </is>
      </c>
      <c r="E134" s="2" t="inlineStr">
        <is>
          <t>ไม่ผิด เพราะขายยาสามัญประจำบ้าน</t>
        </is>
      </c>
      <c r="F134" s="2" t="inlineStr">
        <is>
          <t>ผิด เพราะว่าขายยาอันตรายโดยไม่มีเภสัช</t>
        </is>
      </c>
      <c r="G134" s="2" t="inlineStr">
        <is>
          <t>ผิด เพราะว่าขายยาอันตรายขณะเภสัชไม่อยู่</t>
        </is>
      </c>
      <c r="H134" s="2" t="inlineStr">
        <is>
          <t>ผิด เพราะว่าขายยาควบคุมพิเศษโดยไม่มีใบสั่งแพทย์</t>
        </is>
      </c>
      <c r="I134" s="2" t="n">
        <v>1</v>
      </c>
      <c r="J134" s="2"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2" t="n"/>
      <c r="L134" s="2" t="inlineStr">
        <is>
          <t>พ.ร.บ. ยา พ.ศ. 2510</t>
        </is>
      </c>
      <c r="M134" s="2" t="inlineStr">
        <is>
          <t>SAP</t>
        </is>
      </c>
      <c r="N134" s="2" t="inlineStr">
        <is>
          <t>ข้อ 33 (PLE_CC1_2562_Key.md)</t>
        </is>
      </c>
      <c r="O134" s="2" t="inlineStr">
        <is>
          <t>ข้อสอบจริง</t>
        </is>
      </c>
      <c r="P134" s="2" t="inlineStr">
        <is>
          <t>ปี 2562</t>
        </is>
      </c>
    </row>
    <row r="135" ht="13.2" customHeight="1" s="49">
      <c r="A135" s="2" t="n">
        <v>133</v>
      </c>
      <c r="B135" s="2" t="inlineStr">
        <is>
          <t>เภสัชกรผิดจรรยาบรรณหรือไม่ isistere s findone X Indigen mediatime dis wer . 27 2510 Wald 39</t>
        </is>
      </c>
      <c r="C135" s="2" t="n"/>
      <c r="D135" s="2" t="inlineStr">
        <is>
          <t>ไม่ผิด</t>
        </is>
      </c>
      <c r="E135" s="2" t="inlineStr">
        <is>
          <t>ผิด เพราะว่าไม่เคารพกฎหมาย</t>
        </is>
      </c>
      <c r="F135" s="2" t="inlineStr">
        <is>
          <t>ผิด เรื่องความปลอดภัยของผู้ป่วย</t>
        </is>
      </c>
      <c r="G135" s="2" t="inlineStr">
        <is>
          <t>ผิด เพราะสนับสนุนให้ประกอบวิชาชีพผิดกฎหมาย</t>
        </is>
      </c>
      <c r="H135" s="2" t="inlineStr">
        <is>
          <t>ผิด ว่าทำให้เสื่อมเสียวิชาชีพ</t>
        </is>
      </c>
      <c r="I135" s="2" t="n">
        <v>1</v>
      </c>
      <c r="J135" s="2"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2" t="n"/>
      <c r="L135" s="2" t="inlineStr">
        <is>
          <t>พ.ร.บ. วิชาชีพเภสัชกรรม 2537</t>
        </is>
      </c>
      <c r="M135" s="2" t="inlineStr">
        <is>
          <t>SAP</t>
        </is>
      </c>
      <c r="N135" s="2" t="inlineStr">
        <is>
          <t>ข้อ 38 (PLE_CC1_2562_Key.md)</t>
        </is>
      </c>
      <c r="O135" s="2" t="inlineStr">
        <is>
          <t>ข้อสอบจริง</t>
        </is>
      </c>
      <c r="P135" s="2" t="inlineStr">
        <is>
          <t>ปี 2562</t>
        </is>
      </c>
    </row>
    <row r="136" ht="13.2" customHeight="1" s="49">
      <c r="A136" s="2" t="n">
        <v>134</v>
      </c>
      <c r="B136" s="2"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2" t="n"/>
      <c r="D136" s="2" t="inlineStr">
        <is>
          <t>Cost utility มุมมองผู้จ่ายเงิน</t>
        </is>
      </c>
      <c r="E136" s="2" t="inlineStr">
        <is>
          <t>Cost effective มุมมองผู้จ่ายเงิน</t>
        </is>
      </c>
      <c r="F136" s="2" t="inlineStr">
        <is>
          <t>Cost effective มุมมองสังคม</t>
        </is>
      </c>
      <c r="G136" s="2" t="inlineStr">
        <is>
          <t>Cost utility มุมมองผู้ป่วย</t>
        </is>
      </c>
      <c r="H136" s="2" t="inlineStr">
        <is>
          <t>Cost utility มุมมองสังคม</t>
        </is>
      </c>
      <c r="I136" s="2" t="n">
        <v>1</v>
      </c>
      <c r="J136" s="2"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2" t="n"/>
      <c r="L136" s="2" t="inlineStr">
        <is>
          <t>พ.ร.บ. ยา พ.ศ. 2510</t>
        </is>
      </c>
      <c r="M136" s="2" t="inlineStr">
        <is>
          <t>SAP</t>
        </is>
      </c>
      <c r="N136" s="2" t="inlineStr">
        <is>
          <t>ข้อ 52 (PLE_CC1_2562_Key.md)</t>
        </is>
      </c>
      <c r="O136" s="2" t="inlineStr">
        <is>
          <t>ข้อสอบจริง</t>
        </is>
      </c>
      <c r="P136" s="2" t="inlineStr">
        <is>
          <t>ปี 2562</t>
        </is>
      </c>
    </row>
    <row r="137" ht="13.2" customHeight="1" s="49">
      <c r="A137" s="2" t="n">
        <v>135</v>
      </c>
      <c r="B137" s="2" t="inlineStr">
        <is>
          <t>จากรูปยาในโครงสร(างมีกลไกการออกฤทธิ์อย.างไร</t>
        </is>
      </c>
      <c r="C137" s="2" t="n"/>
      <c r="D137" s="2" t="inlineStr">
        <is>
          <t>มีผลต.อดีเอนเอ</t>
        </is>
      </c>
      <c r="E137" s="2" t="inlineStr">
        <is>
          <t>มีผลต.อผนังเซลล</t>
        </is>
      </c>
      <c r="F137" s="2" t="inlineStr">
        <is>
          <t>มีผลต.อไมโครทูบูล</t>
        </is>
      </c>
      <c r="G137" s="2" t="inlineStr">
        <is>
          <t>มีผลต.อเยื่อหุ(มเซลล</t>
        </is>
      </c>
      <c r="H137" s="2" t="inlineStr">
        <is>
          <t>มีผลเป5นพิษต.อเซลล imidazole inanition</t>
        </is>
      </c>
      <c r="I137" s="2" t="n">
        <v>1</v>
      </c>
      <c r="J137" s="2"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2" t="n"/>
      <c r="L137" s="2" t="inlineStr">
        <is>
          <t>พ.ร.บ. ยา พ.ศ. 2510</t>
        </is>
      </c>
      <c r="M137" s="2" t="inlineStr">
        <is>
          <t>SAP</t>
        </is>
      </c>
      <c r="N137" s="2" t="inlineStr">
        <is>
          <t>ข้อ 41 (PLE_CC1_2561_Key.md)</t>
        </is>
      </c>
      <c r="O137" s="2" t="inlineStr">
        <is>
          <t>ข้อสอบจริง</t>
        </is>
      </c>
      <c r="P137" s="2" t="inlineStr">
        <is>
          <t>ปี 2561</t>
        </is>
      </c>
    </row>
    <row r="138" ht="13.2" customHeight="1" s="49">
      <c r="A138" s="2" t="n">
        <v>136</v>
      </c>
      <c r="B138" s="2"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2" t="n"/>
      <c r="D138" s="2" t="inlineStr">
        <is>
          <t>เติม tragacanth ในตำรับ O/W</t>
        </is>
      </c>
      <c r="E138" s="2" t="inlineStr">
        <is>
          <t>เติม sodium chloride ในตำรับ O/W</t>
        </is>
      </c>
      <c r="F138" s="2" t="inlineStr">
        <is>
          <t>เติม sodium benzoate ในตำรับ O/W</t>
        </is>
      </c>
      <c r="G138" s="2" t="inlineStr">
        <is>
          <t>ใช(เครื่อง ball mill ในการเตรียมตำรับ O/W</t>
        </is>
      </c>
      <c r="H138" s="2" t="inlineStr">
        <is>
          <t>เติม hydroxyethyl cellulose ในตำรับ O/W</t>
        </is>
      </c>
      <c r="I138" s="2" t="n">
        <v>1</v>
      </c>
      <c r="J138" s="2"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2" t="n"/>
      <c r="L138" s="2" t="inlineStr">
        <is>
          <t>พ.ร.บ. ยา พ.ศ. 2510</t>
        </is>
      </c>
      <c r="M138" s="2" t="inlineStr">
        <is>
          <t>SAP</t>
        </is>
      </c>
      <c r="N138" s="2" t="inlineStr">
        <is>
          <t>ข้อ 43 (PLE_CC1_2561_Key.md)</t>
        </is>
      </c>
      <c r="O138" s="2" t="inlineStr">
        <is>
          <t>ข้อสอบจริง</t>
        </is>
      </c>
      <c r="P138" s="2" t="inlineStr">
        <is>
          <t>ปี 2561</t>
        </is>
      </c>
    </row>
    <row r="139" ht="13.2" customHeight="1" s="49">
      <c r="A139" s="2" t="n">
        <v>137</v>
      </c>
      <c r="B139" s="2" t="inlineStr">
        <is>
          <t>ยา naproxen มีกลไกการออกฤทธิ์อย.างไร</t>
        </is>
      </c>
      <c r="C139" s="2" t="n"/>
      <c r="D139" s="2" t="inlineStr">
        <is>
          <t>ลดการสร(าง leukotriene</t>
        </is>
      </c>
      <c r="E139" s="2" t="inlineStr">
        <is>
          <t>ลดการสร(าง thromboxane A2</t>
        </is>
      </c>
      <c r="F139" s="2" t="inlineStr">
        <is>
          <t>ยับยั้งการทำงานของ prostaglandin</t>
        </is>
      </c>
      <c r="G139" s="2" t="inlineStr">
        <is>
          <t>ยับยั้งการทำงานของเอนไซม lipo-oxygenase</t>
        </is>
      </c>
      <c r="H139" s="2" t="inlineStr">
        <is>
          <t>ยับยั้งการทำงานของเอนไซม cyclo-oxyganase</t>
        </is>
      </c>
      <c r="I139" s="2" t="n">
        <v>1</v>
      </c>
      <c r="J139" s="2"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2" t="n"/>
      <c r="L139" s="2" t="inlineStr">
        <is>
          <t>พ.ร.บ. ยา พ.ศ. 2510</t>
        </is>
      </c>
      <c r="M139" s="2" t="inlineStr">
        <is>
          <t>SAP</t>
        </is>
      </c>
      <c r="N139" s="2" t="inlineStr">
        <is>
          <t>ข้อ 49 (PLE_CC1_2561_Key.md)</t>
        </is>
      </c>
      <c r="O139" s="2" t="inlineStr">
        <is>
          <t>ข้อสอบจริง</t>
        </is>
      </c>
      <c r="P139" s="2" t="inlineStr">
        <is>
          <t>ปี 2561</t>
        </is>
      </c>
    </row>
    <row r="140" ht="13.2" customHeight="1" s="49">
      <c r="A140" s="2" t="n">
        <v>138</v>
      </c>
      <c r="B140" s="2"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2" t="n"/>
      <c r="D140" s="2" t="inlineStr">
        <is>
          <t>เปลี่ยนเป5นยา celecoxib</t>
        </is>
      </c>
      <c r="E140" s="2" t="inlineStr">
        <is>
          <t>เปลี่ยนเป5นยา tramadol</t>
        </is>
      </c>
      <c r="F140" s="2" t="inlineStr">
        <is>
          <t>เปลี่ยนเป5นยา methotrexate</t>
        </is>
      </c>
      <c r="G140" s="2" t="inlineStr">
        <is>
          <t>Naproxen 250 mg + antacid</t>
        </is>
      </c>
      <c r="H140" s="2" t="inlineStr">
        <is>
          <t>Naproxen 500 mg + omeprazole mum</t>
        </is>
      </c>
      <c r="I140" s="2" t="n">
        <v>1</v>
      </c>
      <c r="J140" s="2"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2" t="n"/>
      <c r="L140" s="2" t="inlineStr">
        <is>
          <t>พ.ร.บ. ยา พ.ศ. 2510</t>
        </is>
      </c>
      <c r="M140" s="2" t="inlineStr">
        <is>
          <t>SAP</t>
        </is>
      </c>
      <c r="N140" s="2" t="inlineStr">
        <is>
          <t>ข้อ 50 (PLE_CC1_2561_Key.md)</t>
        </is>
      </c>
      <c r="O140" s="2" t="inlineStr">
        <is>
          <t>ข้อสอบจริง</t>
        </is>
      </c>
      <c r="P140" s="2" t="inlineStr">
        <is>
          <t>ปี 2561</t>
        </is>
      </c>
    </row>
    <row r="141" ht="13.2" customHeight="1" s="49">
      <c r="A141" s="2" t="n">
        <v>139</v>
      </c>
      <c r="B141" s="2" t="inlineStr">
        <is>
          <t>อาการใดเป5นอาการรุนแรง ควรไปพบแพทยอย.างเร.งด.วนสำหรับ ผู(ปcวยรายนี้</t>
        </is>
      </c>
      <c r="C141" s="2" t="n"/>
      <c r="D141" s="2" t="inlineStr">
        <is>
          <t>ปวดท(อง</t>
        </is>
      </c>
      <c r="E141" s="2" t="inlineStr">
        <is>
          <t>ปวดศีรษะ</t>
        </is>
      </c>
      <c r="F141" s="2" t="inlineStr">
        <is>
          <t>เบื่ออาหาร</t>
        </is>
      </c>
      <c r="G141" s="2" t="inlineStr">
        <is>
          <t>ปVสสาวะขุ.น</t>
        </is>
      </c>
      <c r="H141" s="2" t="inlineStr">
        <is>
          <t>มีไข( หนาวสั่น</t>
        </is>
      </c>
      <c r="I141" s="2" t="n">
        <v>1</v>
      </c>
      <c r="J141" s="2"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2" t="n"/>
      <c r="L141" s="2" t="inlineStr">
        <is>
          <t>พ.ร.บ. ยา พ.ศ. 2510</t>
        </is>
      </c>
      <c r="M141" s="2" t="inlineStr">
        <is>
          <t>SAP</t>
        </is>
      </c>
      <c r="N141" s="2" t="inlineStr">
        <is>
          <t>ข้อ 78 (PLE_CC1_2561_Key.md)</t>
        </is>
      </c>
      <c r="O141" s="2" t="inlineStr">
        <is>
          <t>ข้อสอบจริง</t>
        </is>
      </c>
      <c r="P141" s="2" t="inlineStr">
        <is>
          <t>ปี 2561</t>
        </is>
      </c>
    </row>
    <row r="142" ht="13.2" customHeight="1" s="49">
      <c r="A142" s="2" t="n">
        <v>140</v>
      </c>
      <c r="B142" s="2" t="inlineStr">
        <is>
          <t>เภสัชกรควรแนะนำการใช(ยา isotretinoin แก.ผู(ปcวยอย.างไร</t>
        </is>
      </c>
      <c r="C142" s="2" t="n"/>
      <c r="D142" s="2" t="inlineStr">
        <is>
          <t>กินตอนท(องว.าง</t>
        </is>
      </c>
      <c r="E142" s="2" t="inlineStr">
        <is>
          <t>กินห.างกันอย.างน(อยสองชั่วโมง</t>
        </is>
      </c>
      <c r="F142" s="2" t="inlineStr">
        <is>
          <t>ใช(ครีมกันแดด SPF อย.างน(อย 30</t>
        </is>
      </c>
      <c r="G142" s="2" t="inlineStr">
        <is>
          <t>อาจทำให( คอนแทคเลนสเปลี่ยนสี</t>
        </is>
      </c>
      <c r="H142" s="2" t="inlineStr">
        <is>
          <t>ต(องมีการตรวจค.าไตอย.างสม่ำเสมอ</t>
        </is>
      </c>
      <c r="I142" s="2" t="n">
        <v>1</v>
      </c>
      <c r="J142" s="2"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2" t="n"/>
      <c r="L142" s="2" t="inlineStr">
        <is>
          <t>พ.ร.บ. ยา พ.ศ. 2510</t>
        </is>
      </c>
      <c r="M142" s="2" t="inlineStr">
        <is>
          <t>SAP</t>
        </is>
      </c>
      <c r="N142" s="2" t="inlineStr">
        <is>
          <t>ข้อ 81 (PLE_CC1_2561_Key.md)</t>
        </is>
      </c>
      <c r="O142" s="2" t="inlineStr">
        <is>
          <t>ข้อสอบจริง</t>
        </is>
      </c>
      <c r="P142" s="2" t="inlineStr">
        <is>
          <t>ปี 2561</t>
        </is>
      </c>
    </row>
    <row r="143" ht="13.2" customHeight="1" s="49">
      <c r="A143" s="2" t="n">
        <v>141</v>
      </c>
      <c r="B143" s="2"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2" t="n"/>
      <c r="D143" s="2" t="inlineStr">
        <is>
          <t>เพิ่ม NaOH</t>
        </is>
      </c>
      <c r="E143" s="2" t="inlineStr">
        <is>
          <t>เติม Span 60</t>
        </is>
      </c>
      <c r="F143" s="2" t="inlineStr">
        <is>
          <t>เติม Tween 20</t>
        </is>
      </c>
      <c r="G143" s="2" t="inlineStr">
        <is>
          <t>ลดวัฏภาคน้ำมัน</t>
        </is>
      </c>
      <c r="H143" s="2" t="inlineStr">
        <is>
          <t>เพิ่มปริมาณ BHT</t>
        </is>
      </c>
      <c r="I143" s="2" t="n">
        <v>1</v>
      </c>
      <c r="J143" s="2"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2" t="n"/>
      <c r="L143" s="2" t="inlineStr">
        <is>
          <t>พ.ร.บ. ยา พ.ศ. 2510</t>
        </is>
      </c>
      <c r="M143" s="2" t="inlineStr">
        <is>
          <t>SAP</t>
        </is>
      </c>
      <c r="N143" s="2" t="inlineStr">
        <is>
          <t>ข้อ 89 (PLE_CC1_2561_Key.md)</t>
        </is>
      </c>
      <c r="O143" s="2" t="inlineStr">
        <is>
          <t>ข้อสอบจริง</t>
        </is>
      </c>
      <c r="P143" s="2" t="inlineStr">
        <is>
          <t>ปี 2561</t>
        </is>
      </c>
    </row>
    <row r="144" ht="13.2" customHeight="1" s="49">
      <c r="A144" s="2" t="n">
        <v>142</v>
      </c>
      <c r="B144" s="2" t="inlineStr">
        <is>
          <t>ถ(าวิเคราะหยา A ด(วย HPLC ได( retention time ของ standard เท.ากับยา A หมายความว.าอย.างไร</t>
        </is>
      </c>
      <c r="C144" s="2" t="n"/>
      <c r="D144" s="2" t="inlineStr">
        <is>
          <t>ยา A กับ standard มีปริมาณเท.ากัน</t>
        </is>
      </c>
      <c r="E144" s="2" t="inlineStr">
        <is>
          <t>ยากับ standard เป5นสารคนละตัวกัน</t>
        </is>
      </c>
      <c r="F144" s="2" t="inlineStr">
        <is>
          <t>ยา A เป5น by product ของ standard</t>
        </is>
      </c>
      <c r="G144" s="2" t="inlineStr">
        <is>
          <t>เวลาที่ standard กับยา A อยู.ใน column เท.ากัน</t>
        </is>
      </c>
      <c r="H144" s="2" t="inlineStr">
        <is>
          <t>ยา A มีความชอบพอกับ stationary phase ใน column</t>
        </is>
      </c>
      <c r="I144" s="2" t="n">
        <v>1</v>
      </c>
      <c r="J144" s="2"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2" t="n"/>
      <c r="L144" s="2" t="inlineStr">
        <is>
          <t>พ.ร.บ. ยา พ.ศ. 2510</t>
        </is>
      </c>
      <c r="M144" s="2" t="inlineStr">
        <is>
          <t>SAP</t>
        </is>
      </c>
      <c r="N144" s="2" t="inlineStr">
        <is>
          <t>ข้อ 112 (PLE_CC1_2561_Key.md)</t>
        </is>
      </c>
      <c r="O144" s="2" t="inlineStr">
        <is>
          <t>ข้อสอบจริง</t>
        </is>
      </c>
      <c r="P144" s="2" t="inlineStr">
        <is>
          <t>ปี 2561</t>
        </is>
      </c>
    </row>
    <row r="145" ht="13.2" customHeight="1" s="49">
      <c r="A145" s="2" t="n">
        <v>143</v>
      </c>
      <c r="B145" s="2" t="inlineStr">
        <is>
          <t>ยา HCTZ 25 mg/tab น้ำหนักเม็ดยา 1 เม็ดเท.ากับ 100 mg ควร ทดสอบในหัวข้อ uniformity of dosage unit USP41 อย.างไร mm i I 8</t>
        </is>
      </c>
      <c r="C145" s="2" t="n"/>
      <c r="D145" s="2" t="inlineStr">
        <is>
          <t>ค.ายา</t>
        </is>
      </c>
      <c r="E145" s="2" t="inlineStr">
        <is>
          <t>ค.าตรวจเลือด</t>
        </is>
      </c>
      <c r="F145" s="2" t="inlineStr">
        <is>
          <t>ค.าเครื่องมือแพทย</t>
        </is>
      </c>
      <c r="G145" s="2" t="inlineStr">
        <is>
          <t>ค.าความเจ็บปวด</t>
        </is>
      </c>
      <c r="H145" s="2" t="inlineStr">
        <is>
          <t>ค.าสูญเสียประสิทธิภาพการทำงาน</t>
        </is>
      </c>
      <c r="I145" s="2" t="n">
        <v>1</v>
      </c>
      <c r="J145" s="2"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2" t="n"/>
      <c r="L145" s="2" t="inlineStr">
        <is>
          <t>พ.ร.บ. ยา พ.ศ. 2510</t>
        </is>
      </c>
      <c r="M145" s="2" t="inlineStr">
        <is>
          <t>SAP</t>
        </is>
      </c>
      <c r="N145" s="2" t="inlineStr">
        <is>
          <t>ข้อ 114 (PLE_CC1_2561_Key.md)</t>
        </is>
      </c>
      <c r="O145" s="2" t="inlineStr">
        <is>
          <t>ข้อสอบจริง</t>
        </is>
      </c>
      <c r="P145" s="2" t="inlineStr">
        <is>
          <t>ปี 2561</t>
        </is>
      </c>
    </row>
    <row r="146" ht="13.2" customHeight="1" s="49">
      <c r="A146" s="2" t="n">
        <v>144</v>
      </c>
      <c r="B146" s="2"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2" t="n"/>
      <c r="D146" s="2" t="inlineStr">
        <is>
          <t>ศึกษาแบบ Case control โดยหาค.า RR</t>
        </is>
      </c>
      <c r="E146" s="2" t="inlineStr">
        <is>
          <t>ศึกษาแบบ Case control โดยหาค.า OR</t>
        </is>
      </c>
      <c r="F146" s="2" t="inlineStr">
        <is>
          <t>ศึกษาแบบ Cohort study โดยหาค.า RR</t>
        </is>
      </c>
      <c r="G146" s="2" t="inlineStr">
        <is>
          <t>ศึกษาแบบ Cohort study โดยหาค.า OR</t>
        </is>
      </c>
      <c r="H146" s="2" t="inlineStr">
        <is>
          <t>ศึกษาแบบ Cross sectional วัดผลเป5น prevalence e r e ere t</t>
        </is>
      </c>
      <c r="I146" s="2" t="n">
        <v>1</v>
      </c>
      <c r="J146" s="2"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2" t="n"/>
      <c r="L146" s="2" t="inlineStr">
        <is>
          <t>พ.ร.บ. ยา พ.ศ. 2510</t>
        </is>
      </c>
      <c r="M146" s="2" t="inlineStr">
        <is>
          <t>SAP</t>
        </is>
      </c>
      <c r="N146" s="2" t="inlineStr">
        <is>
          <t>ข้อ 121 (PLE_CC1_2561_Key.md)</t>
        </is>
      </c>
      <c r="O146" s="2" t="inlineStr">
        <is>
          <t>ข้อสอบจริง</t>
        </is>
      </c>
      <c r="P146" s="2" t="inlineStr">
        <is>
          <t>ปี 2561</t>
        </is>
      </c>
    </row>
    <row r="147" ht="13.2" customHeight="1" s="49">
      <c r="A147" s="2" t="n">
        <v>145</v>
      </c>
      <c r="B147" s="2"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2" t="n"/>
      <c r="D147" s="2" t="inlineStr">
        <is>
          <t>ยา A ลดอัตราการตายได้มากกว่า Enalapril ร้อยละ 80%</t>
        </is>
      </c>
      <c r="E147" s="2" t="inlineStr">
        <is>
          <t>ยา A ลดอัตราการตายได้มากกว่า Enalapril ร้อยละ 20%</t>
        </is>
      </c>
      <c r="F147" s="2" t="inlineStr">
        <is>
          <t>ยา A ลดอัตราการตายได้น้อยกว่า Enalapril ร้อยละ 80%</t>
        </is>
      </c>
      <c r="G147" s="2" t="inlineStr">
        <is>
          <t>ยา A ลดอัตราการตายได้น้อยกว่า Enalapril ร้อยละ 20%</t>
        </is>
      </c>
      <c r="H147" s="2" t="inlineStr">
        <is>
          <t>ยา A ลดอัตราการตายได้ร้อยละ 20% ของ Enalapril</t>
        </is>
      </c>
      <c r="I147" s="2" t="n">
        <v>1</v>
      </c>
      <c r="J147" s="2"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2" t="n"/>
      <c r="L147" s="2" t="inlineStr">
        <is>
          <t>พ.ร.บ. ยา พ.ศ. 2510</t>
        </is>
      </c>
      <c r="M147" s="2" t="inlineStr">
        <is>
          <t>SAP</t>
        </is>
      </c>
      <c r="N147" s="2" t="inlineStr">
        <is>
          <t>ข้อ 6 (PLE_CC1_2560 22 April Set 1.md)</t>
        </is>
      </c>
      <c r="O147" s="2" t="inlineStr">
        <is>
          <t>ข้อสอบจริง</t>
        </is>
      </c>
      <c r="P147" s="2" t="inlineStr">
        <is>
          <t>ปี 2560</t>
        </is>
      </c>
    </row>
    <row r="148" ht="13.2" customHeight="1" s="49">
      <c r="A148" s="2" t="n">
        <v>146</v>
      </c>
      <c r="B148" s="2" t="inlineStr">
        <is>
          <t>ต้องรักษานานเท่าไหร่ จะได้ประสิทธิภาพการรักษาสูงสุด</t>
        </is>
      </c>
      <c r="C148" s="2" t="n"/>
      <c r="D148" s="2" t="inlineStr">
        <is>
          <t>3 วัน</t>
        </is>
      </c>
      <c r="E148" s="2" t="inlineStr">
        <is>
          <t>5 วัน</t>
        </is>
      </c>
      <c r="F148" s="2" t="inlineStr">
        <is>
          <t>2 wk</t>
        </is>
      </c>
      <c r="G148" s="2" t="inlineStr">
        <is>
          <t>4 wk</t>
        </is>
      </c>
      <c r="H148" s="2" t="inlineStr">
        <is>
          <t>6 wk</t>
        </is>
      </c>
      <c r="I148" s="2" t="n">
        <v>1</v>
      </c>
      <c r="J148" s="2"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2" t="n"/>
      <c r="L148" s="2" t="inlineStr">
        <is>
          <t>พ.ร.บ. ยา พ.ศ. 2510</t>
        </is>
      </c>
      <c r="M148" s="2" t="inlineStr">
        <is>
          <t>SAP</t>
        </is>
      </c>
      <c r="N148" s="2" t="inlineStr">
        <is>
          <t>ข้อ 8 (PLE_CC1_2560 22 April Set 1.md)</t>
        </is>
      </c>
      <c r="O148" s="2" t="inlineStr">
        <is>
          <t>ข้อสอบจริง</t>
        </is>
      </c>
      <c r="P148" s="2" t="inlineStr">
        <is>
          <t>ปี 2560</t>
        </is>
      </c>
    </row>
    <row r="149" ht="13.2" customHeight="1" s="49">
      <c r="A149" s="2" t="n">
        <v>147</v>
      </c>
      <c r="B149" s="2" t="inlineStr">
        <is>
          <t>ภญ.กานดา มีความผิดตามจรรยาบรรณวิชาชีพเภสัชกรรมหรือไม่ เพราะเหตุใด</t>
        </is>
      </c>
      <c r="C149" s="2" t="n"/>
      <c r="D149" s="2" t="inlineStr">
        <is>
          <t>ไม่ผิด เพราะไม่ได้กระท้าความผิดโดยตรงต่อนายชิดชัย</t>
        </is>
      </c>
      <c r="E149" s="2" t="inlineStr">
        <is>
          <t>ไม่ผิด เพราะใบอนุญาตขายยาให้การคุ้มกันต่อลูกจ้าง หรือตัวแทนผู้รับอนุญาต</t>
        </is>
      </c>
      <c r="F149" s="2" t="inlineStr">
        <is>
          <t>ผิด เพราะไม่ปิดบังตู้ยาอันตราย หรือยาควบคุมพิเศษ เหมือนเป็นการชักชวนให้ผู้ป่วยมารับ บริการ</t>
        </is>
      </c>
      <c r="G149" s="2" t="inlineStr">
        <is>
          <t>ผิด เพราะไม่รักษามาตรฐานการประกอบวิชาชีพเภสัชกรรม</t>
        </is>
      </c>
      <c r="H149" s="2" t="inlineStr">
        <is>
          <t>ผิด เพราะถือเป็นการให้ค้ารับรองที่เป็นเท็จ หรือให้ความเห็นโดยไม่สุจริตทางอ้อมว่ามีเภสัชกร</t>
        </is>
      </c>
      <c r="I149" s="2" t="n">
        <v>1</v>
      </c>
      <c r="J149" s="2"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2" t="n"/>
      <c r="L149" s="2" t="inlineStr">
        <is>
          <t>พ.ร.บ. วิชาชีพเภสัชกรรม 2537</t>
        </is>
      </c>
      <c r="M149" s="2" t="inlineStr">
        <is>
          <t>SAP</t>
        </is>
      </c>
      <c r="N149" s="2" t="inlineStr">
        <is>
          <t>ข้อ 1 (PLE_CC1_2560 22 April Set 1.md)</t>
        </is>
      </c>
      <c r="O149" s="2" t="inlineStr">
        <is>
          <t>ข้อสอบจริง</t>
        </is>
      </c>
      <c r="P149" s="2" t="inlineStr">
        <is>
          <t>ปี 2560</t>
        </is>
      </c>
    </row>
    <row r="150" ht="13.2" customHeight="1" s="49">
      <c r="A150" s="2" t="n">
        <v>148</v>
      </c>
      <c r="B150" s="2" t="inlineStr">
        <is>
          <t>ผู้รับอนุญาต ท้าผิดพรบ.วิชาชีพเภสัชกรรมหรือไม่อย่างไร</t>
        </is>
      </c>
      <c r="C150" s="2" t="n"/>
      <c r="D150" s="2" t="inlineStr">
        <is>
          <t>ผิด เพราะการกระท้าส่งผลต่อผู้ป่วยโดยตรง</t>
        </is>
      </c>
      <c r="E150" s="2" t="inlineStr">
        <is>
          <t>ผิด เพราะเป็นผู้จ่ายยาเอง</t>
        </is>
      </c>
      <c r="F150" s="2" t="inlineStr">
        <is>
          <t>ผิด เพราะ ไม่เป็นตามจรรณยาบรรณเภสัชชุมชน</t>
        </is>
      </c>
      <c r="G150" s="2" t="inlineStr">
        <is>
          <t>ไม่ผิด เพราะขนิษฐาไม่ใช่เภสัชฯ และพรบ. วิชาชีพมีไว้ส้าหรับเภสัชเท่านั น</t>
        </is>
      </c>
      <c r="H150" s="2" t="inlineStr">
        <is>
          <t>ไม่ผิด หากพิสูจน์ได้ว่าเภสัชยินยอม</t>
        </is>
      </c>
      <c r="I150" s="2" t="n">
        <v>1</v>
      </c>
      <c r="J150" s="2"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2" t="n"/>
      <c r="L150" s="2" t="inlineStr">
        <is>
          <t>พ.ร.บ. ยา พ.ศ. 2510</t>
        </is>
      </c>
      <c r="M150" s="2" t="inlineStr">
        <is>
          <t>SAP</t>
        </is>
      </c>
      <c r="N150" s="2" t="inlineStr">
        <is>
          <t>ข้อ 2 (PLE_CC1_2560 22 April Set 1.md)</t>
        </is>
      </c>
      <c r="O150" s="2" t="inlineStr">
        <is>
          <t>ข้อสอบจริง</t>
        </is>
      </c>
      <c r="P150" s="2" t="inlineStr">
        <is>
          <t>ปี 2560</t>
        </is>
      </c>
    </row>
    <row r="151" ht="13.2" customHeight="1" s="49">
      <c r="A151" s="2" t="n">
        <v>149</v>
      </c>
      <c r="B151" s="2" t="inlineStr">
        <is>
          <t>เภสัชกรผิด พ.ร.บ.ยา มั ย เพราะอะไร</t>
        </is>
      </c>
      <c r="C151" s="2" t="n"/>
      <c r="D151" s="2" t="inlineStr">
        <is>
          <t>ผิด เพราะไม่อยู่ปฏิบัติงานในเวลาปฏิบัติการ รวมโดย Phongsathorn Phlaisaithong Rx 9 UP 25 | P a g e</t>
        </is>
      </c>
      <c r="E151" s="2" t="inlineStr">
        <is>
          <t>บัญชียาหลักแห่งชาติ (National List of Essential Medicines: NLEM)</t>
        </is>
      </c>
      <c r="F151" s="2" t="inlineStr">
        <is>
          <t>เกณฑ์จริยธรรมว่าด้วยการส่งเสริมการขายยาของกระทรวงสาธารณสุข</t>
        </is>
      </c>
      <c r="G151" s="2" t="inlineStr">
        <is>
          <t>พ.ร.บ. ยา พ.ศ. 2510 (การจำหน่ายยาอันตรายและยาควบคุมพิเศษ)</t>
        </is>
      </c>
      <c r="H151" s="2" t="inlineStr">
        <is>
          <t>พ.ร.บ. ยาเสพติดให้โทษ พ.ศ. 2522 (ยาเสพติดให้โทษประเภท 2 และ 3)</t>
        </is>
      </c>
      <c r="I151" s="2" t="n">
        <v>1</v>
      </c>
      <c r="J151" s="2"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2" t="n"/>
      <c r="L151" s="2" t="inlineStr">
        <is>
          <t>พ.ร.บ. ยา พ.ศ. 2510</t>
        </is>
      </c>
      <c r="M151" s="2" t="inlineStr">
        <is>
          <t>SAP</t>
        </is>
      </c>
      <c r="N151" s="2" t="inlineStr">
        <is>
          <t>ข้อ 3 (PLE_CC1_2560 22 April Set 1.md)</t>
        </is>
      </c>
      <c r="O151" s="2" t="inlineStr">
        <is>
          <t>ข้อสอบจริง</t>
        </is>
      </c>
      <c r="P151" s="2" t="inlineStr">
        <is>
          <t>ปี 2560</t>
        </is>
      </c>
    </row>
    <row r="152" ht="13.2" customHeight="1" s="49">
      <c r="A152" s="2" t="n">
        <v>150</v>
      </c>
      <c r="B152" s="2" t="inlineStr">
        <is>
          <t>นางขนิษฐา มีความผิดตามพรบ.ยา ปี 2510 และฉบับแก้ไขเพิ่มเติมข้อใด</t>
        </is>
      </c>
      <c r="C152" s="2" t="n"/>
      <c r="D152" s="2" t="inlineStr">
        <is>
          <t>ไม่สามารถจัดหาเภสัชกรมาปฏิบัติหน้าที่ได้ตลอดเวลาที่เปิดท้าการ</t>
        </is>
      </c>
      <c r="E152" s="2" t="inlineStr">
        <is>
          <t>ขายยาโดยไม่ได้รับอนุญาติ</t>
        </is>
      </c>
      <c r="F152" s="2" t="inlineStr">
        <is>
          <t>ไม่อยู่ปฏิบัติหน้าที่ในเวลาปฏิบัติการ</t>
        </is>
      </c>
      <c r="G152" s="2" t="inlineStr">
        <is>
          <t>ขายยาอันตรายและยาควบคุมพิเศษ</t>
        </is>
      </c>
      <c r="H152" s="2" t="inlineStr">
        <is>
          <t>ไม่ปฏิบัติตามพรบ.วิชาชีพเภสัชกรรม</t>
        </is>
      </c>
      <c r="I152" s="2" t="n">
        <v>1</v>
      </c>
      <c r="J152" s="2"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2" t="n"/>
      <c r="L152" s="2" t="inlineStr">
        <is>
          <t>พ.ร.บ. ยา พ.ศ. 2510</t>
        </is>
      </c>
      <c r="M152" s="2" t="inlineStr">
        <is>
          <t>SAP</t>
        </is>
      </c>
      <c r="N152" s="2" t="inlineStr">
        <is>
          <t>ข้อ 4 (PLE_CC1_2560 22 April Set 1.md)</t>
        </is>
      </c>
      <c r="O152" s="2" t="inlineStr">
        <is>
          <t>ข้อสอบจริง</t>
        </is>
      </c>
      <c r="P152" s="2" t="inlineStr">
        <is>
          <t>ปี 2560</t>
        </is>
      </c>
    </row>
    <row r="153" ht="13.2" customHeight="1" s="49">
      <c r="A153" s="2" t="n">
        <v>151</v>
      </c>
      <c r="B153" s="2"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2" t="n"/>
      <c r="D153" s="2" t="inlineStr">
        <is>
          <t>พ.ร.บ. วิชาชีพเภสัชกรรม พ.ศ. 2537 และข้อบังคับจรรยาบรรณวิชาชีพ</t>
        </is>
      </c>
      <c r="E153" s="2" t="inlineStr">
        <is>
          <t>พ.ร.บ. ผลิตภัณฑ์สมุนไพร พ.ศ. 2562</t>
        </is>
      </c>
      <c r="F153" s="2" t="inlineStr">
        <is>
          <t>พ.ร.บ. เครื่องสำอาง พ.ศ. 2558</t>
        </is>
      </c>
      <c r="G153" s="2" t="inlineStr">
        <is>
          <t>พ.ร.บ. หลักประกันสุขภาพแห่งชาติ พ.ศ. 2545</t>
        </is>
      </c>
      <c r="H153" s="2" t="inlineStr">
        <is>
          <t>การปฏิบัติทางเภสัชกรรมชุมชน (Good Pharmacy Practice: GPP)</t>
        </is>
      </c>
      <c r="I153" s="2" t="n">
        <v>1</v>
      </c>
      <c r="J15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2" t="n"/>
      <c r="L153" s="2" t="inlineStr">
        <is>
          <t>พ.ร.บ. ยา พ.ศ. 2510</t>
        </is>
      </c>
      <c r="M153" s="2" t="inlineStr">
        <is>
          <t>SAP</t>
        </is>
      </c>
      <c r="N153" s="2" t="inlineStr">
        <is>
          <t>ข้อ 13 (PLE_CC1_2560 22 April Set 2.md)</t>
        </is>
      </c>
      <c r="O153" s="2" t="inlineStr">
        <is>
          <t>ข้อสอบจริง</t>
        </is>
      </c>
      <c r="P153" s="2" t="inlineStr">
        <is>
          <t>ปี 2560</t>
        </is>
      </c>
    </row>
    <row r="154" ht="13.2" customHeight="1" s="49">
      <c r="A154" s="2" t="n">
        <v>152</v>
      </c>
      <c r="B154" s="2" t="inlineStr">
        <is>
          <t>ยาใหม่ อย. กำหนดให้ต้องติดความปลอดภัยนานเท่าใด</t>
        </is>
      </c>
      <c r="C154" s="2" t="n"/>
      <c r="D154" s="2" t="inlineStr">
        <is>
          <t>3 เดือน</t>
        </is>
      </c>
      <c r="E154" s="2" t="inlineStr">
        <is>
          <t>6 เดือน</t>
        </is>
      </c>
      <c r="F154" s="2" t="inlineStr">
        <is>
          <t>12 เดือน</t>
        </is>
      </c>
      <c r="G154" s="2" t="inlineStr">
        <is>
          <t>18 เดือน</t>
        </is>
      </c>
      <c r="H154" s="2" t="inlineStr">
        <is>
          <t>24 เดือน ห้ามนำไปทำซ้ำทุกกรณี เว้นแต่จะได้รับอนุญาต</t>
        </is>
      </c>
      <c r="I154" s="2" t="n">
        <v>1</v>
      </c>
      <c r="J154" s="2"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2" t="n"/>
      <c r="L154" s="2" t="inlineStr">
        <is>
          <t>พ.ร.บ. ยา พ.ศ. 2510</t>
        </is>
      </c>
      <c r="M154" s="2" t="inlineStr">
        <is>
          <t>SAP</t>
        </is>
      </c>
      <c r="N154" s="2" t="inlineStr">
        <is>
          <t>ข้อ 18 (PLE_CC1_2558_Key.md)</t>
        </is>
      </c>
      <c r="O154" s="2" t="inlineStr">
        <is>
          <t>ข้อสอบจริง</t>
        </is>
      </c>
      <c r="P154" s="2" t="inlineStr">
        <is>
          <t>ปี 2558</t>
        </is>
      </c>
    </row>
    <row r="155" ht="13.2" customHeight="1" s="49">
      <c r="A155" s="2" t="n">
        <v>153</v>
      </c>
      <c r="B155" s="2" t="inlineStr">
        <is>
          <t>ผู้ป่วยสามารถเบิกจ่ายค่ารักษาพยาบาลผู้ป่วยนอกได้ ตามสิทธิใด</t>
        </is>
      </c>
      <c r="C155" s="2" t="n"/>
      <c r="D155" s="2" t="inlineStr">
        <is>
          <t>Capitation</t>
        </is>
      </c>
      <c r="E155" s="2" t="inlineStr">
        <is>
          <t>Pay for Performance</t>
        </is>
      </c>
      <c r="F155" s="2" t="inlineStr">
        <is>
          <t>Diagnosis related group</t>
        </is>
      </c>
      <c r="G155" s="2" t="inlineStr">
        <is>
          <t>Fee for Service</t>
        </is>
      </c>
      <c r="H155" s="2" t="inlineStr">
        <is>
          <t>Fee schedule</t>
        </is>
      </c>
      <c r="I155" s="2" t="n">
        <v>1</v>
      </c>
      <c r="J155" s="2"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2" t="n"/>
      <c r="L155" s="2" t="inlineStr">
        <is>
          <t>พ.ร.บ. ยา พ.ศ. 2510</t>
        </is>
      </c>
      <c r="M155" s="2" t="inlineStr">
        <is>
          <t>SAP</t>
        </is>
      </c>
      <c r="N155" s="2" t="inlineStr">
        <is>
          <t>ข้อ 35 (PLE_CC1_2558_Key.md)</t>
        </is>
      </c>
      <c r="O155" s="2" t="inlineStr">
        <is>
          <t>ข้อสอบจริง</t>
        </is>
      </c>
      <c r="P155" s="2" t="inlineStr">
        <is>
          <t>ปี 2558</t>
        </is>
      </c>
    </row>
    <row r="156" ht="13.2" customHeight="1" s="49">
      <c r="A156" s="2" t="n">
        <v>154</v>
      </c>
      <c r="B156" s="2"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2" t="n"/>
      <c r="D156" s="2" t="inlineStr">
        <is>
          <t>Cost-effective</t>
        </is>
      </c>
      <c r="E156" s="2" t="inlineStr">
        <is>
          <t>Cost-benefit</t>
        </is>
      </c>
      <c r="F156" s="2" t="inlineStr">
        <is>
          <t>Cost-utility</t>
        </is>
      </c>
      <c r="G156" s="2" t="inlineStr">
        <is>
          <t>Cost-minimize</t>
        </is>
      </c>
      <c r="H156" s="2" t="inlineStr">
        <is>
          <t>Cost analysis ห้ามนำไปทำซ้ำทุกกรณี เว้นแต่จะได้รับอนุญาต</t>
        </is>
      </c>
      <c r="I156" s="2" t="n">
        <v>1</v>
      </c>
      <c r="J156" s="2"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2" t="n"/>
      <c r="L156" s="2" t="inlineStr">
        <is>
          <t>พ.ร.บ. ยา พ.ศ. 2510</t>
        </is>
      </c>
      <c r="M156" s="2" t="inlineStr">
        <is>
          <t>SAP</t>
        </is>
      </c>
      <c r="N156" s="2" t="inlineStr">
        <is>
          <t>ข้อ 76 (PLE_CC1_2558_Key.md)</t>
        </is>
      </c>
      <c r="O156" s="2" t="inlineStr">
        <is>
          <t>ข้อสอบจริง</t>
        </is>
      </c>
      <c r="P156" s="2" t="inlineStr">
        <is>
          <t>ปี 2558</t>
        </is>
      </c>
    </row>
    <row r="157" ht="13.2" customHeight="1" s="49">
      <c r="A157" s="2" t="n">
        <v>155</v>
      </c>
      <c r="B157" s="2" t="inlineStr">
        <is>
          <t>อย. ได้รับรายงานอาการไม่พึงประสงค์ คลื่นไส้ อาเจียน ตับอักเสบ จากขี้เหล็ก จัดเป็นการรายงานแบบใด</t>
        </is>
      </c>
      <c r="C157" s="2" t="n"/>
      <c r="D157" s="2" t="inlineStr">
        <is>
          <t>Spontaneous report</t>
        </is>
      </c>
      <c r="E157" s="2" t="inlineStr">
        <is>
          <t>Intervention</t>
        </is>
      </c>
      <c r="F157" s="2" t="inlineStr">
        <is>
          <t>Safety program</t>
        </is>
      </c>
      <c r="G157" s="2" t="inlineStr">
        <is>
          <t>Intensive report</t>
        </is>
      </c>
      <c r="H157" s="2" t="inlineStr">
        <is>
          <t>Therapeutic monitoring ห้ามนำไปทำซ้ำทุกกรณี เว้นแต่จะได้รับอนุญาต</t>
        </is>
      </c>
      <c r="I157" s="2" t="n">
        <v>1</v>
      </c>
      <c r="J157" s="2"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2" t="n"/>
      <c r="L157" s="2" t="inlineStr">
        <is>
          <t>พ.ร.บ. ยา พ.ศ. 2510</t>
        </is>
      </c>
      <c r="M157" s="2" t="inlineStr">
        <is>
          <t>SAP</t>
        </is>
      </c>
      <c r="N157" s="2" t="inlineStr">
        <is>
          <t>ข้อ 6 (PLE_CC1_2558_Key.md)</t>
        </is>
      </c>
      <c r="O157" s="2" t="inlineStr">
        <is>
          <t>ข้อสอบจริง</t>
        </is>
      </c>
      <c r="P157" s="2" t="inlineStr">
        <is>
          <t>ปี 2558</t>
        </is>
      </c>
    </row>
    <row r="158" ht="13.2" customHeight="1" s="49">
      <c r="A158" s="2" t="n">
        <v>156</v>
      </c>
      <c r="B158" s="2" t="inlineStr">
        <is>
          <t>การมีสิทธิเหนือสิทธิบัตร มีประโยชน์อย่างไร</t>
        </is>
      </c>
      <c r="C158" s="2" t="n"/>
      <c r="D158" s="2" t="inlineStr">
        <is>
          <t>ทำให้คนไข้เข้าถึงยาได้ง่าย</t>
        </is>
      </c>
      <c r="E158" s="2" t="inlineStr">
        <is>
          <t>คุ้มครองเจ้าของยาต้นแบบ</t>
        </is>
      </c>
      <c r="F158" s="2" t="inlineStr">
        <is>
          <t>เพื่อลดต้นทุนการผลิต</t>
        </is>
      </c>
      <c r="G158" s="2" t="inlineStr">
        <is>
          <t>เพื่อจำกัดการใช้ยาอย่างถูกต้อง</t>
        </is>
      </c>
      <c r="H158" s="2" t="inlineStr">
        <is>
          <t>เพื่อประสิทธิภาพ ความปลอดภัยของผู้ป่วย ห้ามนำไปทำซ้ำทุกกรณี เว้นแต่จะได้รับอนุญาต</t>
        </is>
      </c>
      <c r="I158" s="2" t="n">
        <v>1</v>
      </c>
      <c r="J158" s="2"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2" t="n"/>
      <c r="L158" s="2" t="inlineStr">
        <is>
          <t>พ.ร.บ. ยา พ.ศ. 2510</t>
        </is>
      </c>
      <c r="M158" s="2" t="inlineStr">
        <is>
          <t>SAP</t>
        </is>
      </c>
      <c r="N158" s="2" t="inlineStr">
        <is>
          <t>ข้อ 62 (PLE_CC1_2558_Key.md)</t>
        </is>
      </c>
      <c r="O158" s="2" t="inlineStr">
        <is>
          <t>ข้อสอบจริง</t>
        </is>
      </c>
      <c r="P158" s="2" t="inlineStr">
        <is>
          <t>ปี 2558</t>
        </is>
      </c>
    </row>
    <row r="159" ht="13.2" customHeight="1" s="49">
      <c r="A159" s="2" t="n">
        <v>157</v>
      </c>
      <c r="B159" s="2"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2" t="n"/>
      <c r="D159" s="2" t="inlineStr">
        <is>
          <t>A และ B</t>
        </is>
      </c>
      <c r="E159" s="2" t="inlineStr">
        <is>
          <t>A และ C</t>
        </is>
      </c>
      <c r="F159" s="2" t="inlineStr">
        <is>
          <t>B และ C</t>
        </is>
      </c>
      <c r="G159" s="2" t="inlineStr">
        <is>
          <t>A B และ C</t>
        </is>
      </c>
      <c r="H159" s="2" t="inlineStr">
        <is>
          <t>ไม่มีข้อใดถูก</t>
        </is>
      </c>
      <c r="I159" s="2" t="n">
        <v>1</v>
      </c>
      <c r="J159" s="2"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2" t="n"/>
      <c r="L159" s="2" t="inlineStr">
        <is>
          <t>พ.ร.บ. ยา พ.ศ. 2510</t>
        </is>
      </c>
      <c r="M159" s="2" t="inlineStr">
        <is>
          <t>SAP</t>
        </is>
      </c>
      <c r="N159" s="2" t="inlineStr">
        <is>
          <t>ข้อ 63 (Pharmtutor_2024_Set1.md)</t>
        </is>
      </c>
      <c r="O159" s="2" t="inlineStr">
        <is>
          <t>Mock</t>
        </is>
      </c>
      <c r="P159" s="2" t="inlineStr">
        <is>
          <t>Mock Pharmtutor 2024</t>
        </is>
      </c>
    </row>
    <row r="160" ht="13.2" customHeight="1" s="49">
      <c r="A160" s="2" t="n">
        <v>158</v>
      </c>
      <c r="B160" s="2"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2" t="n"/>
      <c r="D160" s="2" t="inlineStr">
        <is>
          <t>ผ่าน เนื่องจากผลการทดสอบผ่านเกณฑ์ทุกหัวข้อ content for injections USP39, P.532</t>
        </is>
      </c>
      <c r="E160" s="2" t="inlineStr">
        <is>
          <t>ไม่ผ่าน เนื่องจากผลการทดสอบในหัวข้อ assay ต่ำกว่าที่กำหนด</t>
        </is>
      </c>
      <c r="F160" s="2" t="inlineStr">
        <is>
          <t>ไม่ผ่าน เนื่องจากผลการทดสอบในหัวข้อ organic Impurities มากกว่าที่กำหนด</t>
        </is>
      </c>
      <c r="G160" s="2" t="inlineStr">
        <is>
          <t>ไม่ผ่าน เนื่องจากผลการทดสอบในหัวข้อ container content ต่ำกว่าที่กำหนด</t>
        </is>
      </c>
      <c r="H160" s="2" t="inlineStr">
        <is>
          <t>ไม่ผ่าน เนื่องจากผลการทดสอบในหัวข้อ particulate Matter มีจำนวน particles เกินกว่าที่กำหนด</t>
        </is>
      </c>
      <c r="I160" s="2" t="n">
        <v>1</v>
      </c>
      <c r="J160" s="2"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2" t="n"/>
      <c r="L160" s="2" t="inlineStr">
        <is>
          <t>พ.ร.บ. ยา พ.ศ. 2510</t>
        </is>
      </c>
      <c r="M160" s="2" t="inlineStr">
        <is>
          <t>SAP</t>
        </is>
      </c>
      <c r="N160" s="2" t="inlineStr">
        <is>
          <t>ข้อ 96 (Pharmtutor_2024_Set1.md)</t>
        </is>
      </c>
      <c r="O160" s="2" t="inlineStr">
        <is>
          <t>Mock</t>
        </is>
      </c>
      <c r="P160" s="2" t="inlineStr">
        <is>
          <t>Mock Pharmtutor 2024</t>
        </is>
      </c>
    </row>
    <row r="161" ht="13.2" customHeight="1" s="49">
      <c r="A161" s="2" t="n">
        <v>159</v>
      </c>
      <c r="B161" s="2"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2" t="n"/>
      <c r="D161" s="2" t="inlineStr">
        <is>
          <t>นายสมชาย</t>
        </is>
      </c>
      <c r="E161" s="2" t="inlineStr">
        <is>
          <t>นายอวบ</t>
        </is>
      </c>
      <c r="F161" s="2" t="inlineStr">
        <is>
          <t>เภสัชกรกล้วย</t>
        </is>
      </c>
      <c r="G161" s="2" t="inlineStr">
        <is>
          <t>เภสัชกรกล้วย นายสมชาย</t>
        </is>
      </c>
      <c r="H161" s="2" t="inlineStr">
        <is>
          <t>เภสัชกรกล้วย นายอวบ นายสมชาย</t>
        </is>
      </c>
      <c r="I161" s="2" t="n">
        <v>1</v>
      </c>
      <c r="J161" s="2"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2" t="n"/>
      <c r="L161" s="2" t="inlineStr">
        <is>
          <t>พ.ร.บ. ยา พ.ศ. 2510</t>
        </is>
      </c>
      <c r="M161" s="2" t="inlineStr">
        <is>
          <t>SAP</t>
        </is>
      </c>
      <c r="N161" s="2" t="inlineStr">
        <is>
          <t>ข้อ 111 (Pharmtutor_2024_Set1.md)</t>
        </is>
      </c>
      <c r="O161" s="2" t="inlineStr">
        <is>
          <t>Mock</t>
        </is>
      </c>
      <c r="P161" s="2" t="inlineStr">
        <is>
          <t>Mock Pharmtutor 2024</t>
        </is>
      </c>
    </row>
    <row r="162" ht="13.2" customHeight="1" s="49">
      <c r="A162" s="2" t="n">
        <v>160</v>
      </c>
      <c r="B162" s="2" t="inlineStr">
        <is>
          <t>หากต้องการสืบค้นประสิทธิภาพของยาในกลุ่ม HMG-CoA reductase ว่ายาชนิดใดมีค่าครึ่งชีวิตต่ำที่สุด ควนสืบค้นจากหนังสือเล่มใด</t>
        </is>
      </c>
      <c r="C162" s="2" t="n"/>
      <c r="D162" s="2" t="inlineStr">
        <is>
          <t>Drug Information Handbook</t>
        </is>
      </c>
      <c r="E162" s="2" t="inlineStr">
        <is>
          <t>Handbook of Pharmacotherapy</t>
        </is>
      </c>
      <c r="F162" s="2" t="inlineStr">
        <is>
          <t>Drug injectable and Compatibility</t>
        </is>
      </c>
      <c r="G162" s="2" t="inlineStr">
        <is>
          <t>Drug facts and comparisons</t>
        </is>
      </c>
      <c r="H162" s="2" t="inlineStr">
        <is>
          <t>Drug interaction handbook</t>
        </is>
      </c>
      <c r="I162" s="2" t="n">
        <v>1</v>
      </c>
      <c r="J162" s="2"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2" t="n"/>
      <c r="L162" s="2" t="inlineStr">
        <is>
          <t>พ.ร.บ. ยา พ.ศ. 2510</t>
        </is>
      </c>
      <c r="M162" s="2" t="inlineStr">
        <is>
          <t>SAP</t>
        </is>
      </c>
      <c r="N162" s="2" t="inlineStr">
        <is>
          <t>ข้อ 118 (Pharmtutor_2024_Set1.md)</t>
        </is>
      </c>
      <c r="O162" s="2" t="inlineStr">
        <is>
          <t>Mock</t>
        </is>
      </c>
      <c r="P162" s="2" t="inlineStr">
        <is>
          <t>Mock Pharmtutor 2024</t>
        </is>
      </c>
    </row>
    <row r="163" ht="13.2" customHeight="1" s="49">
      <c r="A163" s="2" t="n">
        <v>161</v>
      </c>
      <c r="B163" s="2"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2" t="n"/>
      <c r="D163" s="2" t="inlineStr">
        <is>
          <t>3% ของเงินเดือน</t>
        </is>
      </c>
      <c r="E163" s="2" t="inlineStr">
        <is>
          <t>4% ของเงินเดือน</t>
        </is>
      </c>
      <c r="F163" s="2" t="inlineStr">
        <is>
          <t>5% ของเิงนเดือน</t>
        </is>
      </c>
      <c r="G163" s="2" t="inlineStr">
        <is>
          <t>4% ของเงินเดือน โดยคิดที่ฐานเงินเดือนไม่เกิน 15,000 บาท</t>
        </is>
      </c>
      <c r="H163" s="2"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t>
        </is>
      </c>
      <c r="I163" s="2" t="n">
        <v>1</v>
      </c>
      <c r="J163" s="2"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2" t="n"/>
      <c r="L163" s="2" t="inlineStr">
        <is>
          <t>พ.ร.บ. ยา พ.ศ. 2510</t>
        </is>
      </c>
      <c r="M163" s="2" t="inlineStr">
        <is>
          <t>SAP</t>
        </is>
      </c>
      <c r="N163" s="2" t="inlineStr">
        <is>
          <t>ข้อ 120 (Pharmtutor_2024_Set1.md)</t>
        </is>
      </c>
      <c r="O163" s="2" t="inlineStr">
        <is>
          <t>Mock</t>
        </is>
      </c>
      <c r="P163" s="2" t="inlineStr">
        <is>
          <t>Mock Pharmtutor 2024</t>
        </is>
      </c>
    </row>
    <row r="164" ht="13.2" customHeight="1" s="49">
      <c r="A164" s="2" t="n">
        <v>162</v>
      </c>
      <c r="B164" s="2"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2" t="n"/>
      <c r="D164" s="2" t="inlineStr">
        <is>
          <t>กระเจี๊ยบแดง</t>
        </is>
      </c>
      <c r="E164" s="2" t="inlineStr">
        <is>
          <t>ขลู่</t>
        </is>
      </c>
      <c r="F164" s="2" t="inlineStr">
        <is>
          <t>เหง้าขิงแก่</t>
        </is>
      </c>
      <c r="G164" s="2" t="inlineStr">
        <is>
          <t>ข่าอ่อน</t>
        </is>
      </c>
      <c r="H164" s="2" t="inlineStr">
        <is>
          <t>ขมิ้นขาว</t>
        </is>
      </c>
      <c r="I164" s="2" t="n">
        <v>1</v>
      </c>
      <c r="J164" s="2"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2" t="n"/>
      <c r="L164" s="2" t="inlineStr">
        <is>
          <t>พ.ร.บ. ผลิตภัณฑ์สมุนไพร &amp; เครื่องสำอาง</t>
        </is>
      </c>
      <c r="M164" s="2" t="inlineStr">
        <is>
          <t>SAP</t>
        </is>
      </c>
      <c r="N164" s="2" t="inlineStr">
        <is>
          <t>ข้อ 26 (Pharmtutor_2024_Set2.md)</t>
        </is>
      </c>
      <c r="O164" s="2" t="inlineStr">
        <is>
          <t>Mock</t>
        </is>
      </c>
      <c r="P164" s="2" t="inlineStr">
        <is>
          <t>Mock Pharmtutor 2024</t>
        </is>
      </c>
    </row>
    <row r="165" ht="13.2" customHeight="1" s="49">
      <c r="A165" s="2" t="n">
        <v>163</v>
      </c>
      <c r="B165" s="2" t="inlineStr">
        <is>
          <t>หากต้องการเพิ่มประสิทธิภาพเทคนิคการวิเคราะห์ High-performance liquid chromatography ข้อใดไม่ควรปฎิบัติ</t>
        </is>
      </c>
      <c r="C165" s="2" t="n"/>
      <c r="D165" s="2" t="inlineStr">
        <is>
          <t>เพิ่มความยาว column</t>
        </is>
      </c>
      <c r="E165" s="2" t="inlineStr">
        <is>
          <t>ลด flow rate</t>
        </is>
      </c>
      <c r="F165" s="2" t="inlineStr">
        <is>
          <t>ปรับอัตราส่วน mobile phase</t>
        </is>
      </c>
      <c r="G165" s="2" t="inlineStr">
        <is>
          <t>ปรับสภาวะเพื่อลดค่า resolution ระหว่างสารที่ต้องการวิเคราะห์และสารปนเปื้อน</t>
        </is>
      </c>
      <c r="H165" s="2" t="inlineStr">
        <is>
          <t>เลือก column ที่มีจำนวน theoretical plates สูงที่สุด</t>
        </is>
      </c>
      <c r="I165" s="2" t="n">
        <v>1</v>
      </c>
      <c r="J165" s="2"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2" t="n"/>
      <c r="L165" s="2" t="inlineStr">
        <is>
          <t>พ.ร.บ. ยา พ.ศ. 2510</t>
        </is>
      </c>
      <c r="M165" s="2" t="inlineStr">
        <is>
          <t>SAP</t>
        </is>
      </c>
      <c r="N165" s="2" t="inlineStr">
        <is>
          <t>ข้อ 89 (Pharmtutor_2024_Set2.md)</t>
        </is>
      </c>
      <c r="O165" s="2" t="inlineStr">
        <is>
          <t>Mock</t>
        </is>
      </c>
      <c r="P165" s="2" t="inlineStr">
        <is>
          <t>Mock Pharmtutor 2024</t>
        </is>
      </c>
    </row>
    <row r="166" ht="13.2" customHeight="1" s="49">
      <c r="A166" s="2" t="n">
        <v>164</v>
      </c>
      <c r="B166" s="2"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2" t="n"/>
      <c r="D166" s="2" t="inlineStr">
        <is>
          <t>การศึกษาการใช้ยา oral semaglutide เทียบกับ placebo ผลลัพธ์ของการศึกษาแตกต่างกันทางคลินิก แต่ไม่มีนัยสำคัญทางสถิติ</t>
        </is>
      </c>
      <c r="E166" s="2"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2" t="inlineStr">
        <is>
          <t>หาก Q test มีค่า &lt; 0.05 แสดงถึงผลของการศึกษาไม่มีความแตกต่างกัน</t>
        </is>
      </c>
      <c r="G166" s="2"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2" t="inlineStr">
        <is>
          <t>จากการศึกษาข้างต้น หากต้องการผลการศึกษาที่ชัดเจน ควรทำ network meta-analysis เพื่อคำนวณต่อไป</t>
        </is>
      </c>
      <c r="I166" s="2" t="n">
        <v>1</v>
      </c>
      <c r="J166" s="2"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2" t="n"/>
      <c r="L166" s="2" t="inlineStr">
        <is>
          <t>พ.ร.บ. ยา พ.ศ. 2510</t>
        </is>
      </c>
      <c r="M166" s="2" t="inlineStr">
        <is>
          <t>SAP</t>
        </is>
      </c>
      <c r="N166" s="2" t="inlineStr">
        <is>
          <t>ข้อ 111 (Pharmtutor_2024_Set2.md)</t>
        </is>
      </c>
      <c r="O166" s="2" t="inlineStr">
        <is>
          <t>Mock</t>
        </is>
      </c>
      <c r="P166" s="2" t="inlineStr">
        <is>
          <t>Mock Pharmtutor 2024</t>
        </is>
      </c>
    </row>
    <row r="167" ht="13.2" customHeight="1" s="49">
      <c r="A167" s="2" t="n">
        <v>165</v>
      </c>
      <c r="B167" s="2" t="inlineStr">
        <is>
          <t>Isotretenoin ข้อใดถูกต้องตามกฎหมาย</t>
        </is>
      </c>
      <c r="C167" s="2" t="n"/>
      <c r="D167" s="2" t="inlineStr">
        <is>
          <t>ขายได้ในร้านยา หากมีใบสั่งแพทย์</t>
        </is>
      </c>
      <c r="E167" s="2" t="inlineStr">
        <is>
          <t>ขายได้ในร้านยา โดยไม่ต้องมีใบสั่งแพทย์</t>
        </is>
      </c>
      <c r="F167" s="2" t="inlineStr">
        <is>
          <t>ขายไม่ได้ในร้านยา แม้มีใบสั่งแพทย์</t>
        </is>
      </c>
      <c r="G167" s="2" t="inlineStr">
        <is>
          <t>ขายไม่ได้ในร้านยา เนื่องจากเป็นวัตถุออกฤทธิ์ต่อจิตและประสาท</t>
        </is>
      </c>
      <c r="H167" s="2" t="inlineStr">
        <is>
          <t>ขายไม่ได้ในร้านยา เนื่องจากเป็นยาเสพติดให้โทษ ตะลุยโจทย์เภสัชจุฬาฯ สอบผ่าน 100%</t>
        </is>
      </c>
      <c r="I167" s="2" t="n">
        <v>1</v>
      </c>
      <c r="J167" s="2"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2" t="n"/>
      <c r="L167" s="2" t="inlineStr">
        <is>
          <t>พ.ร.บ. ยา พ.ศ. 2510</t>
        </is>
      </c>
      <c r="M167" s="2" t="inlineStr">
        <is>
          <t>SAP</t>
        </is>
      </c>
      <c r="N167" s="2" t="inlineStr">
        <is>
          <t>ข้อ 2 (LAW-CU-71.md)</t>
        </is>
      </c>
      <c r="O167" s="2" t="inlineStr">
        <is>
          <t>Mock</t>
        </is>
      </c>
      <c r="P167" s="2" t="inlineStr">
        <is>
          <t>Mock กฎหมาย CU71</t>
        </is>
      </c>
    </row>
    <row r="168" ht="13.2" customHeight="1" s="49">
      <c r="A168" s="2" t="n">
        <v>166</v>
      </c>
      <c r="B168" s="2" t="inlineStr">
        <is>
          <t>Budesonide inhaler จัดเป็นยาใดตามกฎหมาย</t>
        </is>
      </c>
      <c r="C168" s="2" t="n"/>
      <c r="D168" s="2" t="inlineStr">
        <is>
          <t>ยาอันตราย</t>
        </is>
      </c>
      <c r="E168" s="2" t="inlineStr">
        <is>
          <t>ยาควบคุมพิเศษ</t>
        </is>
      </c>
      <c r="F168" s="2" t="inlineStr">
        <is>
          <t>ยาใช้เฉพาะที่ แบบควบคุมพิเศษ</t>
        </is>
      </c>
      <c r="G168" s="2" t="inlineStr">
        <is>
          <t>วัตถุออกฤทธิ์ต่อจิตและประสาท</t>
        </is>
      </c>
      <c r="H168" s="2" t="inlineStr">
        <is>
          <t>ยาเสพติดให้โทษ ประเภทที่ 3 ตะลุยโจทย์เภสัชจุฬาฯ สอบผ่าน 100%</t>
        </is>
      </c>
      <c r="I168" s="2" t="n">
        <v>1</v>
      </c>
      <c r="J168"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2" t="n"/>
      <c r="L168" s="2" t="inlineStr">
        <is>
          <t>พ.ร.บ. ยา พ.ศ. 2510</t>
        </is>
      </c>
      <c r="M168" s="2" t="inlineStr">
        <is>
          <t>SAP</t>
        </is>
      </c>
      <c r="N168" s="2" t="inlineStr">
        <is>
          <t>ข้อ 3 (LAW-CU-71.md)</t>
        </is>
      </c>
      <c r="O168" s="2" t="inlineStr">
        <is>
          <t>Mock</t>
        </is>
      </c>
      <c r="P168" s="2" t="inlineStr">
        <is>
          <t>Mock กฎหมาย CU71</t>
        </is>
      </c>
    </row>
    <row r="169" ht="13.2" customHeight="1" s="49">
      <c r="A169" s="2" t="n">
        <v>167</v>
      </c>
      <c r="B169" s="2"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2" t="n"/>
      <c r="D169" s="2" t="inlineStr">
        <is>
          <t>พ.ร.บ. ยาเสพติดให้โทษ พ.ศ. 2522 (ยาเสพติดให้โทษประเภท 2 และ 3)</t>
        </is>
      </c>
      <c r="E169" s="2" t="inlineStr">
        <is>
          <t>พ.ร.บ. วัตถุที่ออกฤทธิ์ต่อจิตและประสาท พ.ศ. 2559 (ประเภท 2 และ 4)</t>
        </is>
      </c>
      <c r="F169" s="2" t="inlineStr">
        <is>
          <t>พ.ร.บ. วิชาชีพเภสัชกรรม พ.ศ. 2537 และข้อบังคับจรรยาบรรณวิชาชีพ</t>
        </is>
      </c>
      <c r="G169" s="2" t="inlineStr">
        <is>
          <t>พ.ร.บ. ผลิตภัณฑ์สมุนไพร พ.ศ. 2562</t>
        </is>
      </c>
      <c r="H169" s="2" t="inlineStr">
        <is>
          <t>พ.ร.บ. เครื่องสำอาง พ.ศ. 2558</t>
        </is>
      </c>
      <c r="I169" s="2" t="n">
        <v>1</v>
      </c>
      <c r="J16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2" t="n"/>
      <c r="L169" s="2" t="inlineStr">
        <is>
          <t>พ.ร.บ. ยา พ.ศ. 2510</t>
        </is>
      </c>
      <c r="M169" s="2" t="inlineStr">
        <is>
          <t>SAP</t>
        </is>
      </c>
      <c r="N169" s="2" t="inlineStr">
        <is>
          <t>ข้อ 1 (LAW-CU-71.md)</t>
        </is>
      </c>
      <c r="O169" s="2" t="inlineStr">
        <is>
          <t>Mock</t>
        </is>
      </c>
      <c r="P169" s="2" t="inlineStr">
        <is>
          <t>Mock กฎหมาย CU71</t>
        </is>
      </c>
    </row>
    <row r="170" ht="13.2" customHeight="1" s="49">
      <c r="A170" s="2" t="n">
        <v>168</v>
      </c>
      <c r="B170" s="2"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2" t="n"/>
      <c r="D170" s="2" t="inlineStr">
        <is>
          <t>ข้อใดต่อไปนี้เป็นยาเสื่อมคุณภาพตามกฎหมาย</t>
        </is>
      </c>
      <c r="E170" s="2" t="inlineStr">
        <is>
          <t>ยาหยอดตาที่มีตัวยาสำคัญมากกว่าเกณฑ์สูงสุด 12 %</t>
        </is>
      </c>
      <c r="F170" s="2" t="inlineStr">
        <is>
          <t>ยาหยอดตาที่มีส่วนผสมของยาอื่นปนเปื้อน 12%</t>
        </is>
      </c>
      <c r="G170" s="2" t="inlineStr">
        <is>
          <t>ยาหยอดตาซึ่งเขียนสถานที่ผลิตไม่ตรงกับความเป็นจริง</t>
        </is>
      </c>
      <c r="H170" s="2" t="inlineStr">
        <is>
          <t>ยาหยอดตาที่เปิดใช้งานมาแล้ว 2 เดือน</t>
        </is>
      </c>
      <c r="I170" s="2" t="n">
        <v>1</v>
      </c>
      <c r="J170" s="2"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2" t="n"/>
      <c r="L170" s="2" t="inlineStr">
        <is>
          <t>พ.ร.บ. ยา พ.ศ. 2510</t>
        </is>
      </c>
      <c r="M170" s="2" t="inlineStr">
        <is>
          <t>SAP</t>
        </is>
      </c>
      <c r="N170" s="2" t="inlineStr">
        <is>
          <t>ข้อ 2 (LAW-CU-71.md)</t>
        </is>
      </c>
      <c r="O170" s="2" t="inlineStr">
        <is>
          <t>Mock</t>
        </is>
      </c>
      <c r="P170" s="2" t="inlineStr">
        <is>
          <t>Mock กฎหมาย CU71</t>
        </is>
      </c>
    </row>
    <row r="171" ht="13.2" customHeight="1" s="49">
      <c r="A171" s="2" t="n">
        <v>169</v>
      </c>
      <c r="B171" s="2" t="inlineStr">
        <is>
          <t>ข้อใดไม่ใช่ norfloxacin ที่จัดเป็นยาปลอมตามกฎหมาย</t>
        </is>
      </c>
      <c r="C171" s="2" t="n"/>
      <c r="D171" s="2" t="inlineStr">
        <is>
          <t>มีการผสมตัวยา ciprofloxacin ด้วย</t>
        </is>
      </c>
      <c r="E171" s="2" t="inlineStr">
        <is>
          <t>ตรวจพบปริมาณ norfloxacin เพียง 70% เท่านั้น</t>
        </is>
      </c>
      <c r="F171" s="2" t="inlineStr">
        <is>
          <t>ที่ฉลากระบุว่าเป็นยา ofloxacin</t>
        </is>
      </c>
      <c r="G171" s="2" t="inlineStr">
        <is>
          <t>ที่ฉลากแสดงเครื่องหมายของผู้ผลิตซึ่งมิใช่ความจริง</t>
        </is>
      </c>
      <c r="H171" s="2" t="inlineStr">
        <is>
          <t>ลักษณะเม็ดยา norfloxacin เปลี่ยนจากสีขาว เป็น สีฟ้าอ่อน ตะลุยโจทย์เภสัชจุฬาฯ สอบผ่าน 100%</t>
        </is>
      </c>
      <c r="I171" s="2" t="n">
        <v>1</v>
      </c>
      <c r="J171"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2" t="n"/>
      <c r="L171" s="2" t="inlineStr">
        <is>
          <t>พ.ร.บ. ยา พ.ศ. 2510</t>
        </is>
      </c>
      <c r="M171" s="2" t="inlineStr">
        <is>
          <t>SAP</t>
        </is>
      </c>
      <c r="N171" s="2" t="inlineStr">
        <is>
          <t>ข้อ 2 (LAW-CU-71.md)</t>
        </is>
      </c>
      <c r="O171" s="2" t="inlineStr">
        <is>
          <t>Mock</t>
        </is>
      </c>
      <c r="P171" s="2" t="inlineStr">
        <is>
          <t>Mock กฎหมาย CU71</t>
        </is>
      </c>
    </row>
    <row r="172" ht="13.2" customHeight="1" s="49">
      <c r="A172" s="2" t="n">
        <v>170</v>
      </c>
      <c r="B172" s="2" t="inlineStr">
        <is>
          <t>หากท่านต้องการขายยา glibencamide ทางอินเตอร์เนต สามารถทำได้หรือไม่ตามกฎหมาย</t>
        </is>
      </c>
      <c r="C172" s="2" t="n"/>
      <c r="D172" s="2" t="inlineStr">
        <is>
          <t>ทำได้ เนื่องจากกฎหมายไม่ได้ระบุข้อห้ามไว้</t>
        </is>
      </c>
      <c r="E172" s="2" t="inlineStr">
        <is>
          <t>ทำได้ เนื่องจากเป็นยาแผนปัจจุบันบรรจุเสร็จฯ</t>
        </is>
      </c>
      <c r="F172" s="2" t="inlineStr">
        <is>
          <t>ทำไม่ได้ เนื่องจากเป็นยาอันตราย ต้องขายในสถานที่ที่ขออนุญาตไว้เท่านั้น</t>
        </is>
      </c>
      <c r="G172" s="2" t="inlineStr">
        <is>
          <t>ทำไม่ได้ เนื่องจากเป็นยาควบคุมพิเศษ ต้องขายในสถานที่ที่ขออนุญาตไว้เท่านั้น</t>
        </is>
      </c>
      <c r="H172" s="2" t="inlineStr">
        <is>
          <t>ทำไม่ได้ เนื่องจากเป็นกฎหมายระบุว่า ห้ามขายยาทุกชนิดนอกร้านขายยา ตะลุยโจทย์เภสัชจุฬาฯ สอบผ่าน 100%</t>
        </is>
      </c>
      <c r="I172" s="2" t="n">
        <v>1</v>
      </c>
      <c r="J172" s="2"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2" t="n"/>
      <c r="L172" s="2" t="inlineStr">
        <is>
          <t>พ.ร.บ. ยา พ.ศ. 2510</t>
        </is>
      </c>
      <c r="M172" s="2" t="inlineStr">
        <is>
          <t>SAP</t>
        </is>
      </c>
      <c r="N172" s="2" t="inlineStr">
        <is>
          <t>ข้อ 4 (LAW-CU-71.md)</t>
        </is>
      </c>
      <c r="O172" s="2" t="inlineStr">
        <is>
          <t>Mock</t>
        </is>
      </c>
      <c r="P172" s="2" t="inlineStr">
        <is>
          <t>Mock กฎหมาย CU71</t>
        </is>
      </c>
    </row>
    <row r="173" ht="13.2" customHeight="1" s="49">
      <c r="A173" s="2" t="n">
        <v>171</v>
      </c>
      <c r="B173" s="2"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2" t="n"/>
      <c r="D173" s="2" t="inlineStr">
        <is>
          <t>พ.ร.บ. วิชาชีพเภสัชกรรม พ.ศ. 2537 และข้อบังคับจรรยาบรรณวิชาชีพ</t>
        </is>
      </c>
      <c r="E173" s="2" t="inlineStr">
        <is>
          <t>พ.ร.บ. ผลิตภัณฑ์สมุนไพร พ.ศ. 2562</t>
        </is>
      </c>
      <c r="F173" s="2" t="inlineStr">
        <is>
          <t>พ.ร.บ. เครื่องสำอาง พ.ศ. 2558</t>
        </is>
      </c>
      <c r="G173" s="2" t="inlineStr">
        <is>
          <t>พ.ร.บ. หลักประกันสุขภาพแห่งชาติ พ.ศ. 2545</t>
        </is>
      </c>
      <c r="H173" s="2" t="inlineStr">
        <is>
          <t>การปฏิบัติทางเภสัชกรรมชุมชน (Good Pharmacy Practice: GPP)</t>
        </is>
      </c>
      <c r="I173" s="2" t="n">
        <v>1</v>
      </c>
      <c r="J1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2" t="n"/>
      <c r="L173" s="2" t="inlineStr">
        <is>
          <t>พ.ร.บ. วิชาชีพเภสัชกรรม 2537</t>
        </is>
      </c>
      <c r="M173" s="2" t="inlineStr">
        <is>
          <t>SAP</t>
        </is>
      </c>
      <c r="N173" s="2" t="inlineStr">
        <is>
          <t>ข้อ 2 (LAW-CU-71.md)</t>
        </is>
      </c>
      <c r="O173" s="2" t="inlineStr">
        <is>
          <t>Mock</t>
        </is>
      </c>
      <c r="P173" s="2" t="inlineStr">
        <is>
          <t>Mock กฎหมาย CU71</t>
        </is>
      </c>
    </row>
    <row r="174" ht="13.2" customHeight="1" s="49">
      <c r="A174" s="2" t="n">
        <v>172</v>
      </c>
      <c r="B174" s="2" t="inlineStr">
        <is>
          <t>ดำรงตนให้สมควรในสังคมโดยธรรมและเคารพต่อกฎหมายของบ้านเมือง</t>
        </is>
      </c>
      <c r="C174" s="2" t="n"/>
      <c r="D174" s="2" t="inlineStr">
        <is>
          <t>พ.ร.บ. หลักประกันสุขภาพแห่งชาติ พ.ศ. 2545</t>
        </is>
      </c>
      <c r="E174" s="2" t="inlineStr">
        <is>
          <t>การปฏิบัติทางเภสัชกรรมชุมชน (Good Pharmacy Practice: GPP)</t>
        </is>
      </c>
      <c r="F174" s="2" t="inlineStr">
        <is>
          <t>บัญชียาหลักแห่งชาติ (National List of Essential Medicines: NLEM)</t>
        </is>
      </c>
      <c r="G174" s="2" t="inlineStr">
        <is>
          <t>เกณฑ์จริยธรรมว่าด้วยการส่งเสริมการขายยาของกระทรวงสาธารณสุข</t>
        </is>
      </c>
      <c r="H174" s="2" t="inlineStr">
        <is>
          <t>พ.ร.บ. ยา พ.ศ. 2510 (การจำหน่ายยาอันตรายและยาควบคุมพิเศษ)</t>
        </is>
      </c>
      <c r="I174" s="2" t="n">
        <v>1</v>
      </c>
      <c r="J1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2" t="n"/>
      <c r="L174" s="2" t="inlineStr">
        <is>
          <t>พ.ร.บ. ยา พ.ศ. 2510</t>
        </is>
      </c>
      <c r="M174" s="2" t="inlineStr">
        <is>
          <t>SAP</t>
        </is>
      </c>
      <c r="N174" s="2" t="inlineStr">
        <is>
          <t>ข้อ 1 (LAW-CU-71.md)</t>
        </is>
      </c>
      <c r="O174" s="2" t="inlineStr">
        <is>
          <t>Mock</t>
        </is>
      </c>
      <c r="P174" s="2" t="inlineStr">
        <is>
          <t>Mock กฎหมาย CU71</t>
        </is>
      </c>
    </row>
    <row r="175" ht="13.2" customHeight="1" s="49">
      <c r="A175" s="2" t="n">
        <v>173</v>
      </c>
      <c r="B175" s="2" t="inlineStr">
        <is>
          <t>ปฏิบัติต่อผู้มารับบริการโดยสุภาพและปราศจากการบังคับขู่เข็ญ จรรยาบรรณ</t>
        </is>
      </c>
      <c r="C175" s="2" t="n"/>
      <c r="D175" s="2" t="inlineStr">
        <is>
          <t>เกณฑ์จริยธรรมว่าด้วยการส่งเสริมการขายยาของกระทรวงสาธารณสุข</t>
        </is>
      </c>
      <c r="E175" s="2" t="inlineStr">
        <is>
          <t>พ.ร.บ. ยา พ.ศ. 2510 (การจำหน่ายยาอันตรายและยาควบคุมพิเศษ)</t>
        </is>
      </c>
      <c r="F175" s="2" t="inlineStr">
        <is>
          <t>พ.ร.บ. ยาเสพติดให้โทษ พ.ศ. 2522 (ยาเสพติดให้โทษประเภท 2 และ 3)</t>
        </is>
      </c>
      <c r="G175" s="2" t="inlineStr">
        <is>
          <t>พ.ร.บ. วัตถุที่ออกฤทธิ์ต่อจิตและประสาท พ.ศ. 2559 (ประเภท 2 และ 4)</t>
        </is>
      </c>
      <c r="H175" s="2" t="inlineStr">
        <is>
          <t>พ.ร.บ. วิชาชีพเภสัชกรรม พ.ศ. 2537 และข้อบังคับจรรยาบรรณวิชาชีพ</t>
        </is>
      </c>
      <c r="I175" s="2" t="n">
        <v>1</v>
      </c>
      <c r="J1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2" t="n"/>
      <c r="L175" s="2" t="inlineStr">
        <is>
          <t>พ.ร.บ. วิชาชีพเภสัชกรรม 2537</t>
        </is>
      </c>
      <c r="M175" s="2" t="inlineStr">
        <is>
          <t>SAP</t>
        </is>
      </c>
      <c r="N175" s="2" t="inlineStr">
        <is>
          <t>ข้อ 8 (LAW-CU-71.md)</t>
        </is>
      </c>
      <c r="O175" s="2" t="inlineStr">
        <is>
          <t>Mock</t>
        </is>
      </c>
      <c r="P175" s="2" t="inlineStr">
        <is>
          <t>Mock กฎหมาย CU71</t>
        </is>
      </c>
    </row>
    <row r="176" ht="13.2" customHeight="1" s="49">
      <c r="A176" s="2" t="n">
        <v>174</v>
      </c>
      <c r="B176" s="2" t="inlineStr">
        <is>
          <t>ไม่ใช้หรือสนับสนุนให้มีการประกอบวิชาชีพโดยผิดกฎหมาย</t>
        </is>
      </c>
      <c r="C176" s="2" t="n"/>
      <c r="D176" s="2" t="inlineStr">
        <is>
          <t>พ.ร.บ. วัตถุที่ออกฤทธิ์ต่อจิตและประสาท พ.ศ. 2559 (ประเภท 2 และ 4)</t>
        </is>
      </c>
      <c r="E176" s="2" t="inlineStr">
        <is>
          <t>พ.ร.บ. วิชาชีพเภสัชกรรม พ.ศ. 2537 และข้อบังคับจรรยาบรรณวิชาชีพ</t>
        </is>
      </c>
      <c r="F176" s="2" t="inlineStr">
        <is>
          <t>พ.ร.บ. ผลิตภัณฑ์สมุนไพร พ.ศ. 2562</t>
        </is>
      </c>
      <c r="G176" s="2" t="inlineStr">
        <is>
          <t>พ.ร.บ. เครื่องสำอาง พ.ศ. 2558</t>
        </is>
      </c>
      <c r="H176" s="2" t="inlineStr">
        <is>
          <t>พ.ร.บ. หลักประกันสุขภาพแห่งชาติ พ.ศ. 2545</t>
        </is>
      </c>
      <c r="I176" s="2" t="n">
        <v>1</v>
      </c>
      <c r="J1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2" t="n"/>
      <c r="L176" s="2" t="inlineStr">
        <is>
          <t>พ.ร.บ. ยา พ.ศ. 2510</t>
        </is>
      </c>
      <c r="M176" s="2" t="inlineStr">
        <is>
          <t>SAP</t>
        </is>
      </c>
      <c r="N176" s="2" t="inlineStr">
        <is>
          <t>ข้อ 13 (LAW-CU-71.md)</t>
        </is>
      </c>
      <c r="O176" s="2" t="inlineStr">
        <is>
          <t>Mock</t>
        </is>
      </c>
      <c r="P176" s="2" t="inlineStr">
        <is>
          <t>Mock กฎหมาย CU71</t>
        </is>
      </c>
    </row>
    <row r="177" ht="13.2" customHeight="1" s="49">
      <c r="A177" s="2" t="n">
        <v>175</v>
      </c>
      <c r="B177" s="2"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2" t="n"/>
      <c r="D177" s="2" t="inlineStr">
        <is>
          <t>ผู้ป่วยทุกคนมีสิทธิพื้นฐานที่จะได้รับบริการด้านสุขภาพตามที่บัญญัติไว้ในรัฐธรรมนูญ</t>
        </is>
      </c>
      <c r="E177" s="2"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2"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2"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2"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2" t="n">
        <v>1</v>
      </c>
      <c r="J177" s="2"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2" t="n"/>
      <c r="L177" s="2" t="inlineStr">
        <is>
          <t>พ.ร.บ. ยา พ.ศ. 2510</t>
        </is>
      </c>
      <c r="M177" s="2" t="inlineStr">
        <is>
          <t>SAP</t>
        </is>
      </c>
      <c r="N177" s="2" t="inlineStr">
        <is>
          <t>ข้อ 1 (LAW-CU-71.md)</t>
        </is>
      </c>
      <c r="O177" s="2" t="inlineStr">
        <is>
          <t>Mock</t>
        </is>
      </c>
      <c r="P177" s="2" t="inlineStr">
        <is>
          <t>Mock กฎหมาย CU71</t>
        </is>
      </c>
    </row>
    <row r="178" ht="13.2" customHeight="1" s="49">
      <c r="A178" s="2" t="n">
        <v>176</v>
      </c>
      <c r="B178" s="2"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2" t="n"/>
      <c r="D178" s="2" t="inlineStr">
        <is>
          <t>เภสัชกรต้องประกอบวิชาชีพ โดยคำนึงถึงความปลอดภัยและเศรษฐานะของผู้ป่วยหรือผู้มารับบริการ</t>
        </is>
      </c>
      <c r="E178" s="2" t="inlineStr">
        <is>
          <t>เภสัชกรต้องไม่ประพฤติหรือกระทำการใดๆ อันเป็นเหตุให้เสื่อมเสียเกียรติศักดิ์แห่งวิชาชีพ</t>
        </is>
      </c>
      <c r="F178" s="2" t="inlineStr">
        <is>
          <t>เภสัชกรต้องไม่เปิดเผยความลับของผู้มารับบริการ เว้นแต่ได้รับความยินยอมจากผู้รับบริการ</t>
        </is>
      </c>
      <c r="G178" s="2" t="inlineStr">
        <is>
          <t>เภสัชกรต้องไม่ใช้หรือสนับสนุนให้มีการประกอบวิชาชีพโดยผิดกฎหมาย</t>
        </is>
      </c>
      <c r="H178" s="2"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78" s="2" t="n">
        <v>1</v>
      </c>
      <c r="J178" s="2"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2" t="n"/>
      <c r="L178" s="2" t="inlineStr">
        <is>
          <t>พ.ร.บ. วิชาชีพเภสัชกรรม 2537</t>
        </is>
      </c>
      <c r="M178" s="2" t="inlineStr">
        <is>
          <t>SAP</t>
        </is>
      </c>
      <c r="N178" s="2" t="inlineStr">
        <is>
          <t>ข้อ 2 (LAW-CU-71.md)</t>
        </is>
      </c>
      <c r="O178" s="2" t="inlineStr">
        <is>
          <t>Mock</t>
        </is>
      </c>
      <c r="P178" s="2" t="inlineStr">
        <is>
          <t>Mock กฎหมาย CU71</t>
        </is>
      </c>
    </row>
    <row r="179" ht="13.2" customHeight="1" s="49">
      <c r="A179" s="2" t="n">
        <v>177</v>
      </c>
      <c r="B179" s="2"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ในข้อใดจะเป็นเครื_x001E_องมือในการช่วยตัดสินความคุ้มค่าใน การเลือกใช้ยาเพื_x001E_อลดไขมัน (1) Cost description (2) Cost minimization analysis (3) Cost benefit analysis (4) Cost utility analysis (5) Cost effectiveness analysis สถานการณ์ที_x001E_ 5 ผู้ป่วยหญิงไทยคู่ อายุ 49 ปี นํ_x001B_าหนัก 75 กิโลกรัม ส่วนสูง 150 เซนติเมตร BW 138/82 มาโรงพยาบาลด้วยอาการ ปวดข้อ จากการซักประวัติพบว่า มีอาการปวดข้อเข่าทั_x001B_งสองข้าง มาประมาณ 1 เดือน อาการปวดจะมากขึ_x001B_นเมื_x0003_อเดินขึ_x001B_นบันได หรือยืนนาน ๆ แต่หากได้นั_x0003_งพักแล้วอาการจะดีขึ_x001B_น และมักจะได้ ยินเสียงกรอบแกรบจากข้อบ่อยครั_x001B_ง ผลการตรวจเลือดพบ Rheumatoid factor 1:80 และ uric acid 6.2 mg/dL</t>
        </is>
      </c>
      <c r="C179" s="2" t="n"/>
      <c r="D179" s="2" t="inlineStr">
        <is>
          <t>พ.ร.บ. ยาเสพติดให้โทษ พ.ศ. 2522 (ยาเสพติดให้โทษประเภท 2 และ 3)</t>
        </is>
      </c>
      <c r="E179" s="2" t="inlineStr">
        <is>
          <t>พ.ร.บ. วัตถุที่ออกฤทธิ์ต่อจิตและประสาท พ.ศ. 2559 (ประเภท 2 และ 4)</t>
        </is>
      </c>
      <c r="F179" s="2" t="inlineStr">
        <is>
          <t>พ.ร.บ. วิชาชีพเภสัชกรรม พ.ศ. 2537 และข้อบังคับจรรยาบรรณวิชาชีพ</t>
        </is>
      </c>
      <c r="G179" s="2" t="inlineStr">
        <is>
          <t>พ.ร.บ. ผลิตภัณฑ์สมุนไพร พ.ศ. 2562</t>
        </is>
      </c>
      <c r="H179" s="2" t="inlineStr">
        <is>
          <t>พ.ร.บ. เครื่องสำอาง พ.ศ. 2558</t>
        </is>
      </c>
      <c r="I179" s="2" t="n">
        <v>1</v>
      </c>
      <c r="J17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2" t="n"/>
      <c r="L179" s="2" t="inlineStr">
        <is>
          <t>พ.ร.บ. ยา พ.ศ. 2510</t>
        </is>
      </c>
      <c r="M179" s="2" t="inlineStr">
        <is>
          <t>SAP</t>
        </is>
      </c>
      <c r="N179" s="2" t="inlineStr">
        <is>
          <t>ข้อ 34 (PLE_CC1_2557.md)</t>
        </is>
      </c>
      <c r="O179" s="2" t="inlineStr">
        <is>
          <t>ข้อสอบจริง</t>
        </is>
      </c>
      <c r="P179" s="2" t="inlineStr">
        <is>
          <t>ปี 2557</t>
        </is>
      </c>
    </row>
    <row r="180" ht="13.2" customHeight="1" s="49">
      <c r="A180" s="2" t="n">
        <v>178</v>
      </c>
      <c r="B180" s="2"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ยาควบคุมพิเศษซึ_x0003_งจำหน่ายได้เฉพาะสถานพยาบาลที_x0003_ รับผู้ป่วยค้างคืน และ ยาอันตราย (4) ยาอันตราย และ ยาอันตราย (5) ยาควบคุมพิเศษ และ ยาควบคุมพิเศษ สถานการณ์ที_x001E_ 8 ผู้ป่วยชายไทย อายุ 45 ปี เนื_x0003_องจากมีภาวะปวดท้อง ไม่ มีอาเจียนเป็นเลือดสด ไม่มีภาวะถ่ายดำ ไม่มีไข้ จากการซัก ประวัติพบว่า ผู้ป่วยมีประวัติดื_x0003_มแอลกอฮอล์วันละ 1 แบน มา นานประมาณ 20 ปี โดยดื_x0003_มครั_x001B_งสุดท้ายเมื_x0003_อ 2 วันก่อนมา โรงพยาบาล แพทย์วินิจฉัยว่าผู้ป่วยมีภาวะ alcoholic cirrhosis Final version | Maximum’2017 Rx30 | Prince of Songkla University</t>
        </is>
      </c>
      <c r="C180" s="2" t="n"/>
      <c r="D180" s="2" t="inlineStr">
        <is>
          <t>พ.ร.บ. ผลิตภัณฑ์สมุนไพร พ.ศ. 2562</t>
        </is>
      </c>
      <c r="E180" s="2" t="inlineStr">
        <is>
          <t>พ.ร.บ. เครื่องสำอาง พ.ศ. 2558</t>
        </is>
      </c>
      <c r="F180" s="2" t="inlineStr">
        <is>
          <t>พ.ร.บ. หลักประกันสุขภาพแห่งชาติ พ.ศ. 2545</t>
        </is>
      </c>
      <c r="G180" s="2" t="inlineStr">
        <is>
          <t>การปฏิบัติทางเภสัชกรรมชุมชน (Good Pharmacy Practice: GPP)</t>
        </is>
      </c>
      <c r="H180" s="2" t="inlineStr">
        <is>
          <t>บัญชียาหลักแห่งชาติ (National List of Essential Medicines: NLEM)</t>
        </is>
      </c>
      <c r="I180" s="2" t="n">
        <v>1</v>
      </c>
      <c r="J1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2" t="n"/>
      <c r="L180" s="2" t="inlineStr">
        <is>
          <t>พ.ร.บ. ยา พ.ศ. 2510</t>
        </is>
      </c>
      <c r="M180" s="2" t="inlineStr">
        <is>
          <t>SAP</t>
        </is>
      </c>
      <c r="N180" s="2" t="inlineStr">
        <is>
          <t>ข้อ 55 (PLE_CC1_2557.md)</t>
        </is>
      </c>
      <c r="O180" s="2" t="inlineStr">
        <is>
          <t>ข้อสอบจริง</t>
        </is>
      </c>
      <c r="P180" s="2" t="inlineStr">
        <is>
          <t>ปี 2557</t>
        </is>
      </c>
    </row>
    <row r="181" ht="13.2" customHeight="1" s="49">
      <c r="A181" s="2" t="n">
        <v>179</v>
      </c>
      <c r="B181" s="2" t="inlineStr">
        <is>
          <t>การวิเคราะห์ความคุ้มค่าทางเศรษฐศาสตร์ด้วยวิธี Cost effectiveness analysis ของยา 5 ชนิดแสดงผลดังตาราง หากท่านเป็นเภสัชกรที_x001E_คัดเลือกยาเข้าโรงพยาบาล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2" t="n"/>
      <c r="D181" s="2" t="inlineStr">
        <is>
          <t>การปฏิบัติทางเภสัชกรรมชุมชน (Good Pharmacy Practice: GPP)</t>
        </is>
      </c>
      <c r="E181" s="2" t="inlineStr">
        <is>
          <t>บัญชียาหลักแห่งชาติ (National List of Essential Medicines: NLEM)</t>
        </is>
      </c>
      <c r="F181" s="2" t="inlineStr">
        <is>
          <t>เกณฑ์จริยธรรมว่าด้วยการส่งเสริมการขายยาของกระทรวงสาธารณสุข</t>
        </is>
      </c>
      <c r="G181" s="2" t="inlineStr">
        <is>
          <t>พ.ร.บ. ยา พ.ศ. 2510 (การจำหน่ายยาอันตรายและยาควบคุมพิเศษ)</t>
        </is>
      </c>
      <c r="H181" s="2" t="inlineStr">
        <is>
          <t>พ.ร.บ. ยาเสพติดให้โทษ พ.ศ. 2522 (ยาเสพติดให้โทษประเภท 2 และ 3)</t>
        </is>
      </c>
      <c r="I181" s="2" t="n">
        <v>1</v>
      </c>
      <c r="J18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2" t="n"/>
      <c r="L181" s="2" t="inlineStr">
        <is>
          <t>พ.ร.บ. ยา พ.ศ. 2510</t>
        </is>
      </c>
      <c r="M181" s="2" t="inlineStr">
        <is>
          <t>SAP</t>
        </is>
      </c>
      <c r="N181" s="2" t="inlineStr">
        <is>
          <t>ข้อ 83 (PLE_CC1_2557.md)</t>
        </is>
      </c>
      <c r="O181" s="2" t="inlineStr">
        <is>
          <t>ข้อสอบจริง</t>
        </is>
      </c>
      <c r="P181" s="2" t="inlineStr">
        <is>
          <t>ปี 2557</t>
        </is>
      </c>
    </row>
    <row r="182" ht="13.2" customHeight="1" s="49">
      <c r="A182" s="2" t="n">
        <v>180</v>
      </c>
      <c r="B182" s="2"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ผลิตภัณฑ์ยาของบริษัทใดบริษัทหนึ_x001E_งขึ%นมากล่าวอ้าง เภสัช กรหญิงโสภา ทำผิดจรรยาบรรณวิชาชีพหรือไม่ เพราะเหตุใด (1) ผิด เนื_x0003_องจากไม่ได้รักษามาตรฐานของการประกอบ วิชาชีพเภสัชกรรมในระดับที_x0003_ดีที_x0003_สุด (2) ผิด เนื_x0003_องจากเป็นการโฆษณาความรู้ความสามารถของ ตนเอง (3) ผิด เนื_x0003_องจาก แสดงข้อความที_x0003_แสดงถึงการแสวงหา ประโยชน์ส่วนบุคคลที_x0003_เกิดจากการประกอบวิชาชีพ เภสัชกรรม (4) ไม่ผิด เนื_x0003_องจากไม่ได้มีการหยิบยกผลิตภัณฑ์ยาของ บริษัทใดบริษัทหนึ_x0003_งขึ_x001B_นมากล่าวอ้าง (5) ไม่ผิด เนื_x0003_องจากไม่ใช้หรือสนับสนุนการใช้ยาตำรับลับ สถานการณ์ที_x001E_ 4 ผู้ป่วยชาย อายุ 61 ปี มีโรคประจำตัวคือโรคความดัน โลหิต ไขมันในเลือดสูง และเก๊าท์ มียาที_x0003_ใช้เป็นประจำดังนี_x001B_ Simvastatin 10 mg hs Enalapril 5 mg OD Allopurinol 300 mg OD วันนี_x001B_มาพบแพทย์ตามนัด วัดความดันโลหิตได้เท่ากับ 152/92 mmHg ผลการตรวจระดับไขมันในเลือดเป็นดังนี_x001B_ Triglyceride 500 mg/dL, LDL-cholesterol 90 mg/dL และ HDL-cholesterol 45 mg/dL</t>
        </is>
      </c>
      <c r="C182" s="2" t="n"/>
      <c r="D182" s="2" t="inlineStr">
        <is>
          <t>พ.ร.บ. ยา พ.ศ. 2510 (การจำหน่ายยาอันตรายและยาควบคุมพิเศษ)</t>
        </is>
      </c>
      <c r="E182" s="2" t="inlineStr">
        <is>
          <t>พ.ร.บ. ยาเสพติดให้โทษ พ.ศ. 2522 (ยาเสพติดให้โทษประเภท 2 และ 3)</t>
        </is>
      </c>
      <c r="F182" s="2" t="inlineStr">
        <is>
          <t>พ.ร.บ. วัตถุที่ออกฤทธิ์ต่อจิตและประสาท พ.ศ. 2559 (ประเภท 2 และ 4)</t>
        </is>
      </c>
      <c r="G182" s="2" t="inlineStr">
        <is>
          <t>พ.ร.บ. วิชาชีพเภสัชกรรม พ.ศ. 2537 และข้อบังคับจรรยาบรรณวิชาชีพ</t>
        </is>
      </c>
      <c r="H182" s="2" t="inlineStr">
        <is>
          <t>พ.ร.บ. ผลิตภัณฑ์สมุนไพร พ.ศ. 2562</t>
        </is>
      </c>
      <c r="I182" s="2" t="n">
        <v>1</v>
      </c>
      <c r="J1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2" t="n"/>
      <c r="L182" s="2" t="inlineStr">
        <is>
          <t>พ.ร.บ. วิชาชีพเภสัชกรรม 2537</t>
        </is>
      </c>
      <c r="M182" s="2" t="inlineStr">
        <is>
          <t>SAP</t>
        </is>
      </c>
      <c r="N182" s="2" t="inlineStr">
        <is>
          <t>ข้อ 24 (PLE_CC1_2557.md)</t>
        </is>
      </c>
      <c r="O182" s="2" t="inlineStr">
        <is>
          <t>ข้อสอบจริง</t>
        </is>
      </c>
      <c r="P182" s="2" t="inlineStr">
        <is>
          <t>ปี 2557</t>
        </is>
      </c>
    </row>
    <row r="183" ht="13.2" customHeight="1" s="49">
      <c r="A183" s="2" t="n">
        <v>181</v>
      </c>
      <c r="B183" s="2" t="inlineStr">
        <is>
          <t>ในกรณีที_x001E_ท่านต้องการศึกษาเปรียบเทียบประสิทธิภาพของ ยา ACEIs และ Beta-blockers ในการลดอันตราการตาย จากการเกิดภาวะ myocardial infarction ในผู้ป่วยที_x001E_มี ความดันโลหิตสูง ท่านควรออกแบบการศึกษาแบบใด (1) Case-control study (2) Case-report study (3) Cohort study (4) Randomized control trial (5) Retrospective study</t>
        </is>
      </c>
      <c r="C183" s="2" t="n"/>
      <c r="D183" s="2" t="inlineStr">
        <is>
          <t>พ.ร.บ. วิชาชีพเภสัชกรรม พ.ศ. 2537 และข้อบังคับจรรยาบรรณวิชาชีพ</t>
        </is>
      </c>
      <c r="E183" s="2" t="inlineStr">
        <is>
          <t>พ.ร.บ. ผลิตภัณฑ์สมุนไพร พ.ศ. 2562</t>
        </is>
      </c>
      <c r="F183" s="2" t="inlineStr">
        <is>
          <t>พ.ร.บ. เครื่องสำอาง พ.ศ. 2558</t>
        </is>
      </c>
      <c r="G183" s="2" t="inlineStr">
        <is>
          <t>พ.ร.บ. หลักประกันสุขภาพแห่งชาติ พ.ศ. 2545</t>
        </is>
      </c>
      <c r="H183" s="2" t="inlineStr">
        <is>
          <t>การปฏิบัติทางเภสัชกรรมชุมชน (Good Pharmacy Practice: GPP)</t>
        </is>
      </c>
      <c r="I183" s="2" t="n">
        <v>1</v>
      </c>
      <c r="J18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2" t="n"/>
      <c r="L183" s="2" t="inlineStr">
        <is>
          <t>พ.ร.บ. ยา พ.ศ. 2510</t>
        </is>
      </c>
      <c r="M183" s="2" t="inlineStr">
        <is>
          <t>SAP</t>
        </is>
      </c>
      <c r="N183" s="2" t="inlineStr">
        <is>
          <t>ข้อ 28 (PLE_CC1_2557.md)</t>
        </is>
      </c>
      <c r="O183" s="2" t="inlineStr">
        <is>
          <t>ข้อสอบจริง</t>
        </is>
      </c>
      <c r="P183" s="2" t="inlineStr">
        <is>
          <t>ปี 2557</t>
        </is>
      </c>
    </row>
    <row r="184" ht="13.2" customHeight="1" s="49">
      <c r="A184" s="2" t="n">
        <v>182</v>
      </c>
      <c r="B184" s="2" t="inlineStr">
        <is>
          <t>ต่อมา ผู้ป่วยรายนี%มีอาการตกขาว แพทย์จึงสั_x001E_งจ่าย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อันเป็นเหตุให้เสื_x0003_อมเสียเกียรติศักดิ&lt;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สถานการณ์ที_x001E_ 7 หญิงไทย อายุ 51 ปี เข้ามาปรึกษาแพทย์ที_x0003_คลินิกข้อ และกระดูก จากการซักประวัติและตรวจร่างกายเบื_x001B_องต้นพบว่า นํ_x001B_าหนัก 42 กิโลกรัม สูง 161 เซนติเมตร ขาดประจำเดือน มาแล้วมากกว่า 1 ปี ชอบดื_x0003_มกาแฟ ชอบออกกำลังกายด้วยวิธีปั_x0003_น จักรยาน และเดินเร็ว ไม่สูบบุหรี_x0003_ จากการตรวจวัดมวลกระดูก (Bone mineral density) พบ T-score เท่ากับ -1.8 แพทย์จึงจ่าย ยาดังต่อไปนี_x001B_ Calcium carbonate (1000 mg) 1 x 2 pc Alendronate (5 mg) once weekly on Saturday Vitamin D3 (1000 IU) OD</t>
        </is>
      </c>
      <c r="C184" s="2" t="n"/>
      <c r="D184" s="2" t="inlineStr">
        <is>
          <t>พ.ร.บ. หลักประกันสุขภาพแห่งชาติ พ.ศ. 2545</t>
        </is>
      </c>
      <c r="E184" s="2" t="inlineStr">
        <is>
          <t>การปฏิบัติทางเภสัชกรรมชุมชน (Good Pharmacy Practice: GPP)</t>
        </is>
      </c>
      <c r="F184" s="2" t="inlineStr">
        <is>
          <t>บัญชียาหลักแห่งชาติ (National List of Essential Medicines: NLEM)</t>
        </is>
      </c>
      <c r="G184" s="2" t="inlineStr">
        <is>
          <t>เกณฑ์จริยธรรมว่าด้วยการส่งเสริมการขายยาของกระทรวงสาธารณสุข</t>
        </is>
      </c>
      <c r="H184" s="2" t="inlineStr">
        <is>
          <t>พ.ร.บ. ยา พ.ศ. 2510 (การจำหน่ายยาอันตรายและยาควบคุมพิเศษ)</t>
        </is>
      </c>
      <c r="I184" s="2" t="n">
        <v>1</v>
      </c>
      <c r="J18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2" t="n"/>
      <c r="L184" s="2" t="inlineStr">
        <is>
          <t>พ.ร.บ. วิชาชีพเภสัชกรรม 2537</t>
        </is>
      </c>
      <c r="M184" s="2" t="inlineStr">
        <is>
          <t>SAP</t>
        </is>
      </c>
      <c r="N184" s="2" t="inlineStr">
        <is>
          <t>ข้อ 43 (PLE_CC1_2557.md)</t>
        </is>
      </c>
      <c r="O184" s="2" t="inlineStr">
        <is>
          <t>ข้อสอบจริง</t>
        </is>
      </c>
      <c r="P184" s="2" t="inlineStr">
        <is>
          <t>ปี 2557</t>
        </is>
      </c>
    </row>
    <row r="185" ht="13.2" customHeight="1" s="49">
      <c r="A185" s="2" t="n">
        <v>183</v>
      </c>
      <c r="B185" s="2" t="inlineStr">
        <is>
          <t>การศึกษาประสิทธิภาพของยา A ในการลดความเสี_x001E_ยงการ เกิดกระดูกพรุนเมื_x001E_อเทียบกับยา B พบว่า Hazard ratio ของการเกิดภาวะกระดูกพรุนเมื_x001E_อใช้ยา A เท่ากับ 0.80 เมื_x001E_อ เทียบกับยา B โดยมีค่าความเชื_x001E_อมั_x001E_นที_x001E_ 95% เท่ากับ 0.75 -</t>
        </is>
      </c>
      <c r="C185" s="2" t="n"/>
      <c r="D185" s="2"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t>
        </is>
      </c>
      <c r="E185" s="2" t="inlineStr">
        <is>
          <t>พ.ร.บ. ยา พ.ศ. 2510 (การจำหน่ายยาอันตรายและยาควบคุมพิเศษ)</t>
        </is>
      </c>
      <c r="F185" s="2" t="inlineStr">
        <is>
          <t>พ.ร.บ. ยาเสพติดให้โทษ พ.ศ. 2522 (ยาเสพติดให้โทษประเภท 2 และ 3)</t>
        </is>
      </c>
      <c r="G185" s="2" t="inlineStr">
        <is>
          <t>พ.ร.บ. วัตถุที่ออกฤทธิ์ต่อจิตและประสาท พ.ศ. 2559 (ประเภท 2 และ 4)</t>
        </is>
      </c>
      <c r="H185" s="2" t="inlineStr">
        <is>
          <t>พ.ร.บ. วิชาชีพเภสัชกรรม พ.ศ. 2537 และข้อบังคับจรรยาบรรณวิชาชีพ</t>
        </is>
      </c>
      <c r="I185" s="2" t="n">
        <v>1</v>
      </c>
      <c r="J185" s="2"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เป็นกรณีศึกษาเกี_x0003_ยวกับภาวะ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2" t="n"/>
      <c r="L185" s="2" t="inlineStr">
        <is>
          <t>พ.ร.บ. ยา พ.ศ. 2510</t>
        </is>
      </c>
      <c r="M185" s="2" t="inlineStr">
        <is>
          <t>SAP</t>
        </is>
      </c>
      <c r="N185" s="2" t="inlineStr">
        <is>
          <t>ข้อ 52 (PLE_CC1_2557.md)</t>
        </is>
      </c>
      <c r="O185" s="2" t="inlineStr">
        <is>
          <t>ข้อสอบจริง</t>
        </is>
      </c>
      <c r="P185" s="2" t="inlineStr">
        <is>
          <t>ปี 2557</t>
        </is>
      </c>
    </row>
    <row r="186" ht="13.2" customHeight="1" s="49">
      <c r="A186" s="2" t="n">
        <v>184</v>
      </c>
      <c r="B186" s="2"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2" t="n"/>
      <c r="D186" s="2" t="inlineStr">
        <is>
          <t>พ.ร.บ. วัตถุที่ออกฤทธิ์ต่อจิตและประสาท พ.ศ. 2559 (ประเภท 2 และ 4)</t>
        </is>
      </c>
      <c r="E186" s="2" t="inlineStr">
        <is>
          <t>พ.ร.บ. วิชาชีพเภสัชกรรม พ.ศ. 2537 และข้อบังคับจรรยาบรรณวิชาชีพ</t>
        </is>
      </c>
      <c r="F186" s="2" t="inlineStr">
        <is>
          <t>พ.ร.บ. ผลิตภัณฑ์สมุนไพร พ.ศ. 2562</t>
        </is>
      </c>
      <c r="G186" s="2" t="inlineStr">
        <is>
          <t>พ.ร.บ. เครื่องสำอาง พ.ศ. 2558</t>
        </is>
      </c>
      <c r="H186" s="2" t="inlineStr">
        <is>
          <t>พ.ร.บ. หลักประกันสุขภาพแห่งชาติ พ.ศ. 2545</t>
        </is>
      </c>
      <c r="I186" s="2" t="n">
        <v>1</v>
      </c>
      <c r="J186" s="2"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2" t="n"/>
      <c r="L186" s="2" t="inlineStr">
        <is>
          <t>พ.ร.บ. ยาเสพติดให้โทษ &amp; วัตถุออกฤทธิ์</t>
        </is>
      </c>
      <c r="M186" s="2" t="inlineStr">
        <is>
          <t>SAP</t>
        </is>
      </c>
      <c r="N186" s="2" t="inlineStr">
        <is>
          <t>ข้อ 54 (PLE_CC1_2557.md)</t>
        </is>
      </c>
      <c r="O186" s="2" t="inlineStr">
        <is>
          <t>ข้อสอบจริง</t>
        </is>
      </c>
      <c r="P186" s="2" t="inlineStr">
        <is>
          <t>ปี 2557</t>
        </is>
      </c>
    </row>
    <row r="187" ht="13.2" customHeight="1" s="49">
      <c r="A187" s="2" t="n">
        <v>185</v>
      </c>
      <c r="B187" s="2" t="inlineStr">
        <is>
          <t>Tretinoin cream และ oral isotretinoin เป็นยาประเภทใด ตามกฎหมาย ตามลำดับ (1) ยาบรรจุเสร็จที_x0003_ไม่ใช่ยาอันตรายหรือยาควบคุมพิเศษ, ยาอันตราย (2) ยาบรรจุเสร็จที_x0003_ไม่ใช่ยาอันตรายหรือยาควบคุมพิเศษ,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2" t="n"/>
      <c r="D187" s="2" t="inlineStr">
        <is>
          <t>พ.ร.บ. เครื่องสำอาง พ.ศ. 2558</t>
        </is>
      </c>
      <c r="E187" s="2" t="inlineStr">
        <is>
          <t>พ.ร.บ. หลักประกันสุขภาพแห่งชาติ พ.ศ. 2545</t>
        </is>
      </c>
      <c r="F187" s="2" t="inlineStr">
        <is>
          <t>การปฏิบัติทางเภสัชกรรมชุมชน (Good Pharmacy Practice: GPP)</t>
        </is>
      </c>
      <c r="G187" s="2" t="inlineStr">
        <is>
          <t>บัญชียาหลักแห่งชาติ (National List of Essential Medicines: NLEM)</t>
        </is>
      </c>
      <c r="H187" s="2" t="inlineStr">
        <is>
          <t>เกณฑ์จริยธรรมว่าด้วยการส่งเสริมการขายยาของกระทรวงสาธารณสุข</t>
        </is>
      </c>
      <c r="I187" s="2" t="n">
        <v>1</v>
      </c>
      <c r="J18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2" t="n"/>
      <c r="L187" s="2" t="inlineStr">
        <is>
          <t>พ.ร.บ. ยา พ.ศ. 2510</t>
        </is>
      </c>
      <c r="M187" s="2" t="inlineStr">
        <is>
          <t>SAP</t>
        </is>
      </c>
      <c r="N187" s="2" t="inlineStr">
        <is>
          <t>ข้อ 71 (PLE_CC1_2557.md)</t>
        </is>
      </c>
      <c r="O187" s="2" t="inlineStr">
        <is>
          <t>ข้อสอบจริง</t>
        </is>
      </c>
      <c r="P187" s="2" t="inlineStr">
        <is>
          <t>ปี 2557</t>
        </is>
      </c>
    </row>
    <row r="188" ht="13.2" customHeight="1" s="49">
      <c r="A188" s="2" t="n">
        <v>186</v>
      </c>
      <c r="B188" s="2"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ความเสี_x001E_ยงในการเกิดโรคพิษสุนัขบ้าในกลุ่มที_x001E_ได้รับ วัคซีน เป็นกี_x001E_เท่าของคนที_x001E_ไม่ได้รับวัคซีน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2" t="n"/>
      <c r="D188" s="2" t="inlineStr">
        <is>
          <t>บัญชียาหลักแห่งชาติ (National List of Essential Medicines: NLEM)</t>
        </is>
      </c>
      <c r="E188" s="2" t="inlineStr">
        <is>
          <t>เกณฑ์จริยธรรมว่าด้วยการส่งเสริมการขายยาของกระทรวงสาธารณสุข</t>
        </is>
      </c>
      <c r="F188" s="2" t="inlineStr">
        <is>
          <t>พ.ร.บ. ยา พ.ศ. 2510 (การจำหน่ายยาอันตรายและยาควบคุมพิเศษ)</t>
        </is>
      </c>
      <c r="G188" s="2" t="inlineStr">
        <is>
          <t>พ.ร.บ. ยาเสพติดให้โทษ พ.ศ. 2522 (ยาเสพติดให้โทษประเภท 2 และ 3)</t>
        </is>
      </c>
      <c r="H188" s="2" t="inlineStr">
        <is>
          <t>พ.ร.บ. วัตถุที่ออกฤทธิ์ต่อจิตและประสาท พ.ศ. 2559 (ประเภท 2 และ 4)</t>
        </is>
      </c>
      <c r="I188" s="2" t="n">
        <v>1</v>
      </c>
      <c r="J188" s="2"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2" t="n"/>
      <c r="L188" s="2" t="inlineStr">
        <is>
          <t>พ.ร.บ. ยา พ.ศ. 2510</t>
        </is>
      </c>
      <c r="M188" s="2" t="inlineStr">
        <is>
          <t>SAP</t>
        </is>
      </c>
      <c r="N188" s="2" t="inlineStr">
        <is>
          <t>ข้อ 90 (PLE_CC1_2557.md)</t>
        </is>
      </c>
      <c r="O188" s="2" t="inlineStr">
        <is>
          <t>ข้อสอบจริง</t>
        </is>
      </c>
      <c r="P188" s="2" t="inlineStr">
        <is>
          <t>ปี 2557</t>
        </is>
      </c>
    </row>
    <row r="189" ht="13.2" customHeight="1" s="49">
      <c r="A189" s="2" t="n">
        <v>187</v>
      </c>
      <c r="B189" s="2" t="inlineStr">
        <is>
          <t>การตัดสินความคุ้มค่าของทางเลือกการรักษา ข้อใดบ่งบอก ว่าทางเลือกดังกล่าว เป็นทางเลือกที_x001E_ไม่คุ้มค่ามากที_x001E_สุด (1) ประสิทธิภาพน้อยที_x0003_สุด (2) ราคาแพงที_x0003_สุด (3) ต้นทุนประสิทธิภาพไม่ดี (4) ต้นทุนประสิทธิภาพตํ_x0003_า (โจทย์มาแบบนี_x001B_เลย ไม่รู้ เหมือนกันว่าสองตัวเลือกนี_x001B_มันต่างกันยังไง) (5) มีค่า ICER สูงที_x0003_สุด</t>
        </is>
      </c>
      <c r="C189" s="2" t="n"/>
      <c r="D189" s="2" t="inlineStr">
        <is>
          <t>พ.ร.บ. ยาเสพติดให้โทษ พ.ศ. 2522 (ยาเสพติดให้โทษประเภท 2 และ 3)</t>
        </is>
      </c>
      <c r="E189" s="2" t="inlineStr">
        <is>
          <t>พ.ร.บ. วัตถุที่ออกฤทธิ์ต่อจิตและประสาท พ.ศ. 2559 (ประเภท 2 และ 4)</t>
        </is>
      </c>
      <c r="F189" s="2" t="inlineStr">
        <is>
          <t>พ.ร.บ. วิชาชีพเภสัชกรรม พ.ศ. 2537 และข้อบังคับจรรยาบรรณวิชาชีพ</t>
        </is>
      </c>
      <c r="G189" s="2" t="inlineStr">
        <is>
          <t>พ.ร.บ. ผลิตภัณฑ์สมุนไพร พ.ศ. 2562</t>
        </is>
      </c>
      <c r="H189" s="2" t="inlineStr">
        <is>
          <t>พ.ร.บ. เครื่องสำอาง พ.ศ. 2558</t>
        </is>
      </c>
      <c r="I189" s="2" t="n">
        <v>1</v>
      </c>
      <c r="J18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2" t="n"/>
      <c r="L189" s="2" t="inlineStr">
        <is>
          <t>พ.ร.บ. ยา พ.ศ. 2510</t>
        </is>
      </c>
      <c r="M189" s="2" t="inlineStr">
        <is>
          <t>SAP</t>
        </is>
      </c>
      <c r="N189" s="2" t="inlineStr">
        <is>
          <t>ข้อ 94 (PLE_CC1_2557.md)</t>
        </is>
      </c>
      <c r="O189" s="2" t="inlineStr">
        <is>
          <t>ข้อสอบจริง</t>
        </is>
      </c>
      <c r="P189" s="2" t="inlineStr">
        <is>
          <t>ปี 2557</t>
        </is>
      </c>
    </row>
    <row r="190" ht="13.2" customHeight="1" s="49">
      <c r="A190" s="2" t="n">
        <v>188</v>
      </c>
      <c r="B190" s="2"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2" t="n"/>
      <c r="D190" s="2" t="inlineStr">
        <is>
          <t>พ.ร.บ. ผลิตภัณฑ์สมุนไพร พ.ศ. 2562</t>
        </is>
      </c>
      <c r="E190" s="2" t="inlineStr">
        <is>
          <t>พ.ร.บ. เครื่องสำอาง พ.ศ. 2558</t>
        </is>
      </c>
      <c r="F190" s="2" t="inlineStr">
        <is>
          <t>พ.ร.บ. หลักประกันสุขภาพแห่งชาติ พ.ศ. 2545</t>
        </is>
      </c>
      <c r="G190" s="2" t="inlineStr">
        <is>
          <t>การปฏิบัติทางเภสัชกรรมชุมชน (Good Pharmacy Practice: GPP)</t>
        </is>
      </c>
      <c r="H190" s="2" t="inlineStr">
        <is>
          <t>บัญชียาหลักแห่งชาติ (National List of Essential Medicines: NLEM)</t>
        </is>
      </c>
      <c r="I190" s="2" t="n">
        <v>1</v>
      </c>
      <c r="J19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2" t="n"/>
      <c r="L190" s="2" t="inlineStr">
        <is>
          <t>พ.ร.บ. ยา พ.ศ. 2510</t>
        </is>
      </c>
      <c r="M190" s="2" t="inlineStr">
        <is>
          <t>SAP</t>
        </is>
      </c>
      <c r="N190" s="2" t="inlineStr">
        <is>
          <t>ข้อ 6 (PLE_CC1_2556.md)</t>
        </is>
      </c>
      <c r="O190" s="2" t="inlineStr">
        <is>
          <t>ข้อสอบจริง</t>
        </is>
      </c>
      <c r="P190" s="2" t="inlineStr">
        <is>
          <t>ปี 2556</t>
        </is>
      </c>
    </row>
    <row r="191" ht="13.2" customHeight="1" s="49">
      <c r="A191" s="2" t="n">
        <v>189</v>
      </c>
      <c r="B191" s="2" t="inlineStr">
        <is>
          <t>กระบวนการใดในการควบคุมคุณภาพที่บ่งบอกถึงประสิทธิภาพในการรักษาของ warfarin</t>
        </is>
      </c>
      <c r="C191" s="2" t="n"/>
      <c r="D191" s="2" t="inlineStr">
        <is>
          <t>Friability</t>
        </is>
      </c>
      <c r="E191" s="2" t="inlineStr">
        <is>
          <t>Dissolution</t>
        </is>
      </c>
      <c r="F191" s="2" t="inlineStr">
        <is>
          <t>Disintegration</t>
        </is>
      </c>
      <c r="G191" s="2" t="inlineStr">
        <is>
          <t>Hardness</t>
        </is>
      </c>
      <c r="H191" s="2" t="inlineStr">
        <is>
          <t>Content uniformity</t>
        </is>
      </c>
      <c r="I191" s="2" t="n">
        <v>1</v>
      </c>
      <c r="J191" s="2"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2" t="n"/>
      <c r="L191" s="2" t="inlineStr">
        <is>
          <t>พ.ร.บ. ยา พ.ศ. 2510</t>
        </is>
      </c>
      <c r="M191" s="2" t="inlineStr">
        <is>
          <t>SAP</t>
        </is>
      </c>
      <c r="N191" s="2" t="inlineStr">
        <is>
          <t>ข้อ 3 (PLE_CC1_2555 Day 1.md)</t>
        </is>
      </c>
      <c r="O191" s="2" t="inlineStr">
        <is>
          <t>ข้อสอบจริง</t>
        </is>
      </c>
      <c r="P191" s="2" t="inlineStr">
        <is>
          <t>ปี 2555</t>
        </is>
      </c>
    </row>
    <row r="192" ht="13.2" customHeight="1" s="49">
      <c r="A192" s="2" t="n">
        <v>190</v>
      </c>
      <c r="B192" s="2" t="inlineStr">
        <is>
          <t>ยา warfarin ตรวจสอบแล้วพบว่าสถานที่ที่ระบุในฉลากไม่ใช่สถานที่ผลิตจริง ถือว่าเป็นยาประเภทใด ตามกฎหมาย</t>
        </is>
      </c>
      <c r="C192" s="2" t="n"/>
      <c r="D192" s="2" t="inlineStr">
        <is>
          <t>ยาเสื่อมคุณภาพ</t>
        </is>
      </c>
      <c r="E192" s="2" t="inlineStr">
        <is>
          <t>ยาผิดมาตรฐาน</t>
        </is>
      </c>
      <c r="F192" s="2" t="inlineStr">
        <is>
          <t>ยาปลอม</t>
        </is>
      </c>
      <c r="G192" s="2" t="inlineStr">
        <is>
          <t>ยาไม่ได้ขึ้นทะเบียนตำรับ</t>
        </is>
      </c>
      <c r="H192" s="2" t="inlineStr">
        <is>
          <t>ยาเพิกถอนทะเบียนตำรับ 2 3 4 คณะเภสัชศาสตร์</t>
        </is>
      </c>
      <c r="I192" s="2" t="n">
        <v>1</v>
      </c>
      <c r="J192" s="2"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2" t="n"/>
      <c r="L192" s="2" t="inlineStr">
        <is>
          <t>พ.ร.บ. ยา พ.ศ. 2510</t>
        </is>
      </c>
      <c r="M192" s="2" t="inlineStr">
        <is>
          <t>SAP</t>
        </is>
      </c>
      <c r="N192" s="2" t="inlineStr">
        <is>
          <t>ข้อ 10 (PLE_CC1_2555 Day 1.md)</t>
        </is>
      </c>
      <c r="O192" s="2" t="inlineStr">
        <is>
          <t>ข้อสอบจริง</t>
        </is>
      </c>
      <c r="P192" s="2" t="inlineStr">
        <is>
          <t>ปี 2555</t>
        </is>
      </c>
    </row>
    <row r="193" ht="13.2" customHeight="1" s="49">
      <c r="A193" s="2" t="n">
        <v>191</v>
      </c>
      <c r="B193" s="2" t="inlineStr">
        <is>
          <t>ยาเม็ด prednisolone 5 mg จัดเป็นยาประเภทใดตามกฎหมาย</t>
        </is>
      </c>
      <c r="C193" s="2" t="n"/>
      <c r="D193" s="2" t="inlineStr">
        <is>
          <t>ยาสามัญประจำบ้าน</t>
        </is>
      </c>
      <c r="E193" s="2" t="inlineStr">
        <is>
          <t>ยาแผนปัจจุบันบรรจุเสร็จที่ไม่ใช่ยาอันตรายและยาควบคุมพิเศษ</t>
        </is>
      </c>
      <c r="F193" s="2" t="inlineStr">
        <is>
          <t>ยาอันตราย</t>
        </is>
      </c>
      <c r="G193" s="2" t="inlineStr">
        <is>
          <t>ยาควบคุมพิเศษ</t>
        </is>
      </c>
      <c r="H193" s="2" t="inlineStr">
        <is>
          <t>ยาเสพติดให้โทษประเภทที่ 3 คณะเภสัชศาสตร์</t>
        </is>
      </c>
      <c r="I193" s="2" t="n">
        <v>1</v>
      </c>
      <c r="J193"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2" t="n"/>
      <c r="L193" s="2" t="inlineStr">
        <is>
          <t>พ.ร.บ. ยา พ.ศ. 2510</t>
        </is>
      </c>
      <c r="M193" s="2" t="inlineStr">
        <is>
          <t>SAP</t>
        </is>
      </c>
      <c r="N193" s="2" t="inlineStr">
        <is>
          <t>ข้อ 40 (PLE_CC1_2555 Day 1.md)</t>
        </is>
      </c>
      <c r="O193" s="2" t="inlineStr">
        <is>
          <t>ข้อสอบจริง</t>
        </is>
      </c>
      <c r="P193" s="2" t="inlineStr">
        <is>
          <t>ปี 2555</t>
        </is>
      </c>
    </row>
    <row r="194" ht="13.2" customHeight="1" s="49">
      <c r="A194" s="2" t="n">
        <v>192</v>
      </c>
      <c r="B194" s="2" t="inlineStr">
        <is>
          <t>ยาคุมกำเนิดแบบ triphasic จัดเป็นยาคุมกำเนิดประเภทใดตามกฎหมาย</t>
        </is>
      </c>
      <c r="C194" s="2" t="n"/>
      <c r="D194" s="2" t="inlineStr">
        <is>
          <t>ยาสามัญประจำบ้าน</t>
        </is>
      </c>
      <c r="E194" s="2" t="inlineStr">
        <is>
          <t>ยาแผนปัจจุบันบรรจุเสร็จที่ไม่ใช่ยาอันตรายและยาควบคุมพิเศษ</t>
        </is>
      </c>
      <c r="F194" s="2" t="inlineStr">
        <is>
          <t>ยาอันตราย</t>
        </is>
      </c>
      <c r="G194" s="2" t="inlineStr">
        <is>
          <t>ยาควบคุมพิเศษ</t>
        </is>
      </c>
      <c r="H194" s="2" t="inlineStr">
        <is>
          <t>ยาเสพติดให้โทษประเภทที่ 3</t>
        </is>
      </c>
      <c r="I194" s="2" t="n">
        <v>1</v>
      </c>
      <c r="J194" s="2"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2" t="n"/>
      <c r="L194" s="2" t="inlineStr">
        <is>
          <t>พ.ร.บ. ยา พ.ศ. 2510</t>
        </is>
      </c>
      <c r="M194" s="2" t="inlineStr">
        <is>
          <t>SAP</t>
        </is>
      </c>
      <c r="N194" s="2" t="inlineStr">
        <is>
          <t>ข้อ 78 (PLE_CC1_2555 Day 1.md)</t>
        </is>
      </c>
      <c r="O194" s="2" t="inlineStr">
        <is>
          <t>ข้อสอบจริง</t>
        </is>
      </c>
      <c r="P194" s="2" t="inlineStr">
        <is>
          <t>ปี 2555</t>
        </is>
      </c>
    </row>
    <row r="195" ht="13.2" customHeight="1" s="49">
      <c r="A195" s="2" t="n">
        <v>193</v>
      </c>
      <c r="B195"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2" t="n"/>
      <c r="D195" s="2" t="inlineStr">
        <is>
          <t>เกณฑ์จริยธรรมว่าด้วยการส่งเสริมการขายยาของกระทรวงสาธารณสุข</t>
        </is>
      </c>
      <c r="E195" s="2" t="inlineStr">
        <is>
          <t>พ.ร.บ. ยา พ.ศ. 2510 (การจำหน่ายยาอันตรายและยาควบคุมพิเศษ)</t>
        </is>
      </c>
      <c r="F195" s="2" t="inlineStr">
        <is>
          <t>พ.ร.บ. ยาเสพติดให้โทษ พ.ศ. 2522 (ยาเสพติดให้โทษประเภท 2 และ 3)</t>
        </is>
      </c>
      <c r="G195" s="2" t="inlineStr">
        <is>
          <t>พ.ร.บ. วัตถุที่ออกฤทธิ์ต่อจิตและประสาท พ.ศ. 2559 (ประเภท 2 และ 4)</t>
        </is>
      </c>
      <c r="H195" s="2" t="inlineStr">
        <is>
          <t>พ.ร.บ. วิชาชีพเภสัชกรรม พ.ศ. 2537 และข้อบังคับจรรยาบรรณวิชาชีพ</t>
        </is>
      </c>
      <c r="I195" s="2" t="n">
        <v>1</v>
      </c>
      <c r="J19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2" t="n"/>
      <c r="L195" s="2" t="inlineStr">
        <is>
          <t>พ.ร.บ. ยา พ.ศ. 2510</t>
        </is>
      </c>
      <c r="M195" s="2" t="inlineStr">
        <is>
          <t>SAP</t>
        </is>
      </c>
      <c r="N195" s="2" t="inlineStr">
        <is>
          <t>ข้อ 10 (PLE_CC1_2555 Day 2.md)</t>
        </is>
      </c>
      <c r="O195" s="2" t="inlineStr">
        <is>
          <t>ข้อสอบจริง</t>
        </is>
      </c>
      <c r="P195" s="2" t="inlineStr">
        <is>
          <t>ปี 2555</t>
        </is>
      </c>
    </row>
    <row r="196" ht="13.2" customHeight="1" s="49">
      <c r="A196" s="2" t="n">
        <v>194</v>
      </c>
      <c r="B196" s="2" t="inlineStr">
        <is>
          <t>ประสิทธิภาพการรักษา</t>
        </is>
      </c>
      <c r="C196" s="2" t="n"/>
      <c r="D196" s="2" t="inlineStr">
        <is>
          <t>พ.ร.บ. วัตถุที่ออกฤทธิ์ต่อจิตและประสาท พ.ศ. 2559 (ประเภท 2 และ 4)</t>
        </is>
      </c>
      <c r="E196" s="2" t="inlineStr">
        <is>
          <t>พ.ร.บ. วิชาชีพเภสัชกรรม พ.ศ. 2537 และข้อบังคับจรรยาบรรณวิชาชีพ</t>
        </is>
      </c>
      <c r="F196" s="2" t="inlineStr">
        <is>
          <t>พ.ร.บ. ผลิตภัณฑ์สมุนไพร พ.ศ. 2562</t>
        </is>
      </c>
      <c r="G196" s="2" t="inlineStr">
        <is>
          <t>พ.ร.บ. เครื่องสำอาง พ.ศ. 2558</t>
        </is>
      </c>
      <c r="H196" s="2" t="inlineStr">
        <is>
          <t>พ.ร.บ. หลักประกันสุขภาพแห่งชาติ พ.ศ. 2545</t>
        </is>
      </c>
      <c r="I196" s="2" t="n">
        <v>1</v>
      </c>
      <c r="J19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2" t="n"/>
      <c r="L196" s="2" t="inlineStr">
        <is>
          <t>พ.ร.บ. ยา พ.ศ. 2510</t>
        </is>
      </c>
      <c r="M196" s="2" t="inlineStr">
        <is>
          <t>SAP</t>
        </is>
      </c>
      <c r="N196" s="2" t="inlineStr">
        <is>
          <t>ข้อ 4 (PLE_CC1_2555 Day 2.md)</t>
        </is>
      </c>
      <c r="O196" s="2" t="inlineStr">
        <is>
          <t>ข้อสอบจริง</t>
        </is>
      </c>
      <c r="P196" s="2" t="inlineStr">
        <is>
          <t>ปี 2555</t>
        </is>
      </c>
    </row>
    <row r="197" ht="13.2" customHeight="1" s="49">
      <c r="A197" s="2" t="n">
        <v>195</v>
      </c>
      <c r="B197" s="2" t="inlineStr">
        <is>
          <t>Triphasic hormonal contraceptives จัดเป็นยาประเภทใดตามกฎหมาย</t>
        </is>
      </c>
      <c r="C197" s="2" t="n"/>
      <c r="D197" s="2" t="inlineStr">
        <is>
          <t>พ.ร.บ. เครื่องสำอาง พ.ศ. 2558</t>
        </is>
      </c>
      <c r="E197" s="2" t="inlineStr">
        <is>
          <t>พ.ร.บ. หลักประกันสุขภาพแห่งชาติ พ.ศ. 2545</t>
        </is>
      </c>
      <c r="F197" s="2" t="inlineStr">
        <is>
          <t>การปฏิบัติทางเภสัชกรรมชุมชน (Good Pharmacy Practice: GPP)</t>
        </is>
      </c>
      <c r="G197" s="2" t="inlineStr">
        <is>
          <t>บัญชียาหลักแห่งชาติ (National List of Essential Medicines: NLEM)</t>
        </is>
      </c>
      <c r="H197" s="2" t="inlineStr">
        <is>
          <t>เกณฑ์จริยธรรมว่าด้วยการส่งเสริมการขายยาของกระทรวงสาธารณสุข</t>
        </is>
      </c>
      <c r="I197" s="2" t="n">
        <v>1</v>
      </c>
      <c r="J19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2" t="n"/>
      <c r="L197" s="2" t="inlineStr">
        <is>
          <t>พ.ร.บ. ยา พ.ศ. 2510</t>
        </is>
      </c>
      <c r="M197" s="2" t="inlineStr">
        <is>
          <t>SAP</t>
        </is>
      </c>
      <c r="N197" s="2" t="inlineStr">
        <is>
          <t>ข้อ 6 (PLE_CC1_2555 Day 2.md)</t>
        </is>
      </c>
      <c r="O197" s="2" t="inlineStr">
        <is>
          <t>ข้อสอบจริง</t>
        </is>
      </c>
      <c r="P197" s="2" t="inlineStr">
        <is>
          <t>ปี 2555</t>
        </is>
      </c>
    </row>
    <row r="198" ht="13.2" customHeight="1" s="49">
      <c r="A198" s="2" t="n">
        <v>196</v>
      </c>
      <c r="B198" s="2"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2" t="n"/>
      <c r="D198" s="2" t="inlineStr">
        <is>
          <t>บัญชียาหลักแห่งชาติ (National List of Essential Medicines: NLEM)</t>
        </is>
      </c>
      <c r="E198" s="2" t="inlineStr">
        <is>
          <t>เกณฑ์จริยธรรมว่าด้วยการส่งเสริมการขายยาของกระทรวงสาธารณสุข</t>
        </is>
      </c>
      <c r="F198" s="2" t="inlineStr">
        <is>
          <t>พ.ร.บ. ยา พ.ศ. 2510 (การจำหน่ายยาอันตรายและยาควบคุมพิเศษ)</t>
        </is>
      </c>
      <c r="G198" s="2" t="inlineStr">
        <is>
          <t>พ.ร.บ. ยาเสพติดให้โทษ พ.ศ. 2522 (ยาเสพติดให้โทษประเภท 2 และ 3)</t>
        </is>
      </c>
      <c r="H198" s="2" t="inlineStr">
        <is>
          <t>พ.ร.บ. วัตถุที่ออกฤทธิ์ต่อจิตและประสาท พ.ศ. 2559 (ประเภท 2 และ 4)</t>
        </is>
      </c>
      <c r="I198" s="2" t="n">
        <v>1</v>
      </c>
      <c r="J19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2" t="n"/>
      <c r="L198" s="2" t="inlineStr">
        <is>
          <t>พ.ร.บ. ยา พ.ศ. 2510</t>
        </is>
      </c>
      <c r="M198" s="2" t="inlineStr">
        <is>
          <t>SAP</t>
        </is>
      </c>
      <c r="N198" s="2" t="inlineStr">
        <is>
          <t>ข้อ 1 (PLE_CC1_2555 Day 2.md)</t>
        </is>
      </c>
      <c r="O198" s="2" t="inlineStr">
        <is>
          <t>ข้อสอบจริง</t>
        </is>
      </c>
      <c r="P198" s="2" t="inlineStr">
        <is>
          <t>ปี 2555</t>
        </is>
      </c>
    </row>
    <row r="199" ht="13.2" customHeight="1" s="49">
      <c r="A199" s="2" t="n">
        <v>197</v>
      </c>
      <c r="B199" s="2" t="inlineStr">
        <is>
          <t>การใช้ racemic mixture มีประสิทธิผลดีสุด</t>
        </is>
      </c>
      <c r="C199" s="2" t="n"/>
      <c r="D199" s="2" t="inlineStr">
        <is>
          <t>พ.ร.บ. ยาเสพติดให้โทษ พ.ศ. 2522 (ยาเสพติดให้โทษประเภท 2 และ 3)</t>
        </is>
      </c>
      <c r="E199" s="2" t="inlineStr">
        <is>
          <t>พ.ร.บ. วัตถุที่ออกฤทธิ์ต่อจิตและประสาท พ.ศ. 2559 (ประเภท 2 และ 4)</t>
        </is>
      </c>
      <c r="F199" s="2" t="inlineStr">
        <is>
          <t>พ.ร.บ. วิชาชีพเภสัชกรรม พ.ศ. 2537 และข้อบังคับจรรยาบรรณวิชาชีพ</t>
        </is>
      </c>
      <c r="G199" s="2" t="inlineStr">
        <is>
          <t>พ.ร.บ. ผลิตภัณฑ์สมุนไพร พ.ศ. 2562</t>
        </is>
      </c>
      <c r="H199" s="2" t="inlineStr">
        <is>
          <t>พ.ร.บ. เครื่องสำอาง พ.ศ. 2558</t>
        </is>
      </c>
      <c r="I199" s="2" t="n">
        <v>1</v>
      </c>
      <c r="J19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2" t="n"/>
      <c r="L199" s="2" t="inlineStr">
        <is>
          <t>พ.ร.บ. ยา พ.ศ. 2510</t>
        </is>
      </c>
      <c r="M199" s="2" t="inlineStr">
        <is>
          <t>SAP</t>
        </is>
      </c>
      <c r="N199" s="2" t="inlineStr">
        <is>
          <t>ข้อ 3 (PLE_CC1_2555 Day 2.md)</t>
        </is>
      </c>
      <c r="O199" s="2" t="inlineStr">
        <is>
          <t>ข้อสอบจริง</t>
        </is>
      </c>
      <c r="P199" s="2" t="inlineStr">
        <is>
          <t>ปี 2555</t>
        </is>
      </c>
    </row>
    <row r="200" ht="13.2" customHeight="1" s="49">
      <c r="A200" s="2" t="n">
        <v>198</v>
      </c>
      <c r="B200" s="2" t="inlineStr">
        <is>
          <t>metrothexate จัดเป็นยาประเภทใดตามกฎหมาย</t>
        </is>
      </c>
      <c r="C200" s="2" t="n"/>
      <c r="D200" s="2" t="inlineStr">
        <is>
          <t>ยาอันตราย</t>
        </is>
      </c>
      <c r="E200" s="2" t="inlineStr">
        <is>
          <t>ยาควบคุมพิเศษ</t>
        </is>
      </c>
      <c r="F200" s="2" t="inlineStr">
        <is>
          <t>ยาสามัญประจำบ้าน</t>
        </is>
      </c>
      <c r="G200" s="2" t="inlineStr">
        <is>
          <t>ยาเสพติดให้โทษ ประเภทที่ 3</t>
        </is>
      </c>
      <c r="H200" s="2"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200" s="2" t="n">
        <v>1</v>
      </c>
      <c r="J20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2" t="n"/>
      <c r="L200" s="2" t="inlineStr">
        <is>
          <t>พ.ร.บ. ยา พ.ศ. 2510</t>
        </is>
      </c>
      <c r="M200" s="2" t="inlineStr">
        <is>
          <t>SAP</t>
        </is>
      </c>
      <c r="N200" s="2" t="inlineStr">
        <is>
          <t>ข้อ 110 (PLE_CC1_2554 SET1.md)</t>
        </is>
      </c>
      <c r="O200" s="2" t="inlineStr">
        <is>
          <t>ข้อสอบจริง</t>
        </is>
      </c>
      <c r="P200" s="2" t="inlineStr">
        <is>
          <t>ปี 2554</t>
        </is>
      </c>
    </row>
    <row r="201" ht="13.2" customHeight="1" s="49">
      <c r="A201" s="2" t="n">
        <v>199</v>
      </c>
      <c r="B201" s="2"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2" t="n"/>
      <c r="D201" s="2" t="inlineStr">
        <is>
          <t>การปฏิบัติทางเภสัชกรรมชุมชน (Good Pharmacy Practice: GPP)</t>
        </is>
      </c>
      <c r="E201" s="2" t="inlineStr">
        <is>
          <t>บัญชียาหลักแห่งชาติ (National List of Essential Medicines: NLEM)</t>
        </is>
      </c>
      <c r="F201" s="2" t="inlineStr">
        <is>
          <t>เกณฑ์จริยธรรมว่าด้วยการส่งเสริมการขายยาของกระทรวงสาธารณสุข</t>
        </is>
      </c>
      <c r="G201" s="2" t="inlineStr">
        <is>
          <t>พ.ร.บ. ยา พ.ศ. 2510 (การจำหน่ายยาอันตรายและยาควบคุมพิเศษ)</t>
        </is>
      </c>
      <c r="H201" s="2" t="inlineStr">
        <is>
          <t>พ.ร.บ. ยาเสพติดให้โทษ พ.ศ. 2522 (ยาเสพติดให้โทษประเภท 2 และ 3)</t>
        </is>
      </c>
      <c r="I201" s="2" t="n">
        <v>5</v>
      </c>
      <c r="J20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2" t="n"/>
      <c r="L201" s="2" t="inlineStr">
        <is>
          <t>พ.ร.บ. ยา พ.ศ. 2510</t>
        </is>
      </c>
      <c r="M201" s="2" t="inlineStr">
        <is>
          <t>SAP</t>
        </is>
      </c>
      <c r="N201" s="2" t="inlineStr">
        <is>
          <t>ข้อ 4 (PLE_CC1_2554 SET2.md)</t>
        </is>
      </c>
      <c r="O201" s="2" t="inlineStr">
        <is>
          <t>ข้อสอบจริง</t>
        </is>
      </c>
      <c r="P201" s="2" t="inlineStr">
        <is>
          <t>ปี 2554</t>
        </is>
      </c>
    </row>
    <row r="202" ht="13.2" customHeight="1" s="49">
      <c r="A202" s="2" t="n">
        <v>200</v>
      </c>
      <c r="B202" s="2" t="inlineStr">
        <is>
          <t>ควรให้ยาอะไรกับ 5-FU เพื่อเพิ่มฤทธิ์ของ 5-FU ให้มีประสิทธิภาพดีขึ้น</t>
        </is>
      </c>
      <c r="C202" s="2" t="n"/>
      <c r="D202" s="2" t="inlineStr">
        <is>
          <t>Leucovorin</t>
        </is>
      </c>
      <c r="E202" s="2" t="inlineStr">
        <is>
          <t>Ifosfamide</t>
        </is>
      </c>
      <c r="F202" s="2" t="inlineStr">
        <is>
          <t>Cisplatin</t>
        </is>
      </c>
      <c r="G202" s="2" t="inlineStr">
        <is>
          <t>Docetaxel</t>
        </is>
      </c>
      <c r="H202" s="2" t="inlineStr">
        <is>
          <t>Bleomycin จะยับยั้งการแบ่งเซลล์ของเซลล์มะเร็งทำให้ไม่มีการเพิ่มขึ้นของเซลล์มะเร็งและทำให้ก้อนมะเร็งลดลง</t>
        </is>
      </c>
      <c r="I202" s="2" t="n">
        <v>1</v>
      </c>
      <c r="J202" s="2"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2" t="n"/>
      <c r="L202" s="2" t="inlineStr">
        <is>
          <t>พ.ร.บ. ยา พ.ศ. 2510</t>
        </is>
      </c>
      <c r="M202" s="2" t="inlineStr">
        <is>
          <t>SAP</t>
        </is>
      </c>
      <c r="N202" s="2" t="inlineStr">
        <is>
          <t>ข้อ 6 (PLE_CC1_2554 SET2.md)</t>
        </is>
      </c>
      <c r="O202" s="2" t="inlineStr">
        <is>
          <t>ข้อสอบจริง</t>
        </is>
      </c>
      <c r="P202" s="2" t="inlineStr">
        <is>
          <t>ปี 2554</t>
        </is>
      </c>
    </row>
    <row r="203" ht="13.2" customHeight="1" s="49">
      <c r="A203" s="2" t="n">
        <v>201</v>
      </c>
      <c r="B203" s="2"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2" t="n"/>
      <c r="D203" s="2" t="inlineStr">
        <is>
          <t>มีการผสมตัวยา ciprofloxacin ด้วย</t>
        </is>
      </c>
      <c r="E203" s="2" t="inlineStr">
        <is>
          <t>ตรวจพบปริมาณ norfloxacinเพียง 70% เท่านั้น</t>
        </is>
      </c>
      <c r="F203" s="2" t="inlineStr">
        <is>
          <t>ที่ฉลากระบุว่าเป็นยา ofloxacin</t>
        </is>
      </c>
      <c r="G203" s="2" t="inlineStr">
        <is>
          <t>ที่ฉลากแสดงเครื่องหมายของผู้ผลิตซึ่งมิใช่ความจริง</t>
        </is>
      </c>
      <c r="H203" s="2"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203" s="2" t="n">
        <v>1</v>
      </c>
      <c r="J203" s="2"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2" t="n"/>
      <c r="L203" s="2" t="inlineStr">
        <is>
          <t>พ.ร.บ. ยา พ.ศ. 2510</t>
        </is>
      </c>
      <c r="M203" s="2" t="inlineStr">
        <is>
          <t>SAP</t>
        </is>
      </c>
      <c r="N203" s="2" t="inlineStr">
        <is>
          <t>ข้อ 2 (PLE_CC1_2554 SET2.md)</t>
        </is>
      </c>
      <c r="O203" s="2" t="inlineStr">
        <is>
          <t>ข้อสอบจริง</t>
        </is>
      </c>
      <c r="P203" s="2" t="inlineStr">
        <is>
          <t>ปี 2554</t>
        </is>
      </c>
    </row>
    <row r="204" ht="13.2" customHeight="1" s="49">
      <c r="A204" s="2" t="n">
        <v>202</v>
      </c>
      <c r="B204" s="2"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2" t="n"/>
      <c r="D204" s="2" t="inlineStr">
        <is>
          <t>simvastatinกับ niacin</t>
        </is>
      </c>
      <c r="E204" s="2" t="inlineStr">
        <is>
          <t>atorvastatinกับgemfibrozil</t>
        </is>
      </c>
      <c r="F204" s="2" t="inlineStr">
        <is>
          <t>niacinกับgemfibrozil</t>
        </is>
      </c>
      <c r="G204" s="2" t="inlineStr">
        <is>
          <t>simvastatinกับezetimibe</t>
        </is>
      </c>
      <c r="H204" s="2" t="inlineStr">
        <is>
          <t>simvastatinกับfenofibrate</t>
        </is>
      </c>
      <c r="I204" s="2" t="n">
        <v>1</v>
      </c>
      <c r="J204" s="2"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2" t="n"/>
      <c r="L204" s="2" t="inlineStr">
        <is>
          <t>พ.ร.บ. ยา พ.ศ. 2510</t>
        </is>
      </c>
      <c r="M204" s="2" t="inlineStr">
        <is>
          <t>SAP</t>
        </is>
      </c>
      <c r="N204" s="2" t="inlineStr">
        <is>
          <t>ข้อ 3 (PLE_CC1_2554 SET2.md)</t>
        </is>
      </c>
      <c r="O204" s="2" t="inlineStr">
        <is>
          <t>ข้อสอบจริง</t>
        </is>
      </c>
      <c r="P204" s="2" t="inlineStr">
        <is>
          <t>ปี 2554</t>
        </is>
      </c>
    </row>
    <row r="205" ht="13.2" customHeight="1" s="49">
      <c r="A205" s="2" t="n">
        <v>203</v>
      </c>
      <c r="B205" s="2" t="inlineStr">
        <is>
          <t>alcohol 70% ขนาด 30 มิลลิลิตร จัดเป็นยาใดในกฎหมาย</t>
        </is>
      </c>
      <c r="C205" s="2" t="n"/>
      <c r="D205" s="2" t="inlineStr">
        <is>
          <t>ยาสามัญประจำบ้าน ข . ยาอันตราย ค . ยาควบคุมพิเศษ</t>
        </is>
      </c>
      <c r="E205" s="2" t="inlineStr">
        <is>
          <t>วัตถุออกฤทธิ์ต่อจิตและประสาท</t>
        </is>
      </c>
      <c r="F205" s="2"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2" t="inlineStr">
        <is>
          <t>กล่องเสียงอักเสบ</t>
        </is>
      </c>
      <c r="H205" s="2" t="inlineStr">
        <is>
          <t>คอพอก</t>
        </is>
      </c>
      <c r="I205" s="2" t="n">
        <v>1</v>
      </c>
      <c r="J205" s="2"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2" t="n"/>
      <c r="L205" s="2" t="inlineStr">
        <is>
          <t>พ.ร.บ. ยา พ.ศ. 2510</t>
        </is>
      </c>
      <c r="M205" s="2" t="inlineStr">
        <is>
          <t>SAP</t>
        </is>
      </c>
      <c r="N205" s="2" t="inlineStr">
        <is>
          <t>ข้อ 30 (PLE_CC1_2554 SET2.md)</t>
        </is>
      </c>
      <c r="O205" s="2" t="inlineStr">
        <is>
          <t>ข้อสอบจริง</t>
        </is>
      </c>
      <c r="P205" s="2" t="inlineStr">
        <is>
          <t>ปี 2554</t>
        </is>
      </c>
    </row>
    <row r="206" ht="13.2" customHeight="1" s="49">
      <c r="A206" s="2" t="n">
        <v>204</v>
      </c>
      <c r="B206" s="2"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2" t="n"/>
      <c r="D206" s="2" t="inlineStr">
        <is>
          <t>พ.ร.บ. วัตถุที่ออกฤทธิ์ต่อจิตและประสาท พ.ศ. 2559 (ประเภท 2 และ 4)</t>
        </is>
      </c>
      <c r="E206" s="2" t="inlineStr">
        <is>
          <t>พ.ร.บ. วิชาชีพเภสัชกรรม พ.ศ. 2537 และข้อบังคับจรรยาบรรณวิชาชีพ</t>
        </is>
      </c>
      <c r="F206" s="2" t="inlineStr">
        <is>
          <t>พ.ร.บ. ผลิตภัณฑ์สมุนไพร พ.ศ. 2562</t>
        </is>
      </c>
      <c r="G206" s="2" t="inlineStr">
        <is>
          <t>พ.ร.บ. เครื่องสำอาง พ.ศ. 2558</t>
        </is>
      </c>
      <c r="H206" s="2" t="inlineStr">
        <is>
          <t>พ.ร.บ. หลักประกันสุขภาพแห่งชาติ พ.ศ. 2545</t>
        </is>
      </c>
      <c r="I206" s="2" t="n">
        <v>1</v>
      </c>
      <c r="J20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2" t="n"/>
      <c r="L206" s="2" t="inlineStr">
        <is>
          <t>พ.ร.บ. ผลิตภัณฑ์สมุนไพร &amp; เครื่องสำอาง</t>
        </is>
      </c>
      <c r="M206" s="2" t="inlineStr">
        <is>
          <t>SAP</t>
        </is>
      </c>
      <c r="N206" s="2" t="inlineStr">
        <is>
          <t>ข้อ 10 (PLE_CC1_2533.md)</t>
        </is>
      </c>
      <c r="O206" s="2" t="inlineStr">
        <is>
          <t>ข้อสอบจริง</t>
        </is>
      </c>
      <c r="P206" s="2" t="inlineStr">
        <is>
          <t>ปี 2533</t>
        </is>
      </c>
    </row>
    <row r="207" ht="13.2" customHeight="1" s="49">
      <c r="A207" s="2" t="n">
        <v>205</v>
      </c>
      <c r="B207" s="2"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207" s="2" t="n"/>
      <c r="D207" s="2" t="inlineStr">
        <is>
          <t>พ.ร.บ. เครื่องสำอาง พ.ศ. 2558</t>
        </is>
      </c>
      <c r="E207" s="2" t="inlineStr">
        <is>
          <t>พ.ร.บ. หลักประกันสุขภาพแห่งชาติ พ.ศ. 2545</t>
        </is>
      </c>
      <c r="F207" s="2" t="inlineStr">
        <is>
          <t>การปฏิบัติทางเภสัชกรรมชุมชน (Good Pharmacy Practice: GPP)</t>
        </is>
      </c>
      <c r="G207" s="2" t="inlineStr">
        <is>
          <t>บัญชียาหลักแห่งชาติ (National List of Essential Medicines: NLEM)</t>
        </is>
      </c>
      <c r="H207" s="2" t="inlineStr">
        <is>
          <t>เกณฑ์จริยธรรมว่าด้วยการส่งเสริมการขายยาของกระทรวงสาธารณสุข</t>
        </is>
      </c>
      <c r="I207" s="2" t="n">
        <v>1</v>
      </c>
      <c r="J20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2" t="n"/>
      <c r="L207" s="2" t="inlineStr">
        <is>
          <t>พ.ร.บ. ยา พ.ศ. 2510</t>
        </is>
      </c>
      <c r="M207" s="2" t="inlineStr">
        <is>
          <t>SAP</t>
        </is>
      </c>
      <c r="N207" s="2" t="inlineStr">
        <is>
          <t>ข้อ 3 (PLE_CC1_Practice_Exam.md)</t>
        </is>
      </c>
      <c r="O207" s="2" t="inlineStr">
        <is>
          <t>Mock</t>
        </is>
      </c>
      <c r="P207" s="2" t="inlineStr">
        <is>
          <t>Mock สภาเภสัชฯ Practice</t>
        </is>
      </c>
    </row>
    <row r="208" ht="13.2" customHeight="1" s="49">
      <c r="A208" s="2" t="n">
        <v>206</v>
      </c>
      <c r="B208" s="2"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2" t="n"/>
      <c r="D208" s="2" t="inlineStr">
        <is>
          <t>หากเป็นสิวระดับ mild สามารถใช้ topical retinoid ในการรักษาเพียงตัวเดียวได้</t>
        </is>
      </c>
      <c r="E208" s="2" t="inlineStr">
        <is>
          <t>หากเป็นสิวระดับ mild สามารถใช้ benzoyl peroxide ในการรักษาเพียงตัวเดียวได้</t>
        </is>
      </c>
      <c r="F208" s="2" t="inlineStr">
        <is>
          <t>Oral isotretinoid ใช้สำหรับ Severe acne เท่านั้นและห้ามใช้ในหญิงตั้งครรภ์</t>
        </is>
      </c>
      <c r="G208" s="2"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2"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t>
        </is>
      </c>
      <c r="I208" s="2" t="n">
        <v>1</v>
      </c>
      <c r="J208" s="2"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2" t="n"/>
      <c r="L208" s="2" t="inlineStr">
        <is>
          <t>พ.ร.บ. ยา พ.ศ. 2510</t>
        </is>
      </c>
      <c r="M208" s="2" t="inlineStr">
        <is>
          <t>SAP</t>
        </is>
      </c>
      <c r="N208" s="2" t="inlineStr">
        <is>
          <t>ข้อ 5 (PLE_CC1_Practice_Exam.md)</t>
        </is>
      </c>
      <c r="O208" s="2" t="inlineStr">
        <is>
          <t>Mock</t>
        </is>
      </c>
      <c r="P208" s="2" t="inlineStr">
        <is>
          <t>Mock สภาเภสัชฯ Practice</t>
        </is>
      </c>
    </row>
    <row r="209" ht="13.2" customHeight="1" s="49">
      <c r="A209" s="2" t="n">
        <v>207</v>
      </c>
      <c r="B209" s="2" t="inlineStr">
        <is>
          <t>ยาตัวไหนที่มีประสิทธิภาพในการรักษา anxiety ประเภท obsessive-compulsive disorder (OCD)</t>
        </is>
      </c>
      <c r="C209" s="2" t="n"/>
      <c r="D209" s="2" t="inlineStr">
        <is>
          <t>พ.ร.บ. ยาเสพติดให้โทษ พ.ศ. 2522 (ยาเสพติดให้โทษประเภท 2 และ 3)</t>
        </is>
      </c>
      <c r="E209" s="2" t="inlineStr">
        <is>
          <t>พ.ร.บ. วัตถุที่ออกฤทธิ์ต่อจิตและประสาท พ.ศ. 2559 (ประเภท 2 และ 4)</t>
        </is>
      </c>
      <c r="F209" s="2" t="inlineStr">
        <is>
          <t>พ.ร.บ. วิชาชีพเภสัชกรรม พ.ศ. 2537 และข้อบังคับจรรยาบรรณวิชาชีพ</t>
        </is>
      </c>
      <c r="G209" s="2" t="inlineStr">
        <is>
          <t>พ.ร.บ. ผลิตภัณฑ์สมุนไพร พ.ศ. 2562</t>
        </is>
      </c>
      <c r="H209" s="2" t="inlineStr">
        <is>
          <t>พ.ร.บ. เครื่องสำอาง พ.ศ. 2558</t>
        </is>
      </c>
      <c r="I209" s="2" t="n">
        <v>1</v>
      </c>
      <c r="J20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2" t="n"/>
      <c r="L209" s="2" t="inlineStr">
        <is>
          <t>พ.ร.บ. ยา พ.ศ. 2510</t>
        </is>
      </c>
      <c r="M209" s="2" t="inlineStr">
        <is>
          <t>SAP</t>
        </is>
      </c>
      <c r="N209" s="2" t="inlineStr">
        <is>
          <t>ข้อ 30 (PLE_CC1_Practice_Exam.md)</t>
        </is>
      </c>
      <c r="O209" s="2" t="inlineStr">
        <is>
          <t>Mock</t>
        </is>
      </c>
      <c r="P209" s="2" t="inlineStr">
        <is>
          <t>Mock สภาเภสัชฯ Practice</t>
        </is>
      </c>
    </row>
    <row r="210" ht="13.2" customHeight="1" s="49">
      <c r="A210" s="2" t="n">
        <v>208</v>
      </c>
      <c r="B210" s="2" t="inlineStr">
        <is>
          <t>Bupropion</t>
        </is>
      </c>
      <c r="C210" s="2" t="n"/>
      <c r="D210" s="2" t="inlineStr">
        <is>
          <t>พ.ร.บ. ผลิตภัณฑ์สมุนไพร พ.ศ. 2562</t>
        </is>
      </c>
      <c r="E210" s="2" t="inlineStr">
        <is>
          <t>พ.ร.บ. เครื่องสำอาง พ.ศ. 2558</t>
        </is>
      </c>
      <c r="F210" s="2" t="inlineStr">
        <is>
          <t>พ.ร.บ. หลักประกันสุขภาพแห่งชาติ พ.ศ. 2545</t>
        </is>
      </c>
      <c r="G210" s="2" t="inlineStr">
        <is>
          <t>การปฏิบัติทางเภสัชกรรมชุมชน (Good Pharmacy Practice: GPP)</t>
        </is>
      </c>
      <c r="H210" s="2" t="inlineStr">
        <is>
          <t>บัญชียาหลักแห่งชาติ (National List of Essential Medicines: NLEM)</t>
        </is>
      </c>
      <c r="I210" s="2" t="n">
        <v>3</v>
      </c>
      <c r="J210" s="2"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2" t="n"/>
      <c r="L210" s="2" t="inlineStr">
        <is>
          <t>พ.ร.บ. ยาเสพติดให้โทษ &amp; วัตถุออกฤทธิ์</t>
        </is>
      </c>
      <c r="M210" s="2" t="inlineStr">
        <is>
          <t>SAP</t>
        </is>
      </c>
      <c r="N210" s="2" t="inlineStr">
        <is>
          <t>ข้อ 5 (PLE_CC1_Practice_Exam.md)</t>
        </is>
      </c>
      <c r="O210" s="2" t="inlineStr">
        <is>
          <t>Mock</t>
        </is>
      </c>
      <c r="P210" s="2" t="inlineStr">
        <is>
          <t>Mock สภาเภสัชฯ Practice</t>
        </is>
      </c>
    </row>
    <row r="211" ht="13.2" customHeight="1" s="49">
      <c r="A211" s="2" t="n">
        <v>209</v>
      </c>
      <c r="B211" s="2"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211" s="2" t="n"/>
      <c r="D211" s="2" t="inlineStr">
        <is>
          <t>การปฏิบัติทางเภสัชกรรมชุมชน (Good Pharmacy Practice: GPP)</t>
        </is>
      </c>
      <c r="E211" s="2" t="inlineStr">
        <is>
          <t>บัญชียาหลักแห่งชาติ (National List of Essential Medicines: NLEM)</t>
        </is>
      </c>
      <c r="F211" s="2" t="inlineStr">
        <is>
          <t>เกณฑ์จริยธรรมว่าด้วยการส่งเสริมการขายยาของกระทรวงสาธารณสุข</t>
        </is>
      </c>
      <c r="G211" s="2" t="inlineStr">
        <is>
          <t>พ.ร.บ. ยา พ.ศ. 2510 (การจำหน่ายยาอันตรายและยาควบคุมพิเศษ)</t>
        </is>
      </c>
      <c r="H211" s="2" t="inlineStr">
        <is>
          <t>พ.ร.บ. ยาเสพติดให้โทษ พ.ศ. 2522 (ยาเสพติดให้โทษประเภท 2 และ 3)</t>
        </is>
      </c>
      <c r="I211" s="2" t="n">
        <v>1</v>
      </c>
      <c r="J21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2" t="n"/>
      <c r="L211" s="2" t="inlineStr">
        <is>
          <t>พ.ร.บ. ยา พ.ศ. 2510</t>
        </is>
      </c>
      <c r="M211" s="2" t="inlineStr">
        <is>
          <t>SAP</t>
        </is>
      </c>
      <c r="N211" s="2" t="inlineStr">
        <is>
          <t>ข้อ 5 (PLE_CC1_Practice_Exam.md)</t>
        </is>
      </c>
      <c r="O211" s="2" t="inlineStr">
        <is>
          <t>Mock</t>
        </is>
      </c>
      <c r="P211" s="2" t="inlineStr">
        <is>
          <t>Mock สภาเภสัชฯ Practice</t>
        </is>
      </c>
    </row>
    <row r="212" ht="13.2" customHeight="1" s="49">
      <c r="A212" s="2" t="n">
        <v>210</v>
      </c>
      <c r="B212" s="2"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212" s="2" t="n"/>
      <c r="D212" s="2" t="inlineStr">
        <is>
          <t>พ.ร.บ. ยา พ.ศ. 2510 (การจำหน่ายยาอันตรายและยาควบคุมพิเศษ)</t>
        </is>
      </c>
      <c r="E212" s="2" t="inlineStr">
        <is>
          <t>พ.ร.บ. ยาเสพติดให้โทษ พ.ศ. 2522 (ยาเสพติดให้โทษประเภท 2 และ 3)</t>
        </is>
      </c>
      <c r="F212" s="2" t="inlineStr">
        <is>
          <t>พ.ร.บ. วัตถุที่ออกฤทธิ์ต่อจิตและประสาท พ.ศ. 2559 (ประเภท 2 และ 4)</t>
        </is>
      </c>
      <c r="G212" s="2" t="inlineStr">
        <is>
          <t>พ.ร.บ. วิชาชีพเภสัชกรรม พ.ศ. 2537 และข้อบังคับจรรยาบรรณวิชาชีพ</t>
        </is>
      </c>
      <c r="H212" s="2" t="inlineStr">
        <is>
          <t>พ.ร.บ. ผลิตภัณฑ์สมุนไพร พ.ศ. 2562</t>
        </is>
      </c>
      <c r="I212" s="2" t="n">
        <v>2</v>
      </c>
      <c r="J212" s="2"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2" t="n"/>
      <c r="L212" s="2" t="inlineStr">
        <is>
          <t>พ.ร.บ. ยา พ.ศ. 2510</t>
        </is>
      </c>
      <c r="M212" s="2" t="inlineStr">
        <is>
          <t>SAP</t>
        </is>
      </c>
      <c r="N212" s="2" t="inlineStr">
        <is>
          <t>ข้อ 29 (PLE_CC1_Practice_Exam.md)</t>
        </is>
      </c>
      <c r="O212" s="2" t="inlineStr">
        <is>
          <t>Mock</t>
        </is>
      </c>
      <c r="P212" s="2" t="inlineStr">
        <is>
          <t>Mock สภาเภสัชฯ Practice</t>
        </is>
      </c>
    </row>
    <row r="213" ht="13.2" customHeight="1" s="49">
      <c r="A213" s="2" t="n">
        <v>211</v>
      </c>
      <c r="B213" s="2"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2" t="n"/>
      <c r="D213" s="2"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2" t="inlineStr">
        <is>
          <t>การทดสอบประสิทธิภาพสารกันเสียในตำรับยาน้ำแขวนตะกอน ibuprofenในหัวข้อ Yeast and molds ผ่านการทดสอบ</t>
        </is>
      </c>
      <c r="F213" s="2" t="inlineStr">
        <is>
          <t>การทดสอบประสิทธิภาพสารกันเสียในตำรับยาน้ำแขวนตะกอน ibuprofenในหัวข้อ Yeast and molds ไม่ผ่านการทดสอบ</t>
        </is>
      </c>
      <c r="G213" s="2" t="inlineStr">
        <is>
          <t>ข้อ 1 และ 4 ถูก</t>
        </is>
      </c>
      <c r="H213" s="2" t="inlineStr">
        <is>
          <t>ข้อ 1 และ 5 ถูก</t>
        </is>
      </c>
      <c r="I213" s="2" t="n">
        <v>1</v>
      </c>
      <c r="J213" s="2"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2" t="n"/>
      <c r="L213" s="2" t="inlineStr">
        <is>
          <t>พ.ร.บ. ยา พ.ศ. 2510</t>
        </is>
      </c>
      <c r="M213" s="2" t="inlineStr">
        <is>
          <t>SAP</t>
        </is>
      </c>
      <c r="N213" s="2" t="inlineStr">
        <is>
          <t>ข้อ 2 (PLE_CC1_Practice_Exam.md)</t>
        </is>
      </c>
      <c r="O213" s="2" t="inlineStr">
        <is>
          <t>Mock</t>
        </is>
      </c>
      <c r="P213" s="2" t="inlineStr">
        <is>
          <t>Mock สภาเภสัชฯ Practice</t>
        </is>
      </c>
    </row>
    <row r="214" ht="13.2" customHeight="1" s="49">
      <c r="A214" s="2" t="n">
        <v>212</v>
      </c>
      <c r="B214" s="2" t="inlineStr">
        <is>
          <t>ข้อใดคือเลขสัมประสิทธิ์ของ Br- ของสมการรีดอกซ์ต่อไปนี้ เมื่อได้รับการดุลแล้ว MnO4- + Br- _x0000_ Mn2+ + Br2 (ในสารละลายกรด)</t>
        </is>
      </c>
      <c r="C214" s="2" t="n"/>
      <c r="D214" s="2" t="inlineStr">
        <is>
          <t>พ.ร.บ. หลักประกันสุขภาพแห่งชาติ พ.ศ. 2545</t>
        </is>
      </c>
      <c r="E214" s="2" t="inlineStr">
        <is>
          <t>การปฏิบัติทางเภสัชกรรมชุมชน (Good Pharmacy Practice: GPP)</t>
        </is>
      </c>
      <c r="F214" s="2" t="inlineStr">
        <is>
          <t>บัญชียาหลักแห่งชาติ (National List of Essential Medicines: NLEM)</t>
        </is>
      </c>
      <c r="G214" s="2" t="inlineStr">
        <is>
          <t>เกณฑ์จริยธรรมว่าด้วยการส่งเสริมการขายยาของกระทรวงสาธารณสุข</t>
        </is>
      </c>
      <c r="H214" s="2" t="n">
        <v>10</v>
      </c>
      <c r="I214" s="2" t="n">
        <v>1</v>
      </c>
      <c r="J21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2" t="n"/>
      <c r="L214" s="2" t="inlineStr">
        <is>
          <t>พ.ร.บ. ยา พ.ศ. 2510</t>
        </is>
      </c>
      <c r="M214" s="2" t="inlineStr">
        <is>
          <t>SAP</t>
        </is>
      </c>
      <c r="N214" s="2" t="inlineStr">
        <is>
          <t>ข้อ 4 (PLE_CC1_Practice_Exam.md)</t>
        </is>
      </c>
      <c r="O214" s="2" t="inlineStr">
        <is>
          <t>Mock</t>
        </is>
      </c>
      <c r="P214" s="2" t="inlineStr">
        <is>
          <t>Mock สภาเภสัชฯ Practice</t>
        </is>
      </c>
    </row>
    <row r="215" ht="13.2" customHeight="1" s="49">
      <c r="A215" s="2" t="n">
        <v>213</v>
      </c>
      <c r="B215" s="2"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2" t="n"/>
      <c r="D215" s="2" t="inlineStr">
        <is>
          <t>ปลัดกระทรวงสาธารณสุข ข. คณะกรรมการยา</t>
        </is>
      </c>
      <c r="E215" s="2" t="inlineStr">
        <is>
          <t>เลขาธิการคณะกรรมการอาหารและยา ง. ประธานคณะกรรมการยา 369 นิติเภสัชกรรม</t>
        </is>
      </c>
      <c r="F215" s="2" t="inlineStr">
        <is>
          <t>นายกสภาเภสัชกรรม</t>
        </is>
      </c>
      <c r="G215" s="2" t="inlineStr">
        <is>
          <t>พ.ร.บ. วัตถุที่ออกฤทธิ์ต่อจิตและประสาท พ.ศ. 2559 (ประเภท 2 และ 4)</t>
        </is>
      </c>
      <c r="H215" s="2" t="inlineStr">
        <is>
          <t>พ.ร.บ. วิชาชีพเภสัชกรรม พ.ศ. 2537 และข้อบังคับจรรยาบรรณวิชาชีพ</t>
        </is>
      </c>
      <c r="I215" s="2" t="n">
        <v>1</v>
      </c>
      <c r="J215" s="2"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2" t="n"/>
      <c r="L215" s="2" t="inlineStr">
        <is>
          <t>พ.ร.บ. ยา พ.ศ. 2510</t>
        </is>
      </c>
      <c r="M215" s="2" t="inlineStr">
        <is>
          <t>SAP</t>
        </is>
      </c>
      <c r="N215" s="2" t="inlineStr">
        <is>
          <t>ข้อ 5 (PLE_CC1_Practice_Exam.md)</t>
        </is>
      </c>
      <c r="O215" s="2" t="inlineStr">
        <is>
          <t>Mock</t>
        </is>
      </c>
      <c r="P215" s="2" t="inlineStr">
        <is>
          <t>Mock สภาเภสัชฯ Practice</t>
        </is>
      </c>
    </row>
    <row r="216" ht="13.2" customHeight="1" s="49">
      <c r="A216" s="2" t="n">
        <v>214</v>
      </c>
      <c r="B216" s="2" t="inlineStr">
        <is>
          <t>ข้อใดจัดเป็น “ยาสมุนไพร” ตาม พ.ร.บ. ยา</t>
        </is>
      </c>
      <c r="C216" s="2" t="n"/>
      <c r="D216" s="2" t="inlineStr">
        <is>
          <t>เถาโคคลานหั่นตากแห้งบรรจุถุง ระบุฉลากว่า ยาโคคลาน</t>
        </is>
      </c>
      <c r="E216" s="2" t="inlineStr">
        <is>
          <t>ฟ้าทะลายโจรบดผงใส่แคปซูล ระบุฉลากว่า ยาฟ้าทะลายโจร</t>
        </is>
      </c>
      <c r="F216" s="2" t="inlineStr">
        <is>
          <t>กำลังเจ็ดช้างสารดองเหล้า ระบุชื่อว่า ยาดองเหล้า กำลังเจ็ดช้างสาร</t>
        </is>
      </c>
      <c r="G216" s="2" t="inlineStr">
        <is>
          <t>ยาหอมนวโกศ 370 นิติเภสัชกรรม</t>
        </is>
      </c>
      <c r="H216" s="2" t="inlineStr">
        <is>
          <t>ถูกทุกข้อ</t>
        </is>
      </c>
      <c r="I216" s="2" t="n">
        <v>1</v>
      </c>
      <c r="J216" s="2"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2" t="n"/>
      <c r="L216" s="2" t="inlineStr">
        <is>
          <t>พ.ร.บ. ผลิตภัณฑ์สมุนไพร &amp; เครื่องสำอาง</t>
        </is>
      </c>
      <c r="M216" s="2" t="inlineStr">
        <is>
          <t>SAP</t>
        </is>
      </c>
      <c r="N216" s="2" t="inlineStr">
        <is>
          <t>ข้อ 9 (PLE_CC1_Practice_Exam.md)</t>
        </is>
      </c>
      <c r="O216" s="2" t="inlineStr">
        <is>
          <t>Mock</t>
        </is>
      </c>
      <c r="P216" s="2" t="inlineStr">
        <is>
          <t>Mock สภาเภสัชฯ Practice</t>
        </is>
      </c>
    </row>
    <row r="217" ht="13.2" customHeight="1" s="49">
      <c r="A217" s="2" t="n">
        <v>215</v>
      </c>
      <c r="B217" s="2" t="inlineStr">
        <is>
          <t>ข้อใดเป็นอำนาจ และหน้าที่ที่ถูกต้องของพนักงานเจ้าหน้าที่ ตาม พ.ร.บ. ยา พ.ศ. 2510</t>
        </is>
      </c>
      <c r="C217" s="2" t="n"/>
      <c r="D217" s="2" t="inlineStr">
        <is>
          <t>เข้าไปในสถานที่ผลิตยาในระหว่างเวลาทำการ</t>
        </is>
      </c>
      <c r="E217" s="2" t="inlineStr">
        <is>
          <t>นำยาในปริมาณเท่าไรก็ได้ตามความต้องการ เพื่อตรวจสอบวิเคราะห์</t>
        </is>
      </c>
      <c r="F217" s="2" t="inlineStr">
        <is>
          <t>ไม่จำเป็นต้องประกาศผลวิเคราะห์ยาให้ประชาชนทราบ ในกรณีที่พบว่าเป็นยาไม่ปลอดภัย</t>
        </is>
      </c>
      <c r="G217" s="2" t="inlineStr">
        <is>
          <t>ข้อ ก และ ค ถูก</t>
        </is>
      </c>
      <c r="H217" s="2" t="inlineStr">
        <is>
          <t>ไม่มีข้อใดถูก</t>
        </is>
      </c>
      <c r="I217" s="2" t="n">
        <v>1</v>
      </c>
      <c r="J217" s="2"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2" t="n"/>
      <c r="L217" s="2" t="inlineStr">
        <is>
          <t>พ.ร.บ. ยา พ.ศ. 2510</t>
        </is>
      </c>
      <c r="M217" s="2" t="inlineStr">
        <is>
          <t>SAP</t>
        </is>
      </c>
      <c r="N217" s="2" t="inlineStr">
        <is>
          <t>ข้อ 12 (PLE_CC1_Practice_Exam.md)</t>
        </is>
      </c>
      <c r="O217" s="2" t="inlineStr">
        <is>
          <t>Mock</t>
        </is>
      </c>
      <c r="P217" s="2" t="inlineStr">
        <is>
          <t>Mock สภาเภสัชฯ Practice</t>
        </is>
      </c>
    </row>
    <row r="218" ht="13.2" customHeight="1" s="49">
      <c r="A218" s="2" t="n">
        <v>216</v>
      </c>
      <c r="B218" s="2"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2" t="n"/>
      <c r="D218" s="2"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2"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2"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2"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218" s="2"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2" t="n">
        <v>1</v>
      </c>
      <c r="J218" s="2"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2" t="n"/>
      <c r="L218" s="2" t="inlineStr">
        <is>
          <t>พ.ร.บ. วิชาชีพเภสัชกรรม 2537</t>
        </is>
      </c>
      <c r="M218" s="2" t="inlineStr">
        <is>
          <t>SAP</t>
        </is>
      </c>
      <c r="N218" s="2" t="inlineStr">
        <is>
          <t>ข้อ 17 (PLE_CC1_Practice_Exam.md)</t>
        </is>
      </c>
      <c r="O218" s="2" t="inlineStr">
        <is>
          <t>Mock</t>
        </is>
      </c>
      <c r="P218" s="2" t="inlineStr">
        <is>
          <t>Mock สภาเภสัชฯ Practice</t>
        </is>
      </c>
    </row>
    <row r="219" ht="13.2" customHeight="1" s="49">
      <c r="A219" s="2" t="n">
        <v>217</v>
      </c>
      <c r="B219" s="2" t="inlineStr">
        <is>
          <t>ข้อใดไม่อยู่ในคำประกาศสิทธิของผู้ป่วย 10 ข้อ</t>
        </is>
      </c>
      <c r="C219" s="2" t="n"/>
      <c r="D219" s="2" t="inlineStr">
        <is>
          <t>ผู้ป่วยสิทธิที่จะได้รับการปกปิดข้อมูลเกี่ยวกับตนเองจากผู้ประกอบวิชาชีพโดยเคร่งครัด</t>
        </is>
      </c>
      <c r="E219" s="2"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2" t="inlineStr">
        <is>
          <t>ผู้ป่วยมีสิทธิที่จะได้รับทราบชื่อ สกุล และประเภทของผู้ประกอบวิชาชีพที่เป็นผู้ให้บริการแก่ตน</t>
        </is>
      </c>
      <c r="G219" s="2" t="inlineStr">
        <is>
          <t>ผู้ป่วยมีสิทธิที่จะได้รับยารักษาโรคที่มีประสิทธิภาพดีที่สุด ที่ผู้ให้บริการสามารถจัดหาได้ในปัจจุบัน</t>
        </is>
      </c>
      <c r="H219" s="2" t="inlineStr">
        <is>
          <t>ผู้ป่วยทุกคนมีสิทธิพื้นฐานที่จะได้รับบริการด้านสุขภาพ ตามที่บัญญัติไว้ในรัฐธรรมนูญ 374 นิติเภสัชกรรม</t>
        </is>
      </c>
      <c r="I219" s="2" t="n">
        <v>1</v>
      </c>
      <c r="J219" s="2"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2" t="n"/>
      <c r="L219" s="2" t="inlineStr">
        <is>
          <t>พ.ร.บ. ยา พ.ศ. 2510</t>
        </is>
      </c>
      <c r="M219" s="2" t="inlineStr">
        <is>
          <t>SAP</t>
        </is>
      </c>
      <c r="N219" s="2" t="inlineStr">
        <is>
          <t>ข้อ 24 (PLE_CC1_Practice_Exam.md)</t>
        </is>
      </c>
      <c r="O219" s="2" t="inlineStr">
        <is>
          <t>Mock</t>
        </is>
      </c>
      <c r="P219" s="2" t="inlineStr">
        <is>
          <t>Mock สภาเภสัชฯ Practice</t>
        </is>
      </c>
    </row>
    <row r="220" ht="13.2" customHeight="1" s="49">
      <c r="A220" s="2" t="n">
        <v>218</v>
      </c>
      <c r="B220" s="2"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2" t="n"/>
      <c r="D220" s="2" t="inlineStr">
        <is>
          <t>Cohort study</t>
        </is>
      </c>
      <c r="E220" s="2" t="inlineStr">
        <is>
          <t>Case control</t>
        </is>
      </c>
      <c r="F220" s="2" t="inlineStr">
        <is>
          <t>Non-inferiority trial</t>
        </is>
      </c>
      <c r="G220" s="2" t="inlineStr">
        <is>
          <t>Superiority trial</t>
        </is>
      </c>
      <c r="H220" s="2" t="inlineStr">
        <is>
          <t>ไม่มีข้อถูก</t>
        </is>
      </c>
      <c r="I220" s="2" t="n">
        <v>1</v>
      </c>
      <c r="J220" s="2"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2" t="n"/>
      <c r="L220" s="2" t="inlineStr">
        <is>
          <t>พ.ร.บ. ยา พ.ศ. 2510</t>
        </is>
      </c>
      <c r="M220" s="2" t="inlineStr">
        <is>
          <t>SAP</t>
        </is>
      </c>
      <c r="N220" s="2" t="inlineStr">
        <is>
          <t>ข้อ 4 (PLE_CC1_Practice_Exam.md)</t>
        </is>
      </c>
      <c r="O220" s="2" t="inlineStr">
        <is>
          <t>Mock</t>
        </is>
      </c>
      <c r="P220" s="2" t="inlineStr">
        <is>
          <t>Mock สภาเภสัชฯ Practice</t>
        </is>
      </c>
    </row>
    <row r="221" ht="13.2" customHeight="1" s="49">
      <c r="A221" s="2" t="n">
        <v>219</v>
      </c>
      <c r="B221" s="2"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2" t="n"/>
      <c r="D221" s="2" t="inlineStr">
        <is>
          <t>Cross-sectional descriptive study</t>
        </is>
      </c>
      <c r="E221" s="2" t="inlineStr">
        <is>
          <t>Cross-sectional analytical study</t>
        </is>
      </c>
      <c r="F221" s="2" t="inlineStr">
        <is>
          <t>Prospective cohort study</t>
        </is>
      </c>
      <c r="G221" s="2" t="inlineStr">
        <is>
          <t>RCT (Crossover trial)</t>
        </is>
      </c>
      <c r="H221" s="2" t="inlineStr">
        <is>
          <t>RCT (Factorial design)</t>
        </is>
      </c>
      <c r="I221" s="2" t="n">
        <v>1</v>
      </c>
      <c r="J221"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2" t="n"/>
      <c r="L221" s="2" t="inlineStr">
        <is>
          <t>พ.ร.บ. ยา พ.ศ. 2510</t>
        </is>
      </c>
      <c r="M221" s="2" t="inlineStr">
        <is>
          <t>SAP</t>
        </is>
      </c>
      <c r="N221" s="2" t="inlineStr">
        <is>
          <t>ข้อ 5 (PLE_CC1_Practice_Exam.md)</t>
        </is>
      </c>
      <c r="O221" s="2" t="inlineStr">
        <is>
          <t>Mock</t>
        </is>
      </c>
      <c r="P221" s="2" t="inlineStr">
        <is>
          <t>Mock สภาเภสัชฯ Practice</t>
        </is>
      </c>
    </row>
    <row r="222" ht="13.2" customHeight="1" s="49">
      <c r="A222" s="2" t="n">
        <v>220</v>
      </c>
      <c r="B222" s="2" t="inlineStr">
        <is>
          <t>มียารักษาวัณโรคอยู่ 2 สูตร คือ สูตร A และ B จะสามารถทดสอบสัดส่วนประสิทธิภาพของสูตรยา โดยใช้สถิติใด</t>
        </is>
      </c>
      <c r="C222" s="2" t="n"/>
      <c r="D222" s="2" t="inlineStr">
        <is>
          <t>Correlation</t>
        </is>
      </c>
      <c r="E222" s="2" t="inlineStr">
        <is>
          <t>Chi-square test</t>
        </is>
      </c>
      <c r="F222" s="2" t="inlineStr">
        <is>
          <t>ANOVA</t>
        </is>
      </c>
      <c r="G222" s="2" t="inlineStr">
        <is>
          <t>Unpaired t-test</t>
        </is>
      </c>
      <c r="H222" s="2" t="inlineStr">
        <is>
          <t>Paired t-test</t>
        </is>
      </c>
      <c r="I222" s="2" t="n">
        <v>1</v>
      </c>
      <c r="J222" s="2"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2" t="n"/>
      <c r="L222" s="2" t="inlineStr">
        <is>
          <t>พ.ร.บ. ยา พ.ศ. 2510</t>
        </is>
      </c>
      <c r="M222" s="2" t="inlineStr">
        <is>
          <t>SAP</t>
        </is>
      </c>
      <c r="N222" s="2" t="inlineStr">
        <is>
          <t>ข้อ 19 (PLE_CC1_Practice_Exam.md)</t>
        </is>
      </c>
      <c r="O222" s="2" t="inlineStr">
        <is>
          <t>Mock</t>
        </is>
      </c>
      <c r="P222" s="2" t="inlineStr">
        <is>
          <t>Mock สภาเภสัชฯ Practice</t>
        </is>
      </c>
    </row>
    <row r="223" ht="13.2" customHeight="1" s="49">
      <c r="A223" s="2" t="n">
        <v>221</v>
      </c>
      <c r="B223" s="2"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2" t="n"/>
      <c r="D223" s="2" t="inlineStr">
        <is>
          <t>พ.ร.บ. วิชาชีพเภสัชกรรม พ.ศ. 2537 และข้อบังคับจรรยาบรรณวิชาชีพ</t>
        </is>
      </c>
      <c r="E223" s="2" t="inlineStr">
        <is>
          <t>พ.ร.บ. ผลิตภัณฑ์สมุนไพร พ.ศ. 2562</t>
        </is>
      </c>
      <c r="F223" s="2" t="inlineStr">
        <is>
          <t>พ.ร.บ. เครื่องสำอาง พ.ศ. 2558</t>
        </is>
      </c>
      <c r="G223" s="2" t="inlineStr">
        <is>
          <t>พ.ร.บ. หลักประกันสุขภาพแห่งชาติ พ.ศ. 2545</t>
        </is>
      </c>
      <c r="H223" s="2" t="inlineStr">
        <is>
          <t>การปฏิบัติทางเภสัชกรรมชุมชน (Good Pharmacy Practice: GPP)</t>
        </is>
      </c>
      <c r="I223" s="2" t="n">
        <v>1</v>
      </c>
      <c r="J22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2" t="n"/>
      <c r="L223" s="2" t="inlineStr">
        <is>
          <t>พ.ร.บ. ยา พ.ศ. 2510</t>
        </is>
      </c>
      <c r="M223" s="2" t="inlineStr">
        <is>
          <t>SAP</t>
        </is>
      </c>
      <c r="N223" s="2" t="inlineStr">
        <is>
          <t>ข้อ 5 (PLE_CC1_Practice_Exam.md)</t>
        </is>
      </c>
      <c r="O223" s="2" t="inlineStr">
        <is>
          <t>Mock</t>
        </is>
      </c>
      <c r="P223" s="2" t="inlineStr">
        <is>
          <t>Mock สภาเภสัชฯ Practice</t>
        </is>
      </c>
    </row>
    <row r="224" ht="13.2" customHeight="1" s="49">
      <c r="A224" s="2" t="n">
        <v>222</v>
      </c>
      <c r="B224" s="2" t="inlineStr">
        <is>
          <t>Allopurinol แบบแผง 10 เม็ด จัดเป็นยาประเภทใดตามกฎหมาย</t>
        </is>
      </c>
      <c r="C224" s="2" t="n"/>
      <c r="D224" s="2" t="inlineStr">
        <is>
          <t>พ.ร.บ. หลักประกันสุขภาพแห่งชาติ พ.ศ. 2545</t>
        </is>
      </c>
      <c r="E224" s="2" t="inlineStr">
        <is>
          <t>การปฏิบัติทางเภสัชกรรมชุมชน (Good Pharmacy Practice: GPP)</t>
        </is>
      </c>
      <c r="F224" s="2" t="inlineStr">
        <is>
          <t>บัญชียาหลักแห่งชาติ (National List of Essential Medicines: NLEM)</t>
        </is>
      </c>
      <c r="G224" s="2" t="inlineStr">
        <is>
          <t>เกณฑ์จริยธรรมว่าด้วยการส่งเสริมการขายยาของกระทรวงสาธารณสุข</t>
        </is>
      </c>
      <c r="H224" s="2" t="inlineStr">
        <is>
          <t>พ.ร.บ. ยา พ.ศ. 2510 (การจำหน่ายยาอันตรายและยาควบคุมพิเศษ)</t>
        </is>
      </c>
      <c r="I224" s="2" t="n">
        <v>1</v>
      </c>
      <c r="J22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2" t="n"/>
      <c r="L224" s="2" t="inlineStr">
        <is>
          <t>พ.ร.บ. ยา พ.ศ. 2510</t>
        </is>
      </c>
      <c r="M224" s="2" t="inlineStr">
        <is>
          <t>SAP</t>
        </is>
      </c>
      <c r="N224" s="2" t="inlineStr">
        <is>
          <t>ข้อ 8 (PLE_CC1_Key_Rx20_UBU.md)</t>
        </is>
      </c>
      <c r="O224" s="2" t="inlineStr">
        <is>
          <t>Mock</t>
        </is>
      </c>
      <c r="P224" s="2" t="inlineStr">
        <is>
          <t>Mock Rx20 UBU</t>
        </is>
      </c>
    </row>
    <row r="225" ht="13.2" customHeight="1" s="49">
      <c r="A225" s="2" t="n">
        <v>223</v>
      </c>
      <c r="B225" s="2" t="inlineStr">
        <is>
          <t>ยา Budesonide เป็นยาในข้อใดตามกฎหมาย</t>
        </is>
      </c>
      <c r="C225" s="2" t="n"/>
      <c r="D225" s="2" t="inlineStr">
        <is>
          <t>เกณฑ์จริยธรรมว่าด้วยการส่งเสริมการขายยาของกระทรวงสาธารณสุข</t>
        </is>
      </c>
      <c r="E225" s="2" t="inlineStr">
        <is>
          <t>พ.ร.บ. ยา พ.ศ. 2510 (การจำหน่ายยาอันตรายและยาควบคุมพิเศษ)</t>
        </is>
      </c>
      <c r="F225" s="2" t="inlineStr">
        <is>
          <t>พ.ร.บ. ยาเสพติดให้โทษ พ.ศ. 2522 (ยาเสพติดให้โทษประเภท 2 และ 3)</t>
        </is>
      </c>
      <c r="G225" s="2" t="inlineStr">
        <is>
          <t>พ.ร.บ. วัตถุที่ออกฤทธิ์ต่อจิตและประสาท พ.ศ. 2559 (ประเภท 2 และ 4)</t>
        </is>
      </c>
      <c r="H225" s="2" t="inlineStr">
        <is>
          <t>พ.ร.บ. วิชาชีพเภสัชกรรม พ.ศ. 2537 และข้อบังคับจรรยาบรรณวิชาชีพ</t>
        </is>
      </c>
      <c r="I225" s="2" t="n">
        <v>1</v>
      </c>
      <c r="J22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2" t="n"/>
      <c r="L225" s="2" t="inlineStr">
        <is>
          <t>พ.ร.บ. ยา พ.ศ. 2510</t>
        </is>
      </c>
      <c r="M225" s="2" t="inlineStr">
        <is>
          <t>SAP</t>
        </is>
      </c>
      <c r="N225" s="2" t="inlineStr">
        <is>
          <t>ข้อ 13 (PLE_CC1_Key_Rx20_UBU.md)</t>
        </is>
      </c>
      <c r="O225" s="2" t="inlineStr">
        <is>
          <t>Mock</t>
        </is>
      </c>
      <c r="P225" s="2" t="inlineStr">
        <is>
          <t>Mock Rx20 UBU</t>
        </is>
      </c>
    </row>
    <row r="226" ht="13.2" customHeight="1" s="49">
      <c r="A226" s="2" t="n">
        <v>224</v>
      </c>
      <c r="B226" s="2" t="inlineStr">
        <is>
          <t>ยาสามัญประจำบ้าน Budesonide Steriod เดี่ยว ตามกฎหมายเป็นยาอันตราย สามารถขายได้ในร้านยา</t>
        </is>
      </c>
      <c r="C226" s="2" t="n"/>
      <c r="D226" s="2" t="inlineStr">
        <is>
          <t>พ.ร.บ. วัตถุที่ออกฤทธิ์ต่อจิตและประสาท พ.ศ. 2559 (ประเภท 2 และ 4)</t>
        </is>
      </c>
      <c r="E226" s="2" t="inlineStr">
        <is>
          <t>พ.ร.บ. วิชาชีพเภสัชกรรม พ.ศ. 2537 และข้อบังคับจรรยาบรรณวิชาชีพ</t>
        </is>
      </c>
      <c r="F226" s="2" t="inlineStr">
        <is>
          <t>พ.ร.บ. ผลิตภัณฑ์สมุนไพร พ.ศ. 2562</t>
        </is>
      </c>
      <c r="G226" s="2" t="inlineStr">
        <is>
          <t>พ.ร.บ. เครื่องสำอาง พ.ศ. 2558</t>
        </is>
      </c>
      <c r="H226" s="2" t="inlineStr">
        <is>
          <t>พ.ร.บ. หลักประกันสุขภาพแห่งชาติ พ.ศ. 2545</t>
        </is>
      </c>
      <c r="I226" s="2" t="n">
        <v>1</v>
      </c>
      <c r="J22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2" t="n"/>
      <c r="L226" s="2" t="inlineStr">
        <is>
          <t>พ.ร.บ. ยา พ.ศ. 2510</t>
        </is>
      </c>
      <c r="M226" s="2" t="inlineStr">
        <is>
          <t>SAP</t>
        </is>
      </c>
      <c r="N226" s="2" t="inlineStr">
        <is>
          <t>ข้อ 5 (PLE_CC1_Key_Rx20_UBU.md)</t>
        </is>
      </c>
      <c r="O226" s="2" t="inlineStr">
        <is>
          <t>Mock</t>
        </is>
      </c>
      <c r="P226" s="2" t="inlineStr">
        <is>
          <t>Mock Rx20 UBU</t>
        </is>
      </c>
    </row>
    <row r="227" ht="13.2" customHeight="1" s="49">
      <c r="A227" s="2" t="n">
        <v>225</v>
      </c>
      <c r="B227" s="2" t="inlineStr">
        <is>
          <t>โฆษณาขายยานี้อินเตอร์เน็ตไม่ได้เพราะถือเป็นการกระทำที่ผิดกฎหมาย</t>
        </is>
      </c>
      <c r="C227" s="2" t="n"/>
      <c r="D227" s="2" t="inlineStr">
        <is>
          <t>พ.ร.บ. เครื่องสำอาง พ.ศ. 2558</t>
        </is>
      </c>
      <c r="E227" s="2" t="inlineStr">
        <is>
          <t>พ.ร.บ. หลักประกันสุขภาพแห่งชาติ พ.ศ. 2545</t>
        </is>
      </c>
      <c r="F227" s="2" t="inlineStr">
        <is>
          <t>การปฏิบัติทางเภสัชกรรมชุมชน (Good Pharmacy Practice: GPP)</t>
        </is>
      </c>
      <c r="G227" s="2" t="inlineStr">
        <is>
          <t>บัญชียาหลักแห่งชาติ (National List of Essential Medicines: NLEM)</t>
        </is>
      </c>
      <c r="H227" s="2" t="inlineStr">
        <is>
          <t>เกณฑ์จริยธรรมว่าด้วยการส่งเสริมการขายยาของกระทรวงสาธารณสุข</t>
        </is>
      </c>
      <c r="I227" s="2" t="n">
        <v>1</v>
      </c>
      <c r="J22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2" t="n"/>
      <c r="L227" s="2" t="inlineStr">
        <is>
          <t>พ.ร.บ. ยา พ.ศ. 2510</t>
        </is>
      </c>
      <c r="M227" s="2" t="inlineStr">
        <is>
          <t>SAP</t>
        </is>
      </c>
      <c r="N227" s="2" t="inlineStr">
        <is>
          <t>ข้อ 4 (PLE_CC1_Key_Rx20_UBU.md)</t>
        </is>
      </c>
      <c r="O227" s="2" t="inlineStr">
        <is>
          <t>Mock</t>
        </is>
      </c>
      <c r="P227" s="2" t="inlineStr">
        <is>
          <t>Mock Rx20 UBU</t>
        </is>
      </c>
    </row>
    <row r="228" ht="13.2" customHeight="1" s="49">
      <c r="A228" s="2" t="n">
        <v>226</v>
      </c>
      <c r="B228" s="2" t="inlineStr">
        <is>
          <t>Glucosamine capsule 250 mg จัดเป็นยาประเภทใดตามกฎหมาย</t>
        </is>
      </c>
      <c r="C228" s="2" t="n"/>
      <c r="D228" s="2" t="inlineStr">
        <is>
          <t>บัญชียาหลักแห่งชาติ (National List of Essential Medicines: NLEM)</t>
        </is>
      </c>
      <c r="E228" s="2" t="inlineStr">
        <is>
          <t>เกณฑ์จริยธรรมว่าด้วยการส่งเสริมการขายยาของกระทรวงสาธารณสุข</t>
        </is>
      </c>
      <c r="F228" s="2" t="inlineStr">
        <is>
          <t>พ.ร.บ. ยา พ.ศ. 2510 (การจำหน่ายยาอันตรายและยาควบคุมพิเศษ)</t>
        </is>
      </c>
      <c r="G228" s="2" t="inlineStr">
        <is>
          <t>พ.ร.บ. ยาเสพติดให้โทษ พ.ศ. 2522 (ยาเสพติดให้โทษประเภท 2 และ 3)</t>
        </is>
      </c>
      <c r="H228" s="2" t="inlineStr">
        <is>
          <t>พ.ร.บ. วัตถุที่ออกฤทธิ์ต่อจิตและประสาท พ.ศ. 2559 (ประเภท 2 และ 4)</t>
        </is>
      </c>
      <c r="I228" s="2" t="n">
        <v>1</v>
      </c>
      <c r="J22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2" t="n"/>
      <c r="L228" s="2" t="inlineStr">
        <is>
          <t>พ.ร.บ. ยา พ.ศ. 2510</t>
        </is>
      </c>
      <c r="M228" s="2" t="inlineStr">
        <is>
          <t>SAP</t>
        </is>
      </c>
      <c r="N228" s="2" t="inlineStr">
        <is>
          <t>ข้อ 58 (PLE_CC1_Key_Rx20_UBU.md)</t>
        </is>
      </c>
      <c r="O228" s="2" t="inlineStr">
        <is>
          <t>Mock</t>
        </is>
      </c>
      <c r="P228" s="2" t="inlineStr">
        <is>
          <t>Mock Rx20 UBU</t>
        </is>
      </c>
    </row>
    <row r="229" ht="13.2" customHeight="1" s="49">
      <c r="A229" s="2" t="n">
        <v>227</v>
      </c>
      <c r="B229" s="2"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2" t="n"/>
      <c r="D229" s="2" t="inlineStr">
        <is>
          <t>พ.ร.บ. ยาเสพติดให้โทษ พ.ศ. 2522 (ยาเสพติดให้โทษประเภท 2 และ 3)</t>
        </is>
      </c>
      <c r="E229" s="2" t="inlineStr">
        <is>
          <t>พ.ร.บ. วัตถุที่ออกฤทธิ์ต่อจิตและประสาท พ.ศ. 2559 (ประเภท 2 และ 4)</t>
        </is>
      </c>
      <c r="F229" s="2" t="inlineStr">
        <is>
          <t>พ.ร.บ. วิชาชีพเภสัชกรรม พ.ศ. 2537 และข้อบังคับจรรยาบรรณวิชาชีพ</t>
        </is>
      </c>
      <c r="G229" s="2" t="inlineStr">
        <is>
          <t>พ.ร.บ. ผลิตภัณฑ์สมุนไพร พ.ศ. 2562</t>
        </is>
      </c>
      <c r="H229" s="2" t="inlineStr">
        <is>
          <t>พ.ร.บ. เครื่องสำอาง พ.ศ. 2558</t>
        </is>
      </c>
      <c r="I229" s="2" t="n">
        <v>1</v>
      </c>
      <c r="J22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2" t="n"/>
      <c r="L229" s="2" t="inlineStr">
        <is>
          <t>พ.ร.บ. ยา พ.ศ. 2510</t>
        </is>
      </c>
      <c r="M229" s="2" t="inlineStr">
        <is>
          <t>SAP</t>
        </is>
      </c>
      <c r="N229" s="2" t="inlineStr">
        <is>
          <t>ข้อ 10 (PLE_CC1_Key_Rx20_UBU.md)</t>
        </is>
      </c>
      <c r="O229" s="2" t="inlineStr">
        <is>
          <t>Mock</t>
        </is>
      </c>
      <c r="P229" s="2" t="inlineStr">
        <is>
          <t>Mock Rx20 UBU</t>
        </is>
      </c>
    </row>
    <row r="230" ht="13.2" customHeight="1" s="49">
      <c r="A230" s="2" t="n">
        <v>228</v>
      </c>
      <c r="B230" s="2" t="inlineStr">
        <is>
          <t>Triphasic hormonal contraceptives จัดเป็นยาประเภทใดตามกฎหมาย</t>
        </is>
      </c>
      <c r="C230" s="2" t="n"/>
      <c r="D230" s="2" t="inlineStr">
        <is>
          <t>ยาอันตราย</t>
        </is>
      </c>
      <c r="E230" s="2" t="inlineStr">
        <is>
          <t>ยาที่ไม่ใช่ยาอันตราย</t>
        </is>
      </c>
      <c r="F230" s="2"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t>
        </is>
      </c>
      <c r="G230" s="2" t="inlineStr">
        <is>
          <t>การปฏิบัติทางเภสัชกรรมชุมชน (Good Pharmacy Practice: GPP)</t>
        </is>
      </c>
      <c r="H230" s="2" t="inlineStr">
        <is>
          <t>บัญชียาหลักแห่งชาติ (National List of Essential Medicines: NLEM)</t>
        </is>
      </c>
      <c r="I230" s="2" t="n">
        <v>1</v>
      </c>
      <c r="J230" s="2"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2" t="n"/>
      <c r="L230" s="2" t="inlineStr">
        <is>
          <t>พ.ร.บ. ยา พ.ศ. 2510</t>
        </is>
      </c>
      <c r="M230" s="2" t="inlineStr">
        <is>
          <t>SAP</t>
        </is>
      </c>
      <c r="N230" s="2" t="inlineStr">
        <is>
          <t>ข้อ 6 (PLE_CC1_Key_Rx20_UBU.md)</t>
        </is>
      </c>
      <c r="O230" s="2" t="inlineStr">
        <is>
          <t>Mock</t>
        </is>
      </c>
      <c r="P230" s="2" t="inlineStr">
        <is>
          <t>Mock Rx20 UBU</t>
        </is>
      </c>
    </row>
    <row r="231" ht="13.2" customHeight="1" s="49">
      <c r="A231" s="2" t="n">
        <v>229</v>
      </c>
      <c r="B231" s="2" t="inlineStr">
        <is>
          <t>Cost Efficacy = ประสิทธิภาพ Efficiency = อย่างมีประสิทธิภาพ Effectiveness = ประสิทธิผล</t>
        </is>
      </c>
      <c r="C231" s="2" t="n"/>
      <c r="D231" s="2" t="inlineStr">
        <is>
          <t>การปฏิบัติทางเภสัชกรรมชุมชน (Good Pharmacy Practice: GPP)</t>
        </is>
      </c>
      <c r="E231" s="2" t="inlineStr">
        <is>
          <t>บัญชียาหลักแห่งชาติ (National List of Essential Medicines: NLEM)</t>
        </is>
      </c>
      <c r="F231" s="2" t="inlineStr">
        <is>
          <t>เกณฑ์จริยธรรมว่าด้วยการส่งเสริมการขายยาของกระทรวงสาธารณสุข</t>
        </is>
      </c>
      <c r="G231" s="2" t="inlineStr">
        <is>
          <t>พ.ร.บ. ยา พ.ศ. 2510 (การจำหน่ายยาอันตรายและยาควบคุมพิเศษ)</t>
        </is>
      </c>
      <c r="H231" s="2" t="inlineStr">
        <is>
          <t>พ.ร.บ. ยาเสพติดให้โทษ พ.ศ. 2522 (ยาเสพติดให้โทษประเภท 2 และ 3)</t>
        </is>
      </c>
      <c r="I231" s="2" t="n">
        <v>5</v>
      </c>
      <c r="J23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2" t="n"/>
      <c r="L231" s="2" t="inlineStr">
        <is>
          <t>พ.ร.บ. ยา พ.ศ. 2510</t>
        </is>
      </c>
      <c r="M231" s="2" t="inlineStr">
        <is>
          <t>SAP</t>
        </is>
      </c>
      <c r="N231" s="2" t="inlineStr">
        <is>
          <t>ข้อ 4 (PLE_CC1_Key_Rx20_UBU.md)</t>
        </is>
      </c>
      <c r="O231" s="2" t="inlineStr">
        <is>
          <t>Mock</t>
        </is>
      </c>
      <c r="P231" s="2" t="inlineStr">
        <is>
          <t>Mock Rx20 UBU</t>
        </is>
      </c>
    </row>
    <row r="232" ht="13.2" customHeight="1" s="49">
      <c r="A232" s="2" t="n">
        <v>230</v>
      </c>
      <c r="B232" s="2"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2" t="n"/>
      <c r="D232" s="2" t="inlineStr">
        <is>
          <t>พ.ร.บ. ยา พ.ศ. 2510 (การจำหน่ายยาอันตรายและยาควบคุมพิเศษ)</t>
        </is>
      </c>
      <c r="E232" s="2" t="inlineStr">
        <is>
          <t>พ.ร.บ. ยาเสพติดให้โทษ พ.ศ. 2522 (ยาเสพติดให้โทษประเภท 2 และ 3)</t>
        </is>
      </c>
      <c r="F232" s="2" t="inlineStr">
        <is>
          <t>พ.ร.บ. วัตถุที่ออกฤทธิ์ต่อจิตและประสาท พ.ศ. 2559 (ประเภท 2 และ 4)</t>
        </is>
      </c>
      <c r="G232" s="2" t="inlineStr">
        <is>
          <t>พ.ร.บ. วิชาชีพเภสัชกรรม พ.ศ. 2537 และข้อบังคับจรรยาบรรณวิชาชีพ</t>
        </is>
      </c>
      <c r="H232" s="2" t="inlineStr">
        <is>
          <t>พ.ร.บ. ผลิตภัณฑ์สมุนไพร พ.ศ. 2562</t>
        </is>
      </c>
      <c r="I232" s="2" t="n">
        <v>1</v>
      </c>
      <c r="J23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2" t="n"/>
      <c r="L232" s="2" t="inlineStr">
        <is>
          <t>พ.ร.บ. ยา พ.ศ. 2510</t>
        </is>
      </c>
      <c r="M232" s="2" t="inlineStr">
        <is>
          <t>SAP</t>
        </is>
      </c>
      <c r="N232" s="2" t="inlineStr">
        <is>
          <t>ข้อ 10 (PLE_CC1_Key_Rx20_UBU.md)</t>
        </is>
      </c>
      <c r="O232" s="2" t="inlineStr">
        <is>
          <t>Mock</t>
        </is>
      </c>
      <c r="P232" s="2" t="inlineStr">
        <is>
          <t>Mock Rx20 UBU</t>
        </is>
      </c>
    </row>
    <row r="233" ht="13.2" customHeight="1" s="49">
      <c r="A233" s="2" t="n">
        <v>231</v>
      </c>
      <c r="B233" s="2"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2" t="n"/>
      <c r="D233" s="2" t="inlineStr">
        <is>
          <t>พ.ร.บ. วิชาชีพเภสัชกรรม พ.ศ. 2537 และข้อบังคับจรรยาบรรณวิชาชีพ</t>
        </is>
      </c>
      <c r="E233" s="2" t="inlineStr">
        <is>
          <t>พ.ร.บ. ผลิตภัณฑ์สมุนไพร พ.ศ. 2562</t>
        </is>
      </c>
      <c r="F233" s="2" t="inlineStr">
        <is>
          <t>พ.ร.บ. เครื่องสำอาง พ.ศ. 2558</t>
        </is>
      </c>
      <c r="G233" s="2" t="inlineStr">
        <is>
          <t>พ.ร.บ. หลักประกันสุขภาพแห่งชาติ พ.ศ. 2545</t>
        </is>
      </c>
      <c r="H233" s="2" t="inlineStr">
        <is>
          <t>การปฏิบัติทางเภสัชกรรมชุมชน (Good Pharmacy Practice: GPP)</t>
        </is>
      </c>
      <c r="I233" s="2" t="n">
        <v>5</v>
      </c>
      <c r="J233" s="2"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2" t="n"/>
      <c r="L233" s="2" t="inlineStr">
        <is>
          <t>พ.ร.บ. ยา พ.ศ. 2510</t>
        </is>
      </c>
      <c r="M233" s="2" t="inlineStr">
        <is>
          <t>SAP</t>
        </is>
      </c>
      <c r="N233" s="2" t="inlineStr">
        <is>
          <t>ข้อ 5 (PLE_CC1_Key_Rx20_UBU.md)</t>
        </is>
      </c>
      <c r="O233" s="2" t="inlineStr">
        <is>
          <t>Mock</t>
        </is>
      </c>
      <c r="P233" s="2" t="inlineStr">
        <is>
          <t>Mock Rx20 UBU</t>
        </is>
      </c>
    </row>
    <row r="234" ht="13.2" customHeight="1" s="49">
      <c r="A234" s="2" t="n">
        <v>232</v>
      </c>
      <c r="B234" s="2"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2" t="n"/>
      <c r="D234" s="2" t="inlineStr">
        <is>
          <t>พ.ร.บ. หลักประกันสุขภาพแห่งชาติ พ.ศ. 2545</t>
        </is>
      </c>
      <c r="E234" s="2" t="inlineStr">
        <is>
          <t>การปฏิบัติทางเภสัชกรรมชุมชน (Good Pharmacy Practice: GPP)</t>
        </is>
      </c>
      <c r="F234" s="2" t="inlineStr">
        <is>
          <t>บัญชียาหลักแห่งชาติ (National List of Essential Medicines: NLEM)</t>
        </is>
      </c>
      <c r="G234" s="2" t="inlineStr">
        <is>
          <t>เกณฑ์จริยธรรมว่าด้วยการส่งเสริมการขายยาของกระทรวงสาธารณสุข</t>
        </is>
      </c>
      <c r="H234" s="2" t="inlineStr">
        <is>
          <t>พ.ร.บ. ยา พ.ศ. 2510 (การจำหน่ายยาอันตรายและยาควบคุมพิเศษ)</t>
        </is>
      </c>
      <c r="I234" s="2" t="n">
        <v>4</v>
      </c>
      <c r="J234" s="2"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2" t="n"/>
      <c r="L234" s="2" t="inlineStr">
        <is>
          <t>พ.ร.บ. ยาเสพติดให้โทษ &amp; วัตถุออกฤทธิ์</t>
        </is>
      </c>
      <c r="M234" s="2" t="inlineStr">
        <is>
          <t>SAP</t>
        </is>
      </c>
      <c r="N234" s="2" t="inlineStr">
        <is>
          <t>ข้อ 5 (PLE_CC1_Key_Rx20_UBU.md)</t>
        </is>
      </c>
      <c r="O234" s="2" t="inlineStr">
        <is>
          <t>Mock</t>
        </is>
      </c>
      <c r="P234" s="2" t="inlineStr">
        <is>
          <t>Mock Rx20 UBU</t>
        </is>
      </c>
    </row>
    <row r="235" ht="13.2" customHeight="1" s="49">
      <c r="A235" s="2" t="n">
        <v>233</v>
      </c>
      <c r="B235" s="2"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2" t="n"/>
      <c r="D235" s="2" t="inlineStr">
        <is>
          <t>อาหารในข้อใดต่อไปนี้ที่เหมาะสมในผู้ป่วยรายนี้</t>
        </is>
      </c>
      <c r="E235" s="2" t="inlineStr">
        <is>
          <t>พ.ร.บ. ยา พ.ศ. 2510 (การจำหน่ายยาอันตรายและยาควบคุมพิเศษ)</t>
        </is>
      </c>
      <c r="F235" s="2" t="inlineStr">
        <is>
          <t>พ.ร.บ. ยาเสพติดให้โทษ พ.ศ. 2522 (ยาเสพติดให้โทษประเภท 2 และ 3)</t>
        </is>
      </c>
      <c r="G235" s="2" t="inlineStr">
        <is>
          <t>พ.ร.บ. วัตถุที่ออกฤทธิ์ต่อจิตและประสาท พ.ศ. 2559 (ประเภท 2 และ 4)</t>
        </is>
      </c>
      <c r="H235" s="2" t="inlineStr">
        <is>
          <t>พ.ร.บ. วิชาชีพเภสัชกรรม พ.ศ. 2537 และข้อบังคับจรรยาบรรณวิชาชีพ</t>
        </is>
      </c>
      <c r="I235" s="2" t="n">
        <v>4</v>
      </c>
      <c r="J235" s="2"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2" t="n"/>
      <c r="L235" s="2" t="inlineStr">
        <is>
          <t>พ.ร.บ. ยา พ.ศ. 2510</t>
        </is>
      </c>
      <c r="M235" s="2" t="inlineStr">
        <is>
          <t>SAP</t>
        </is>
      </c>
      <c r="N235" s="2" t="inlineStr">
        <is>
          <t>ข้อ 5 (PLE_CC1_Key_Rx20_UBU.md)</t>
        </is>
      </c>
      <c r="O235" s="2" t="inlineStr">
        <is>
          <t>Mock</t>
        </is>
      </c>
      <c r="P235" s="2" t="inlineStr">
        <is>
          <t>Mock Rx20 UBU</t>
        </is>
      </c>
    </row>
    <row r="236" ht="13.2" customHeight="1" s="49">
      <c r="A236" s="2" t="n">
        <v>234</v>
      </c>
      <c r="B236" s="2" t="inlineStr">
        <is>
          <t>ฝ่าฝืน เพราะถือเป็นการโฆษณาที่กล่าวถึงโรคที่ห้ามโฆษณาตาม พรบ. ยา</t>
        </is>
      </c>
      <c r="C236" s="2" t="n"/>
      <c r="D236" s="2" t="inlineStr">
        <is>
          <t>พ.ร.บ. วัตถุที่ออกฤทธิ์ต่อจิตและประสาท พ.ศ. 2559 (ประเภท 2 และ 4)</t>
        </is>
      </c>
      <c r="E236" s="2" t="inlineStr">
        <is>
          <t>พ.ร.บ. วิชาชีพเภสัชกรรม พ.ศ. 2537 และข้อบังคับจรรยาบรรณวิชาชีพ</t>
        </is>
      </c>
      <c r="F236" s="2" t="inlineStr">
        <is>
          <t>พ.ร.บ. ผลิตภัณฑ์สมุนไพร พ.ศ. 2562</t>
        </is>
      </c>
      <c r="G236" s="2" t="inlineStr">
        <is>
          <t>พ.ร.บ. เครื่องสำอาง พ.ศ. 2558</t>
        </is>
      </c>
      <c r="H236" s="2" t="inlineStr">
        <is>
          <t>พ.ร.บ. หลักประกันสุขภาพแห่งชาติ พ.ศ. 2545</t>
        </is>
      </c>
      <c r="I236" s="2" t="n">
        <v>1</v>
      </c>
      <c r="J23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2" t="n"/>
      <c r="L236" s="2" t="inlineStr">
        <is>
          <t>พ.ร.บ. ยา พ.ศ. 2510</t>
        </is>
      </c>
      <c r="M236" s="2" t="inlineStr">
        <is>
          <t>SAP</t>
        </is>
      </c>
      <c r="N236" s="2" t="inlineStr">
        <is>
          <t>ข้อ 2 (PLE_CC1_Key_Rx20_UBU.md)</t>
        </is>
      </c>
      <c r="O236" s="2" t="inlineStr">
        <is>
          <t>Mock</t>
        </is>
      </c>
      <c r="P236" s="2" t="inlineStr">
        <is>
          <t>Mock Rx20 UBU</t>
        </is>
      </c>
    </row>
    <row r="237" ht="13.2" customHeight="1" s="49">
      <c r="A237" s="2" t="n">
        <v>235</v>
      </c>
      <c r="B237" s="2" t="inlineStr">
        <is>
          <t>Sodamint 1000 เม็ด จัดเป็นยาประเภทใดตามกฎหมาย</t>
        </is>
      </c>
      <c r="C237" s="2" t="n"/>
      <c r="D237" s="2" t="inlineStr">
        <is>
          <t>พ.ร.บ. เครื่องสำอาง พ.ศ. 2558</t>
        </is>
      </c>
      <c r="E237" s="2" t="inlineStr">
        <is>
          <t>พ.ร.บ. หลักประกันสุขภาพแห่งชาติ พ.ศ. 2545</t>
        </is>
      </c>
      <c r="F237" s="2" t="inlineStr">
        <is>
          <t>การปฏิบัติทางเภสัชกรรมชุมชน (Good Pharmacy Practice: GPP)</t>
        </is>
      </c>
      <c r="G237" s="2" t="inlineStr">
        <is>
          <t>บัญชียาหลักแห่งชาติ (National List of Essential Medicines: NLEM)</t>
        </is>
      </c>
      <c r="H237" s="2" t="inlineStr">
        <is>
          <t>เกณฑ์จริยธรรมว่าด้วยการส่งเสริมการขายยาของกระทรวงสาธารณสุข</t>
        </is>
      </c>
      <c r="I237" s="2" t="n">
        <v>1</v>
      </c>
      <c r="J23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2" t="n"/>
      <c r="L237" s="2" t="inlineStr">
        <is>
          <t>พ.ร.บ. ยา พ.ศ. 2510</t>
        </is>
      </c>
      <c r="M237" s="2" t="inlineStr">
        <is>
          <t>SAP</t>
        </is>
      </c>
      <c r="N237" s="2" t="inlineStr">
        <is>
          <t>ข้อ 9 (PLE_CC1_Key_Rx20_UBU.md)</t>
        </is>
      </c>
      <c r="O237" s="2" t="inlineStr">
        <is>
          <t>Mock</t>
        </is>
      </c>
      <c r="P237" s="2" t="inlineStr">
        <is>
          <t>Mock Rx20 UBU</t>
        </is>
      </c>
    </row>
    <row r="238" ht="13.2" customHeight="1" s="49">
      <c r="A238" s="2" t="n">
        <v>236</v>
      </c>
      <c r="B238" s="2"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2" t="n"/>
      <c r="D238" s="2" t="inlineStr">
        <is>
          <t>บัญชียาหลักแห่งชาติ (National List of Essential Medicines: NLEM)</t>
        </is>
      </c>
      <c r="E238" s="2" t="inlineStr">
        <is>
          <t>เกณฑ์จริยธรรมว่าด้วยการส่งเสริมการขายยาของกระทรวงสาธารณสุข</t>
        </is>
      </c>
      <c r="F238" s="2" t="inlineStr">
        <is>
          <t>พ.ร.บ. ยา พ.ศ. 2510 (การจำหน่ายยาอันตรายและยาควบคุมพิเศษ)</t>
        </is>
      </c>
      <c r="G238" s="2" t="inlineStr">
        <is>
          <t>พ.ร.บ. ยาเสพติดให้โทษ พ.ศ. 2522 (ยาเสพติดให้โทษประเภท 2 และ 3)</t>
        </is>
      </c>
      <c r="H238" s="2" t="inlineStr">
        <is>
          <t>พ.ร.บ. วัตถุที่ออกฤทธิ์ต่อจิตและประสาท พ.ศ. 2559 (ประเภท 2 และ 4)</t>
        </is>
      </c>
      <c r="I238" s="2" t="n">
        <v>1</v>
      </c>
      <c r="J23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2" t="n"/>
      <c r="L238" s="2" t="inlineStr">
        <is>
          <t>พ.ร.บ. ยา พ.ศ. 2510</t>
        </is>
      </c>
      <c r="M238" s="2" t="inlineStr">
        <is>
          <t>SAP</t>
        </is>
      </c>
      <c r="N238" s="2" t="inlineStr">
        <is>
          <t>ข้อ 5 (PLE_CC1_Key_Rx20_UBU.md)</t>
        </is>
      </c>
      <c r="O238" s="2" t="inlineStr">
        <is>
          <t>Mock</t>
        </is>
      </c>
      <c r="P238" s="2" t="inlineStr">
        <is>
          <t>Mock Rx20 UBU</t>
        </is>
      </c>
    </row>
    <row r="239" ht="13.2" customHeight="1" s="49">
      <c r="A239" s="2" t="n">
        <v>237</v>
      </c>
      <c r="B239" s="2"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2" t="n"/>
      <c r="D239" s="2" t="inlineStr">
        <is>
          <t>หากผู้ป่วยเริ่มใช้ยาไปแล้ว 2 สัปดาห์ (สูตร IRZE) เกิดอาการผื่นแดง ลอก ทั่วร่างกาย มีไข้ ควรจะจัดการอย่างไร</t>
        </is>
      </c>
      <c r="E239" s="2" t="inlineStr">
        <is>
          <t>พ.ร.บ. วัตถุที่ออกฤทธิ์ต่อจิตและประสาท พ.ศ. 2559 (ประเภท 2 และ 4)</t>
        </is>
      </c>
      <c r="F239" s="2" t="inlineStr">
        <is>
          <t>พ.ร.บ. วิชาชีพเภสัชกรรม พ.ศ. 2537 และข้อบังคับจรรยาบรรณวิชาชีพ</t>
        </is>
      </c>
      <c r="G239" s="2" t="inlineStr">
        <is>
          <t>พ.ร.บ. ผลิตภัณฑ์สมุนไพร พ.ศ. 2562</t>
        </is>
      </c>
      <c r="H239" s="2" t="inlineStr">
        <is>
          <t>พ.ร.บ. เครื่องสำอาง พ.ศ. 2558</t>
        </is>
      </c>
      <c r="I239" s="2" t="n">
        <v>1</v>
      </c>
      <c r="J239" s="2"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2" t="n"/>
      <c r="L239" s="2" t="inlineStr">
        <is>
          <t>พ.ร.บ. ยา พ.ศ. 2510</t>
        </is>
      </c>
      <c r="M239" s="2" t="inlineStr">
        <is>
          <t>SAP</t>
        </is>
      </c>
      <c r="N239" s="2" t="inlineStr">
        <is>
          <t>ข้อ 5 (PLE_CC1_Key_Rx20_UBU.md)</t>
        </is>
      </c>
      <c r="O239" s="2" t="inlineStr">
        <is>
          <t>Mock</t>
        </is>
      </c>
      <c r="P239" s="2" t="inlineStr">
        <is>
          <t>Mock Rx20 UBU</t>
        </is>
      </c>
    </row>
    <row r="240" ht="13.2" customHeight="1" s="49">
      <c r="A240" s="2" t="n">
        <v>238</v>
      </c>
      <c r="B240" s="2" t="inlineStr">
        <is>
          <t>ยาหยอดตา Sulfacetamide eye drops 10% แต่เมื่อนำไปตรวจสอบ พบว่ามีตัวยาเพียง 5% ยาดังกล่าวจัดเป็นยาใดตามกฎหมาย</t>
        </is>
      </c>
      <c r="C240" s="2" t="n"/>
      <c r="D240" s="2" t="inlineStr">
        <is>
          <t>ยาปลอม</t>
        </is>
      </c>
      <c r="E240" s="2" t="inlineStr">
        <is>
          <t>ยาไม่ได้มาตรฐาน</t>
        </is>
      </c>
      <c r="F240" s="2" t="inlineStr">
        <is>
          <t>ยาผิดมาตรฐาน</t>
        </is>
      </c>
      <c r="G240" s="2" t="inlineStr">
        <is>
          <t>ยาเสื่อมคุณภาพ</t>
        </is>
      </c>
      <c r="H240" s="2"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t>
        </is>
      </c>
      <c r="I240" s="2" t="n">
        <v>1</v>
      </c>
      <c r="J240" s="2"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2" t="n"/>
      <c r="L240" s="2" t="inlineStr">
        <is>
          <t>พ.ร.บ. ยา พ.ศ. 2510</t>
        </is>
      </c>
      <c r="M240" s="2" t="inlineStr">
        <is>
          <t>SAP</t>
        </is>
      </c>
      <c r="N240" s="2" t="inlineStr">
        <is>
          <t>ข้อ 8 (PLE_CC1_Key_Rx20_UBU.md)</t>
        </is>
      </c>
      <c r="O240" s="2" t="inlineStr">
        <is>
          <t>Mock</t>
        </is>
      </c>
      <c r="P240" s="2" t="inlineStr">
        <is>
          <t>Mock Rx20 UBU</t>
        </is>
      </c>
    </row>
    <row r="241" ht="13.2" customHeight="1" s="49">
      <c r="A241" s="2" t="n">
        <v>239</v>
      </c>
      <c r="B241" s="2"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2" t="n"/>
      <c r="D241" s="2" t="inlineStr">
        <is>
          <t>การปฏิบัติทางเภสัชกรรมชุมชน (Good Pharmacy Practice: GPP)</t>
        </is>
      </c>
      <c r="E241" s="2" t="inlineStr">
        <is>
          <t>บัญชียาหลักแห่งชาติ (National List of Essential Medicines: NLEM)</t>
        </is>
      </c>
      <c r="F241" s="2" t="inlineStr">
        <is>
          <t>เกณฑ์จริยธรรมว่าด้วยการส่งเสริมการขายยาของกระทรวงสาธารณสุข</t>
        </is>
      </c>
      <c r="G241" s="2" t="inlineStr">
        <is>
          <t>พ.ร.บ. ยา พ.ศ. 2510 (การจำหน่ายยาอันตรายและยาควบคุมพิเศษ)</t>
        </is>
      </c>
      <c r="H241" s="2" t="inlineStr">
        <is>
          <t>พ.ร.บ. ยาเสพติดให้โทษ พ.ศ. 2522 (ยาเสพติดให้โทษประเภท 2 และ 3)</t>
        </is>
      </c>
      <c r="I241" s="2" t="n">
        <v>1</v>
      </c>
      <c r="J24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2" t="n"/>
      <c r="L241" s="2" t="inlineStr">
        <is>
          <t>พ.ร.บ. ยา พ.ศ. 2510</t>
        </is>
      </c>
      <c r="M241" s="2" t="inlineStr">
        <is>
          <t>SAP</t>
        </is>
      </c>
      <c r="N241" s="2" t="inlineStr">
        <is>
          <t>ข้อ 29 (PLE_CC1_Key_Rx20_UBU.md)</t>
        </is>
      </c>
      <c r="O241" s="2" t="inlineStr">
        <is>
          <t>Mock</t>
        </is>
      </c>
      <c r="P241" s="2" t="inlineStr">
        <is>
          <t>Mock Rx20 UBU</t>
        </is>
      </c>
    </row>
    <row r="242" ht="13.2" customHeight="1" s="49">
      <c r="A242" s="2" t="n">
        <v>240</v>
      </c>
      <c r="B242" s="2" t="inlineStr">
        <is>
          <t>องค์กรใดในประเทศไทยที่ทำหน้าที่ควบคุมค่าใช้จ่ายด้านยาของผู้ใช้สิทธิบัตรทองในหลักประกันสุขภาพแห่งชา ติ</t>
        </is>
      </c>
      <c r="C242" s="2" t="n"/>
      <c r="D242" s="2" t="inlineStr">
        <is>
          <t>พ.ร.บ. ยา พ.ศ. 2510 (การจำหน่ายยาอันตรายและยาควบคุมพิเศษ)</t>
        </is>
      </c>
      <c r="E242" s="2" t="inlineStr">
        <is>
          <t>พ.ร.บ. ยาเสพติดให้โทษ พ.ศ. 2522 (ยาเสพติดให้โทษประเภท 2 และ 3)</t>
        </is>
      </c>
      <c r="F242" s="2" t="inlineStr">
        <is>
          <t>พ.ร.บ. วัตถุที่ออกฤทธิ์ต่อจิตและประสาท พ.ศ. 2559 (ประเภท 2 และ 4)</t>
        </is>
      </c>
      <c r="G242" s="2" t="inlineStr">
        <is>
          <t>พ.ร.บ. วิชาชีพเภสัชกรรม พ.ศ. 2537 และข้อบังคับจรรยาบรรณวิชาชีพ</t>
        </is>
      </c>
      <c r="H242" s="2" t="inlineStr">
        <is>
          <t>พ.ร.บ. ผลิตภัณฑ์สมุนไพร พ.ศ. 2562</t>
        </is>
      </c>
      <c r="I242" s="2" t="n">
        <v>1</v>
      </c>
      <c r="J24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2" t="n"/>
      <c r="L242" s="2" t="inlineStr">
        <is>
          <t>พ.ร.บ. ยา พ.ศ. 2510</t>
        </is>
      </c>
      <c r="M242" s="2" t="inlineStr">
        <is>
          <t>SAP</t>
        </is>
      </c>
      <c r="N242" s="2" t="inlineStr">
        <is>
          <t>ข้อ 37 (PLE_CC1_Key_Rx20_UBU.md)</t>
        </is>
      </c>
      <c r="O242" s="2" t="inlineStr">
        <is>
          <t>Mock</t>
        </is>
      </c>
      <c r="P242" s="2" t="inlineStr">
        <is>
          <t>Mock Rx20 UBU</t>
        </is>
      </c>
    </row>
    <row r="243" ht="13.2" customHeight="1" s="49">
      <c r="A243" s="2" t="n">
        <v>241</v>
      </c>
      <c r="B243" s="2" t="inlineStr">
        <is>
          <t>สำนักงานประกันสังคม (สปส.)</t>
        </is>
      </c>
      <c r="C243" s="2" t="n"/>
      <c r="D243" s="2" t="inlineStr">
        <is>
          <t>พ.ร.บ. วิชาชีพเภสัชกรรม พ.ศ. 2537 และข้อบังคับจรรยาบรรณวิชาชีพ</t>
        </is>
      </c>
      <c r="E243" s="2" t="inlineStr">
        <is>
          <t>พ.ร.บ. ผลิตภัณฑ์สมุนไพร พ.ศ. 2562</t>
        </is>
      </c>
      <c r="F243" s="2" t="inlineStr">
        <is>
          <t>พ.ร.บ. เครื่องสำอาง พ.ศ. 2558</t>
        </is>
      </c>
      <c r="G243" s="2" t="inlineStr">
        <is>
          <t>พ.ร.บ. หลักประกันสุขภาพแห่งชาติ พ.ศ. 2545</t>
        </is>
      </c>
      <c r="H243" s="2" t="inlineStr">
        <is>
          <t>การปฏิบัติทางเภสัชกรรมชุมชน (Good Pharmacy Practice: GPP)</t>
        </is>
      </c>
      <c r="I243" s="2" t="n">
        <v>1</v>
      </c>
      <c r="J24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2" t="n"/>
      <c r="L243" s="2" t="inlineStr">
        <is>
          <t>พ.ร.บ. ยา พ.ศ. 2510</t>
        </is>
      </c>
      <c r="M243" s="2" t="inlineStr">
        <is>
          <t>SAP</t>
        </is>
      </c>
      <c r="N243" s="2" t="inlineStr">
        <is>
          <t>ข้อ 2 (PLE_CC1_Key_Rx20_UBU.md)</t>
        </is>
      </c>
      <c r="O243" s="2" t="inlineStr">
        <is>
          <t>Mock</t>
        </is>
      </c>
      <c r="P243" s="2" t="inlineStr">
        <is>
          <t>Mock Rx20 UBU</t>
        </is>
      </c>
    </row>
    <row r="244" ht="13.2" customHeight="1" s="49">
      <c r="A244" s="2" t="n">
        <v>242</v>
      </c>
      <c r="B244" s="2" t="inlineStr">
        <is>
          <t>สำนักงานหลักประกันสุขภาพแห่งชาติ (สปสช.)</t>
        </is>
      </c>
      <c r="C244" s="2" t="n"/>
      <c r="D244" s="2" t="inlineStr">
        <is>
          <t>พ.ร.บ. หลักประกันสุขภาพแห่งชาติ พ.ศ. 2545</t>
        </is>
      </c>
      <c r="E244" s="2" t="inlineStr">
        <is>
          <t>การปฏิบัติทางเภสัชกรรมชุมชน (Good Pharmacy Practice: GPP)</t>
        </is>
      </c>
      <c r="F244" s="2" t="inlineStr">
        <is>
          <t>บัญชียาหลักแห่งชาติ (National List of Essential Medicines: NLEM)</t>
        </is>
      </c>
      <c r="G244" s="2" t="inlineStr">
        <is>
          <t>เกณฑ์จริยธรรมว่าด้วยการส่งเสริมการขายยาของกระทรวงสาธารณสุข</t>
        </is>
      </c>
      <c r="H244" s="2" t="inlineStr">
        <is>
          <t>พ.ร.บ. ยา พ.ศ. 2510 (การจำหน่ายยาอันตรายและยาควบคุมพิเศษ)</t>
        </is>
      </c>
      <c r="I244" s="2" t="n">
        <v>1</v>
      </c>
      <c r="J24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2" t="n"/>
      <c r="L244" s="2" t="inlineStr">
        <is>
          <t>พ.ร.บ. ยา พ.ศ. 2510</t>
        </is>
      </c>
      <c r="M244" s="2" t="inlineStr">
        <is>
          <t>SAP</t>
        </is>
      </c>
      <c r="N244" s="2" t="inlineStr">
        <is>
          <t>ข้อ 3 (PLE_CC1_Key_Rx20_UBU.md)</t>
        </is>
      </c>
      <c r="O244" s="2" t="inlineStr">
        <is>
          <t>Mock</t>
        </is>
      </c>
      <c r="P244" s="2" t="inlineStr">
        <is>
          <t>Mock Rx20 UBU</t>
        </is>
      </c>
    </row>
    <row r="245" ht="13.2" customHeight="1" s="49">
      <c r="A245" s="2" t="n">
        <v>243</v>
      </c>
      <c r="B245" s="2"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2" t="n"/>
      <c r="D245" s="2" t="inlineStr">
        <is>
          <t>เกณฑ์จริยธรรมว่าด้วยการส่งเสริมการขายยาของกระทรวงสาธารณสุข</t>
        </is>
      </c>
      <c r="E245" s="2" t="inlineStr">
        <is>
          <t>พ.ร.บ. ยา พ.ศ. 2510 (การจำหน่ายยาอันตรายและยาควบคุมพิเศษ)</t>
        </is>
      </c>
      <c r="F245" s="2" t="inlineStr">
        <is>
          <t>พ.ร.บ. ยาเสพติดให้โทษ พ.ศ. 2522 (ยาเสพติดให้โทษประเภท 2 และ 3)</t>
        </is>
      </c>
      <c r="G245" s="2" t="inlineStr">
        <is>
          <t>พ.ร.บ. วัตถุที่ออกฤทธิ์ต่อจิตและประสาท พ.ศ. 2559 (ประเภท 2 และ 4)</t>
        </is>
      </c>
      <c r="H245" s="2" t="inlineStr">
        <is>
          <t>พ.ร.บ. วิชาชีพเภสัชกรรม พ.ศ. 2537 และข้อบังคับจรรยาบรรณวิชาชีพ</t>
        </is>
      </c>
      <c r="I245" s="2" t="n">
        <v>1</v>
      </c>
      <c r="J24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2" t="n"/>
      <c r="L245" s="2" t="inlineStr">
        <is>
          <t>พ.ร.บ. ยา พ.ศ. 2510</t>
        </is>
      </c>
      <c r="M245" s="2" t="inlineStr">
        <is>
          <t>SAP</t>
        </is>
      </c>
      <c r="N245" s="2" t="inlineStr">
        <is>
          <t>ข้อ 52 (PLE_CC1_Key_Rx20_UBU.md)</t>
        </is>
      </c>
      <c r="O245" s="2" t="inlineStr">
        <is>
          <t>Mock</t>
        </is>
      </c>
      <c r="P245" s="2" t="inlineStr">
        <is>
          <t>Mock Rx20 UBU</t>
        </is>
      </c>
    </row>
    <row r="246" ht="13.2" customHeight="1" s="49">
      <c r="A246" s="2" t="n">
        <v>244</v>
      </c>
      <c r="B246" s="2" t="inlineStr">
        <is>
          <t>เภสัชกรสุอาภา สายสะอาด จบจาก</t>
        </is>
      </c>
      <c r="C246" s="2" t="n"/>
      <c r="D246" s="2" t="inlineStr">
        <is>
          <t>พ.ร.บ. วัตถุที่ออกฤทธิ์ต่อจิตและประสาท พ.ศ. 2559 (ประเภท 2 และ 4)</t>
        </is>
      </c>
      <c r="E246" s="2" t="inlineStr">
        <is>
          <t>พ.ร.บ. วิชาชีพเภสัชกรรม พ.ศ. 2537 และข้อบังคับจรรยาบรรณวิชาชีพ</t>
        </is>
      </c>
      <c r="F246" s="2" t="inlineStr">
        <is>
          <t>พ.ร.บ. ผลิตภัณฑ์สมุนไพร พ.ศ. 2562</t>
        </is>
      </c>
      <c r="G246" s="2" t="inlineStr">
        <is>
          <t>พ.ร.บ. เครื่องสำอาง พ.ศ. 2558</t>
        </is>
      </c>
      <c r="H246" s="2" t="inlineStr">
        <is>
          <t>พ.ร.บ. หลักประกันสุขภาพแห่งชาติ พ.ศ. 2545</t>
        </is>
      </c>
      <c r="I246" s="2" t="n">
        <v>1</v>
      </c>
      <c r="J24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2" t="n"/>
      <c r="L246" s="2" t="inlineStr">
        <is>
          <t>พ.ร.บ. ยา พ.ศ. 2510</t>
        </is>
      </c>
      <c r="M246" s="2" t="inlineStr">
        <is>
          <t>SAP</t>
        </is>
      </c>
      <c r="N246" s="2" t="inlineStr">
        <is>
          <t>ข้อ 62 (PLE_CC1_Key_Rx20_UBU.md)</t>
        </is>
      </c>
      <c r="O246" s="2" t="inlineStr">
        <is>
          <t>Mock</t>
        </is>
      </c>
      <c r="P246" s="2" t="inlineStr">
        <is>
          <t>Mock Rx20 UBU</t>
        </is>
      </c>
    </row>
    <row r="247" ht="13.2" customHeight="1" s="49">
      <c r="A247" s="2" t="n">
        <v>245</v>
      </c>
      <c r="B247" s="2" t="inlineStr">
        <is>
          <t>ยา Pioglitazone เป็นยาประเภทใดตามกฎหมาย</t>
        </is>
      </c>
      <c r="C247" s="2" t="n"/>
      <c r="D247" s="2" t="inlineStr">
        <is>
          <t>พ.ร.บ. เครื่องสำอาง พ.ศ. 2558</t>
        </is>
      </c>
      <c r="E247" s="2" t="inlineStr">
        <is>
          <t>พ.ร.บ. หลักประกันสุขภาพแห่งชาติ พ.ศ. 2545</t>
        </is>
      </c>
      <c r="F247" s="2" t="inlineStr">
        <is>
          <t>การปฏิบัติทางเภสัชกรรมชุมชน (Good Pharmacy Practice: GPP)</t>
        </is>
      </c>
      <c r="G247" s="2" t="inlineStr">
        <is>
          <t>บัญชียาหลักแห่งชาติ (National List of Essential Medicines: NLEM)</t>
        </is>
      </c>
      <c r="H247" s="2" t="inlineStr">
        <is>
          <t>เกณฑ์จริยธรรมว่าด้วยการส่งเสริมการขายยาของกระทรวงสาธารณสุข</t>
        </is>
      </c>
      <c r="I247" s="2" t="n">
        <v>1</v>
      </c>
      <c r="J24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2" t="n"/>
      <c r="L247" s="2" t="inlineStr">
        <is>
          <t>พ.ร.บ. ยา พ.ศ. 2510</t>
        </is>
      </c>
      <c r="M247" s="2" t="inlineStr">
        <is>
          <t>SAP</t>
        </is>
      </c>
      <c r="N247" s="2" t="inlineStr">
        <is>
          <t>ข้อ 69 (PLE_CC1_Key_Rx20_UBU.md)</t>
        </is>
      </c>
      <c r="O247" s="2" t="inlineStr">
        <is>
          <t>Mock</t>
        </is>
      </c>
      <c r="P247" s="2" t="inlineStr">
        <is>
          <t>Mock Rx20 UBU</t>
        </is>
      </c>
    </row>
    <row r="248" ht="13.2" customHeight="1" s="49">
      <c r="A248" s="2" t="n">
        <v>246</v>
      </c>
      <c r="B248" s="2" t="inlineStr">
        <is>
          <t>หากเภสัชกรตัดสินใจจ่ายยา Misoprostal ให้แก่ผู้หญิงที่ตั้งครรภ์ไม่พึงประสงค์จะผิดจรรยาบรรณวิชาชีพข้อใด</t>
        </is>
      </c>
      <c r="C248" s="2" t="n"/>
      <c r="D248" s="2" t="inlineStr">
        <is>
          <t>บัญชียาหลักแห่งชาติ (National List of Essential Medicines: NLEM)</t>
        </is>
      </c>
      <c r="E248" s="2" t="inlineStr">
        <is>
          <t>เกณฑ์จริยธรรมว่าด้วยการส่งเสริมการขายยาของกระทรวงสาธารณสุข</t>
        </is>
      </c>
      <c r="F248" s="2" t="inlineStr">
        <is>
          <t>พ.ร.บ. ยา พ.ศ. 2510 (การจำหน่ายยาอันตรายและยาควบคุมพิเศษ)</t>
        </is>
      </c>
      <c r="G248" s="2" t="inlineStr">
        <is>
          <t>พ.ร.บ. ยาเสพติดให้โทษ พ.ศ. 2522 (ยาเสพติดให้โทษประเภท 2 และ 3)</t>
        </is>
      </c>
      <c r="H248" s="2" t="inlineStr">
        <is>
          <t>พ.ร.บ. วัตถุที่ออกฤทธิ์ต่อจิตและประสาท พ.ศ. 2559 (ประเภท 2 และ 4)</t>
        </is>
      </c>
      <c r="I248" s="2" t="n">
        <v>1</v>
      </c>
      <c r="J24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2" t="n"/>
      <c r="L248" s="2" t="inlineStr">
        <is>
          <t>พ.ร.บ. วิชาชีพเภสัชกรรม 2537</t>
        </is>
      </c>
      <c r="M248" s="2" t="inlineStr">
        <is>
          <t>SAP</t>
        </is>
      </c>
      <c r="N248" s="2" t="inlineStr">
        <is>
          <t>ข้อ 85 (PLE_CC1_Key_Rx20_UBU.md)</t>
        </is>
      </c>
      <c r="O248" s="2" t="inlineStr">
        <is>
          <t>Mock</t>
        </is>
      </c>
      <c r="P248" s="2" t="inlineStr">
        <is>
          <t>Mock Rx20 UBU</t>
        </is>
      </c>
    </row>
    <row r="249" ht="13.2" customHeight="1" s="49">
      <c r="A249" s="2" t="n">
        <v>247</v>
      </c>
      <c r="B249" s="2" t="inlineStr">
        <is>
          <t>จรรยาบรรณวิชาชีพที่เกี่ยวข้องกับความปลอดภัยของผู้ป่วย</t>
        </is>
      </c>
      <c r="C249" s="2" t="n"/>
      <c r="D249" s="2" t="inlineStr">
        <is>
          <t>พ.ร.บ. ยาเสพติดให้โทษ พ.ศ. 2522 (ยาเสพติดให้โทษประเภท 2 และ 3)</t>
        </is>
      </c>
      <c r="E249" s="2" t="inlineStr">
        <is>
          <t>พ.ร.บ. วัตถุที่ออกฤทธิ์ต่อจิตและประสาท พ.ศ. 2559 (ประเภท 2 และ 4)</t>
        </is>
      </c>
      <c r="F249" s="2" t="inlineStr">
        <is>
          <t>พ.ร.บ. วิชาชีพเภสัชกรรม พ.ศ. 2537 และข้อบังคับจรรยาบรรณวิชาชีพ</t>
        </is>
      </c>
      <c r="G249" s="2" t="inlineStr">
        <is>
          <t>พ.ร.บ. ผลิตภัณฑ์สมุนไพร พ.ศ. 2562</t>
        </is>
      </c>
      <c r="H249" s="2" t="inlineStr">
        <is>
          <t>พ.ร.บ. เครื่องสำอาง พ.ศ. 2558</t>
        </is>
      </c>
      <c r="I249" s="2" t="n">
        <v>1</v>
      </c>
      <c r="J249" s="2"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2" t="n"/>
      <c r="L249" s="2" t="inlineStr">
        <is>
          <t>พ.ร.บ. วิชาชีพเภสัชกรรม 2537</t>
        </is>
      </c>
      <c r="M249" s="2" t="inlineStr">
        <is>
          <t>SAP</t>
        </is>
      </c>
      <c r="N249" s="2" t="inlineStr">
        <is>
          <t>ข้อ 4 (PLE_CC1_Key_Rx20_UBU.md)</t>
        </is>
      </c>
      <c r="O249" s="2" t="inlineStr">
        <is>
          <t>Mock</t>
        </is>
      </c>
      <c r="P249" s="2" t="inlineStr">
        <is>
          <t>Mock Rx20 UBU</t>
        </is>
      </c>
    </row>
    <row r="250" ht="13.2" customHeight="1" s="49">
      <c r="A250" s="2" t="n">
        <v>248</v>
      </c>
      <c r="B250" s="2"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ผู$ป&amp;วยเด็กชาย อายุ 10 ป3 มาร$านยาพร$อมมารดา เพื่อขอซื้อยารักษาอาการนํ้ำร$อนลวกที่บริเวณนGองด$านซ$าย จากการซักประวัติพบวGา ผู$ป&amp;วยมีประวัติแพ$ยากลุGม penicillins</t>
        </is>
      </c>
      <c r="C250" s="2" t="n"/>
      <c r="D250" s="2" t="inlineStr">
        <is>
          <t>พ.ร.บ. ผลิตภัณฑ์สมุนไพร พ.ศ. 2562</t>
        </is>
      </c>
      <c r="E250" s="2" t="inlineStr">
        <is>
          <t>พ.ร.บ. เครื่องสำอาง พ.ศ. 2558</t>
        </is>
      </c>
      <c r="F250" s="2" t="inlineStr">
        <is>
          <t>พ.ร.บ. หลักประกันสุขภาพแห่งชาติ พ.ศ. 2545</t>
        </is>
      </c>
      <c r="G250" s="2" t="inlineStr">
        <is>
          <t>การปฏิบัติทางเภสัชกรรมชุมชน (Good Pharmacy Practice: GPP)</t>
        </is>
      </c>
      <c r="H250" s="2" t="inlineStr">
        <is>
          <t>บัญชียาหลักแห่งชาติ (National List of Essential Medicines: NLEM)</t>
        </is>
      </c>
      <c r="I250" s="2" t="n">
        <v>1</v>
      </c>
      <c r="J25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2" t="n"/>
      <c r="L250" s="2" t="inlineStr">
        <is>
          <t>พ.ร.บ. วิชาชีพเภสัชกรรม 2537</t>
        </is>
      </c>
      <c r="M250" s="2" t="inlineStr">
        <is>
          <t>SAP</t>
        </is>
      </c>
      <c r="N250" s="2" t="inlineStr">
        <is>
          <t>ข้อ 5 (PLE_CC1_Key_Rx20_UBU.md)</t>
        </is>
      </c>
      <c r="O250" s="2" t="inlineStr">
        <is>
          <t>Mock</t>
        </is>
      </c>
      <c r="P250" s="2" t="inlineStr">
        <is>
          <t>Mock Rx20 UBU</t>
        </is>
      </c>
    </row>
    <row r="251" ht="13.2" customHeight="1" s="49">
      <c r="A251" s="2" t="n">
        <v>249</v>
      </c>
      <c r="B251" s="2"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2" t="n"/>
      <c r="D251" s="2" t="inlineStr">
        <is>
          <t>Cost description</t>
        </is>
      </c>
      <c r="E251" s="2" t="inlineStr">
        <is>
          <t>Cost minimization analysis</t>
        </is>
      </c>
      <c r="F251" s="2" t="inlineStr">
        <is>
          <t>Cost beneﬁt analysis</t>
        </is>
      </c>
      <c r="G251" s="2" t="inlineStr">
        <is>
          <t>Cost utility analysis</t>
        </is>
      </c>
      <c r="H251" s="2" t="inlineStr">
        <is>
          <t>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t>
        </is>
      </c>
      <c r="I251" s="2" t="n">
        <v>2</v>
      </c>
      <c r="J251" s="2"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ผู$ป&amp;วยหญิงไทยคูG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2" t="n"/>
      <c r="L251" s="2" t="inlineStr">
        <is>
          <t>พ.ร.บ. ยา พ.ศ. 2510</t>
        </is>
      </c>
      <c r="M251" s="2" t="inlineStr">
        <is>
          <t>SAP</t>
        </is>
      </c>
      <c r="N251" s="2" t="inlineStr">
        <is>
          <t>ข้อ 34 (PLE_CC1_Key_Rx20_UBU.md)</t>
        </is>
      </c>
      <c r="O251" s="2" t="inlineStr">
        <is>
          <t>Mock</t>
        </is>
      </c>
      <c r="P251" s="2" t="inlineStr">
        <is>
          <t>Mock Rx20 UBU</t>
        </is>
      </c>
    </row>
    <row r="252" ht="13.2" customHeight="1" s="49">
      <c r="A252" s="2" t="n">
        <v>250</v>
      </c>
      <c r="B252" s="2" t="inlineStr">
        <is>
          <t>หลังจากผู$ป&amp;วยรับประทานยาไประยะหนึ่ง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2" t="n"/>
      <c r="D252" s="2" t="inlineStr">
        <is>
          <t>พ.ร.บ. ยา พ.ศ. 2510 (การจำหน่ายยาอันตรายและยาควบคุมพิเศษ)</t>
        </is>
      </c>
      <c r="E252" s="2" t="inlineStr">
        <is>
          <t>พ.ร.บ. ยาเสพติดให้โทษ พ.ศ. 2522 (ยาเสพติดให้โทษประเภท 2 และ 3)</t>
        </is>
      </c>
      <c r="F252" s="2" t="inlineStr">
        <is>
          <t>พ.ร.บ. วัตถุที่ออกฤทธิ์ต่อจิตและประสาท พ.ศ. 2559 (ประเภท 2 และ 4)</t>
        </is>
      </c>
      <c r="G252" s="2" t="inlineStr">
        <is>
          <t>พ.ร.บ. วิชาชีพเภสัชกรรม พ.ศ. 2537 และข้อบังคับจรรยาบรรณวิชาชีพ</t>
        </is>
      </c>
      <c r="H252" s="2" t="inlineStr">
        <is>
          <t>พ.ร.บ. ผลิตภัณฑ์สมุนไพร พ.ศ. 2562</t>
        </is>
      </c>
      <c r="I252" s="2" t="n">
        <v>1</v>
      </c>
      <c r="J25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2" t="n"/>
      <c r="L252" s="2" t="inlineStr">
        <is>
          <t>พ.ร.บ. ยา พ.ศ. 2510</t>
        </is>
      </c>
      <c r="M252" s="2" t="inlineStr">
        <is>
          <t>SAP</t>
        </is>
      </c>
      <c r="N252" s="2" t="inlineStr">
        <is>
          <t>ข้อ 43 (PLE_CC1_Key_Rx20_UBU.md)</t>
        </is>
      </c>
      <c r="O252" s="2" t="inlineStr">
        <is>
          <t>Mock</t>
        </is>
      </c>
      <c r="P252" s="2" t="inlineStr">
        <is>
          <t>Mock Rx20 UBU</t>
        </is>
      </c>
    </row>
    <row r="253" ht="13.2" customHeight="1" s="49">
      <c r="A253" s="2" t="n">
        <v>251</v>
      </c>
      <c r="B253" s="2"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ยาควบคุมพิเศษซึ่งจำหนGายได$เฉพาะสถานพยาบาลที่รับผู$ป&amp;วยค$างคืน และ ยาอันตราย (4) ยาอันตราย และ ยาอันตราย (5) ยาควบคุมพิเศษ และ ยาควบคุมพิเศษ สถานการณ)ที 8 ผู$ป&amp;วยชายไทย อายุ 45 ป3 เนืองจากมีภาวะปวดท$อง ไมGมีอาเจียนเปญนเลือดสด ไมGมีภาวะถGายดำ ไมGมีไข$ จากการซักประวัติพบวGา ผู$ป&amp;วยมีประวัติดื่มแอลกอฮอล_วันละ 1 แบน มานานประมาณ 20 ป3 โดยดื่มครั้งสุดท$ายเมื่อ 2 วันกGอนมาโรงพยาบาล แพทย_วินิจฉัยวGาผู$ป&amp;วยมีภาวะ alcoholic cirrhosis</t>
        </is>
      </c>
      <c r="C253" s="2" t="n"/>
      <c r="D253" s="2" t="inlineStr">
        <is>
          <t>พ.ร.บ. วิชาชีพเภสัชกรรม พ.ศ. 2537 และข้อบังคับจรรยาบรรณวิชาชีพ</t>
        </is>
      </c>
      <c r="E253" s="2" t="inlineStr">
        <is>
          <t>พ.ร.บ. ผลิตภัณฑ์สมุนไพร พ.ศ. 2562</t>
        </is>
      </c>
      <c r="F253" s="2" t="inlineStr">
        <is>
          <t>พ.ร.บ. เครื่องสำอาง พ.ศ. 2558</t>
        </is>
      </c>
      <c r="G253" s="2" t="inlineStr">
        <is>
          <t>พ.ร.บ. หลักประกันสุขภาพแห่งชาติ พ.ศ. 2545</t>
        </is>
      </c>
      <c r="H253" s="2" t="inlineStr">
        <is>
          <t>การปฏิบัติทางเภสัชกรรมชุมชน (Good Pharmacy Practice: GPP)</t>
        </is>
      </c>
      <c r="I253" s="2" t="n">
        <v>3</v>
      </c>
      <c r="J253" s="2"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2" t="n"/>
      <c r="L253" s="2" t="inlineStr">
        <is>
          <t>พ.ร.บ. ยา พ.ศ. 2510</t>
        </is>
      </c>
      <c r="M253" s="2" t="inlineStr">
        <is>
          <t>SAP</t>
        </is>
      </c>
      <c r="N253" s="2" t="inlineStr">
        <is>
          <t>ข้อ 55 (PLE_CC1_Key_Rx20_UBU.md)</t>
        </is>
      </c>
      <c r="O253" s="2" t="inlineStr">
        <is>
          <t>Mock</t>
        </is>
      </c>
      <c r="P253" s="2" t="inlineStr">
        <is>
          <t>Mock Rx20 UBU</t>
        </is>
      </c>
    </row>
    <row r="254" ht="13.2" customHeight="1" s="49">
      <c r="A254" s="2" t="n">
        <v>252</v>
      </c>
      <c r="B254" s="2" t="inlineStr">
        <is>
          <t>ไมGได$ เพราะ เพราะ พรบ.ยา หมวด 11 การโฆษณา มาตรา 88 ข$อ 6. ไมGแสดงยาอันตราย,ยาควบคุมพิเศษ</t>
        </is>
      </c>
      <c r="C254" s="2" t="n"/>
      <c r="D254" s="2" t="inlineStr">
        <is>
          <t>พ.ร.บ. หลักประกันสุขภาพแห่งชาติ พ.ศ. 2545</t>
        </is>
      </c>
      <c r="E254" s="2" t="inlineStr">
        <is>
          <t>การปฏิบัติทางเภสัชกรรมชุมชน (Good Pharmacy Practice: GPP)</t>
        </is>
      </c>
      <c r="F254" s="2" t="inlineStr">
        <is>
          <t>บัญชียาหลักแห่งชาติ (National List of Essential Medicines: NLEM)</t>
        </is>
      </c>
      <c r="G254" s="2" t="inlineStr">
        <is>
          <t>เกณฑ์จริยธรรมว่าด้วยการส่งเสริมการขายยาของกระทรวงสาธารณสุข</t>
        </is>
      </c>
      <c r="H254" s="2" t="inlineStr">
        <is>
          <t>พ.ร.บ. ยา พ.ศ. 2510 (การจำหน่ายยาอันตรายและยาควบคุมพิเศษ)</t>
        </is>
      </c>
      <c r="I254" s="2" t="n">
        <v>2</v>
      </c>
      <c r="J254" s="2"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2" t="n"/>
      <c r="L254" s="2" t="inlineStr">
        <is>
          <t>พ.ร.บ. ยา พ.ศ. 2510</t>
        </is>
      </c>
      <c r="M254" s="2" t="inlineStr">
        <is>
          <t>SAP</t>
        </is>
      </c>
      <c r="N254" s="2" t="inlineStr">
        <is>
          <t>ข้อ 5 (PLE_CC1_Key_Rx20_UBU.md)</t>
        </is>
      </c>
      <c r="O254" s="2" t="inlineStr">
        <is>
          <t>Mock</t>
        </is>
      </c>
      <c r="P254" s="2" t="inlineStr">
        <is>
          <t>Mock Rx20 UBU</t>
        </is>
      </c>
    </row>
    <row r="255" ht="13.2" customHeight="1" s="49">
      <c r="A255" s="2" t="n">
        <v>253</v>
      </c>
      <c r="B255" s="2" t="inlineStr">
        <is>
          <t>Isotetinoin gel กับ isotetinoin capsule จัดเปญนยาประเภทใดตามกฎหมาย</t>
        </is>
      </c>
      <c r="C255" s="2" t="n"/>
      <c r="D255" s="2" t="inlineStr">
        <is>
          <t>เกณฑ์จริยธรรมว่าด้วยการส่งเสริมการขายยาของกระทรวงสาธารณสุข</t>
        </is>
      </c>
      <c r="E255" s="2" t="inlineStr">
        <is>
          <t>พ.ร.บ. ยา พ.ศ. 2510 (การจำหน่ายยาอันตรายและยาควบคุมพิเศษ)</t>
        </is>
      </c>
      <c r="F255" s="2" t="inlineStr">
        <is>
          <t>พ.ร.บ. ยาเสพติดให้โทษ พ.ศ. 2522 (ยาเสพติดให้โทษประเภท 2 และ 3)</t>
        </is>
      </c>
      <c r="G255" s="2" t="inlineStr">
        <is>
          <t>พ.ร.บ. วัตถุที่ออกฤทธิ์ต่อจิตและประสาท พ.ศ. 2559 (ประเภท 2 และ 4)</t>
        </is>
      </c>
      <c r="H255" s="2" t="inlineStr">
        <is>
          <t>พ.ร.บ. วิชาชีพเภสัชกรรม พ.ศ. 2537 และข้อบังคับจรรยาบรรณวิชาชีพ</t>
        </is>
      </c>
      <c r="I255" s="2" t="n">
        <v>1</v>
      </c>
      <c r="J25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2" t="n"/>
      <c r="L255" s="2" t="inlineStr">
        <is>
          <t>พ.ร.บ. ยา พ.ศ. 2510</t>
        </is>
      </c>
      <c r="M255" s="2" t="inlineStr">
        <is>
          <t>SAP</t>
        </is>
      </c>
      <c r="N255" s="2" t="inlineStr">
        <is>
          <t>ข้อ 10 (PLE_CC1_Key_Rx20_UBU.md)</t>
        </is>
      </c>
      <c r="O255" s="2" t="inlineStr">
        <is>
          <t>Mock</t>
        </is>
      </c>
      <c r="P255" s="2" t="inlineStr">
        <is>
          <t>Mock Rx20 UBU</t>
        </is>
      </c>
    </row>
    <row r="256" ht="13.2" customHeight="1" s="49">
      <c r="A256" s="2" t="n">
        <v>254</v>
      </c>
      <c r="B256" s="2" t="inlineStr">
        <is>
          <t>การฉีดยาทาง IM ให$คGาชีวประสิทธิผล (Bioavailability) 100%</t>
        </is>
      </c>
      <c r="C256" s="2" t="n"/>
      <c r="D256" s="2" t="inlineStr">
        <is>
          <t>พ.ร.บ. วัตถุที่ออกฤทธิ์ต่อจิตและประสาท พ.ศ. 2559 (ประเภท 2 และ 4)</t>
        </is>
      </c>
      <c r="E256" s="2" t="inlineStr">
        <is>
          <t>พ.ร.บ. วิชาชีพเภสัชกรรม พ.ศ. 2537 และข้อบังคับจรรยาบรรณวิชาชีพ</t>
        </is>
      </c>
      <c r="F256" s="2" t="inlineStr">
        <is>
          <t>พ.ร.บ. ผลิตภัณฑ์สมุนไพร พ.ศ. 2562</t>
        </is>
      </c>
      <c r="G256" s="2" t="inlineStr">
        <is>
          <t>พ.ร.บ. เครื่องสำอาง พ.ศ. 2558</t>
        </is>
      </c>
      <c r="H256" s="2" t="inlineStr">
        <is>
          <t>พ.ร.บ. หลักประกันสุขภาพแห่งชาติ พ.ศ. 2545</t>
        </is>
      </c>
      <c r="I256" s="2" t="n">
        <v>1</v>
      </c>
      <c r="J25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2" t="n"/>
      <c r="L256" s="2" t="inlineStr">
        <is>
          <t>พ.ร.บ. ยา พ.ศ. 2510</t>
        </is>
      </c>
      <c r="M256" s="2" t="inlineStr">
        <is>
          <t>SAP</t>
        </is>
      </c>
      <c r="N256" s="2" t="inlineStr">
        <is>
          <t>ข้อ 3 (PLE_CC1_Key_Rx20_UBU.md)</t>
        </is>
      </c>
      <c r="O256" s="2" t="inlineStr">
        <is>
          <t>Mock</t>
        </is>
      </c>
      <c r="P256" s="2" t="inlineStr">
        <is>
          <t>Mock Rx20 UBU</t>
        </is>
      </c>
    </row>
    <row r="257" ht="13.2" customHeight="1" s="49">
      <c r="A257" s="2" t="n">
        <v>255</v>
      </c>
      <c r="B257" s="2"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2" t="n"/>
      <c r="D257" s="2" t="inlineStr">
        <is>
          <t>พ.ร.บ. เครื่องสำอาง พ.ศ. 2558</t>
        </is>
      </c>
      <c r="E257" s="2" t="inlineStr">
        <is>
          <t>พ.ร.บ. หลักประกันสุขภาพแห่งชาติ พ.ศ. 2545</t>
        </is>
      </c>
      <c r="F257" s="2" t="inlineStr">
        <is>
          <t>การปฏิบัติทางเภสัชกรรมชุมชน (Good Pharmacy Practice: GPP)</t>
        </is>
      </c>
      <c r="G257" s="2" t="inlineStr">
        <is>
          <t>บัญชียาหลักแห่งชาติ (National List of Essential Medicines: NLEM)</t>
        </is>
      </c>
      <c r="H257" s="2" t="inlineStr">
        <is>
          <t>เกณฑ์จริยธรรมว่าด้วยการส่งเสริมการขายยาของกระทรวงสาธารณสุข</t>
        </is>
      </c>
      <c r="I257" s="2" t="n">
        <v>1</v>
      </c>
      <c r="J25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2" t="n"/>
      <c r="L257" s="2" t="inlineStr">
        <is>
          <t>พ.ร.บ. ยา พ.ศ. 2510</t>
        </is>
      </c>
      <c r="M257" s="2" t="inlineStr">
        <is>
          <t>SAP</t>
        </is>
      </c>
      <c r="N257" s="2" t="inlineStr">
        <is>
          <t>ข้อ 77 (PLE_CC1_Key_Rx20_UBU.md)</t>
        </is>
      </c>
      <c r="O257" s="2" t="inlineStr">
        <is>
          <t>Mock</t>
        </is>
      </c>
      <c r="P257" s="2" t="inlineStr">
        <is>
          <t>Mock Rx20 UBU</t>
        </is>
      </c>
    </row>
    <row r="258" ht="13.2" customHeight="1" s="49">
      <c r="A258" s="2" t="n">
        <v>256</v>
      </c>
      <c r="B258" s="2" t="inlineStr">
        <is>
          <t>มีถามกฎหมาย เกี่ยวกับ Alprazolam P2 โจทย_ไมGสมบูรณ_</t>
        </is>
      </c>
      <c r="C258" s="2" t="n"/>
      <c r="D258" s="2" t="inlineStr">
        <is>
          <t>บัญชียาหลักแห่งชาติ (National List of Essential Medicines: NLEM)</t>
        </is>
      </c>
      <c r="E258" s="2" t="inlineStr">
        <is>
          <t>เกณฑ์จริยธรรมว่าด้วยการส่งเสริมการขายยาของกระทรวงสาธารณสุข</t>
        </is>
      </c>
      <c r="F258" s="2" t="inlineStr">
        <is>
          <t>พ.ร.บ. ยา พ.ศ. 2510 (การจำหน่ายยาอันตรายและยาควบคุมพิเศษ)</t>
        </is>
      </c>
      <c r="G258" s="2" t="inlineStr">
        <is>
          <t>พ.ร.บ. ยาเสพติดให้โทษ พ.ศ. 2522 (ยาเสพติดให้โทษประเภท 2 และ 3)</t>
        </is>
      </c>
      <c r="H258" s="2" t="inlineStr">
        <is>
          <t>พ.ร.บ. วัตถุที่ออกฤทธิ์ต่อจิตและประสาท พ.ศ. 2559 (ประเภท 2 และ 4)</t>
        </is>
      </c>
      <c r="I258" s="2" t="n">
        <v>1</v>
      </c>
      <c r="J25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2" t="n"/>
      <c r="L258" s="2" t="inlineStr">
        <is>
          <t>พ.ร.บ. ยา พ.ศ. 2510</t>
        </is>
      </c>
      <c r="M258" s="2" t="inlineStr">
        <is>
          <t>SAP</t>
        </is>
      </c>
      <c r="N258" s="2" t="inlineStr">
        <is>
          <t>ข้อ 78 (PLE_CC1_Key_Rx20_UBU.md)</t>
        </is>
      </c>
      <c r="O258" s="2" t="inlineStr">
        <is>
          <t>Mock</t>
        </is>
      </c>
      <c r="P258" s="2" t="inlineStr">
        <is>
          <t>Mock Rx20 UBU</t>
        </is>
      </c>
    </row>
    <row r="259" ht="13.2" customHeight="1" s="49">
      <c r="A259" s="2" t="n">
        <v>257</v>
      </c>
      <c r="B259" s="2"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2" t="n"/>
      <c r="D259" s="2" t="inlineStr">
        <is>
          <t>กระทำไมGได$ เนื่องจากเปญนการขายยานอกสถานที่</t>
        </is>
      </c>
      <c r="E259" s="2" t="inlineStr">
        <is>
          <t>กระทำไมGได$ เนื่องจากเปญนการขายยาโดยไมGได$รับอนุญาต</t>
        </is>
      </c>
      <c r="F259" s="2" t="inlineStr">
        <is>
          <t>กระทำได$ เนื่องจากเปญนการขายยาสามัญประจำบ$าน??? (ไมGแนGใจ)</t>
        </is>
      </c>
      <c r="G259" s="2" t="inlineStr">
        <is>
          <t>กระทำได$ เนื่องจากเปญนการขายยาสมุนไพร</t>
        </is>
      </c>
      <c r="H259" s="2" t="inlineStr">
        <is>
          <t>กระทำได$หากนายเอกเปญนผู$ประกอบวิชาชีพเวชกรรมแผนไทย</t>
        </is>
      </c>
      <c r="I259" s="2" t="n">
        <v>2</v>
      </c>
      <c r="J259" s="2"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2" t="n"/>
      <c r="L259" s="2" t="inlineStr">
        <is>
          <t>พ.ร.บ. ยา พ.ศ. 2510</t>
        </is>
      </c>
      <c r="M259" s="2" t="inlineStr">
        <is>
          <t>SAP</t>
        </is>
      </c>
      <c r="N259" s="2" t="inlineStr">
        <is>
          <t>ข้อ 88 (PLE_CC1_Key_Rx20_UBU.md)</t>
        </is>
      </c>
      <c r="O259" s="2" t="inlineStr">
        <is>
          <t>Mock</t>
        </is>
      </c>
      <c r="P259" s="2" t="inlineStr">
        <is>
          <t>Mock Rx20 UBU</t>
        </is>
      </c>
    </row>
    <row r="260" ht="13.2" customHeight="1" s="49">
      <c r="A260" s="2" t="n">
        <v>258</v>
      </c>
      <c r="B260" s="2" t="inlineStr">
        <is>
          <t>มีต$นทุน-ประสิทธิผลต่ำ</t>
        </is>
      </c>
      <c r="C260" s="2" t="n"/>
      <c r="D260" s="2" t="inlineStr">
        <is>
          <t>พ.ร.บ. ผลิตภัณฑ์สมุนไพร พ.ศ. 2562</t>
        </is>
      </c>
      <c r="E260" s="2" t="inlineStr">
        <is>
          <t>พ.ร.บ. เครื่องสำอาง พ.ศ. 2558</t>
        </is>
      </c>
      <c r="F260" s="2" t="inlineStr">
        <is>
          <t>พ.ร.บ. หลักประกันสุขภาพแห่งชาติ พ.ศ. 2545</t>
        </is>
      </c>
      <c r="G260" s="2" t="inlineStr">
        <is>
          <t>การปฏิบัติทางเภสัชกรรมชุมชน (Good Pharmacy Practice: GPP)</t>
        </is>
      </c>
      <c r="H260" s="2" t="inlineStr">
        <is>
          <t>บัญชียาหลักแห่งชาติ (National List of Essential Medicines: NLEM)</t>
        </is>
      </c>
      <c r="I260" s="2" t="n">
        <v>1</v>
      </c>
      <c r="J26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2" t="n"/>
      <c r="L260" s="2" t="inlineStr">
        <is>
          <t>พ.ร.บ. ยา พ.ศ. 2510</t>
        </is>
      </c>
      <c r="M260" s="2" t="inlineStr">
        <is>
          <t>SAP</t>
        </is>
      </c>
      <c r="N260" s="2" t="inlineStr">
        <is>
          <t>ข้อ 3 (PLE_CC1_Key_Rx20_UBU.md)</t>
        </is>
      </c>
      <c r="O260" s="2" t="inlineStr">
        <is>
          <t>Mock</t>
        </is>
      </c>
      <c r="P260" s="2" t="inlineStr">
        <is>
          <t>Mock Rx20 UBU</t>
        </is>
      </c>
    </row>
    <row r="261" ht="13.2" customHeight="1" s="49">
      <c r="A261" s="2" t="n">
        <v>259</v>
      </c>
      <c r="B261" s="2" t="inlineStr">
        <is>
          <t>มีต$นทุน-ประสิทธิภาพไมGดี</t>
        </is>
      </c>
      <c r="C261" s="2" t="n"/>
      <c r="D261" s="2" t="inlineStr">
        <is>
          <t>การปฏิบัติทางเภสัชกรรมชุมชน (Good Pharmacy Practice: GPP)</t>
        </is>
      </c>
      <c r="E261" s="2" t="inlineStr">
        <is>
          <t>บัญชียาหลักแห่งชาติ (National List of Essential Medicines: NLEM)</t>
        </is>
      </c>
      <c r="F261" s="2" t="inlineStr">
        <is>
          <t>เกณฑ์จริยธรรมว่าด้วยการส่งเสริมการขายยาของกระทรวงสาธารณสุข</t>
        </is>
      </c>
      <c r="G261" s="2" t="inlineStr">
        <is>
          <t>พ.ร.บ. ยา พ.ศ. 2510 (การจำหน่ายยาอันตรายและยาควบคุมพิเศษ)</t>
        </is>
      </c>
      <c r="H261" s="2" t="inlineStr">
        <is>
          <t>พ.ร.บ. ยาเสพติดให้โทษ พ.ศ. 2522 (ยาเสพติดให้โทษประเภท 2 และ 3)</t>
        </is>
      </c>
      <c r="I261" s="2" t="n">
        <v>1</v>
      </c>
      <c r="J26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2" t="n"/>
      <c r="L261" s="2" t="inlineStr">
        <is>
          <t>พ.ร.บ. ยา พ.ศ. 2510</t>
        </is>
      </c>
      <c r="M261" s="2" t="inlineStr">
        <is>
          <t>SAP</t>
        </is>
      </c>
      <c r="N261" s="2" t="inlineStr">
        <is>
          <t>ข้อ 4 (PLE_CC1_Key_Rx20_UBU.md)</t>
        </is>
      </c>
      <c r="O261" s="2" t="inlineStr">
        <is>
          <t>Mock</t>
        </is>
      </c>
      <c r="P261" s="2" t="inlineStr">
        <is>
          <t>Mock Rx20 UBU</t>
        </is>
      </c>
    </row>
    <row r="262" ht="13.2" customHeight="1" s="49">
      <c r="A262" s="2" t="n">
        <v>260</v>
      </c>
      <c r="B262" s="2" t="inlineStr">
        <is>
          <t>จากการศึกษาการใช$ยากลุGม Bisphosphonate ในผู$ป&amp;วยโรคกระดูกพรุนเปรียบเทียบประสิทธิภาพระหวGางยาเดิมและยาใหมG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2" t="n"/>
      <c r="D262" s="2" t="inlineStr">
        <is>
          <t>พ.ร.บ. ยา พ.ศ. 2510 (การจำหน่ายยาอันตรายและยาควบคุมพิเศษ)</t>
        </is>
      </c>
      <c r="E262" s="2" t="inlineStr">
        <is>
          <t>พ.ร.บ. ยาเสพติดให้โทษ พ.ศ. 2522 (ยาเสพติดให้โทษประเภท 2 และ 3)</t>
        </is>
      </c>
      <c r="F262" s="2" t="inlineStr">
        <is>
          <t>พ.ร.บ. วัตถุที่ออกฤทธิ์ต่อจิตและประสาท พ.ศ. 2559 (ประเภท 2 และ 4)</t>
        </is>
      </c>
      <c r="G262" s="2" t="inlineStr">
        <is>
          <t>พ.ร.บ. วิชาชีพเภสัชกรรม พ.ศ. 2537 และข้อบังคับจรรยาบรรณวิชาชีพ</t>
        </is>
      </c>
      <c r="H262" s="2" t="inlineStr">
        <is>
          <t>พ.ร.บ. ผลิตภัณฑ์สมุนไพร พ.ศ. 2562</t>
        </is>
      </c>
      <c r="I262" s="2" t="n">
        <v>1</v>
      </c>
      <c r="J262" s="2"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2" t="n"/>
      <c r="L262" s="2" t="inlineStr">
        <is>
          <t>พ.ร.บ. ยา พ.ศ. 2510</t>
        </is>
      </c>
      <c r="M262" s="2" t="inlineStr">
        <is>
          <t>SAP</t>
        </is>
      </c>
      <c r="N262" s="2" t="inlineStr">
        <is>
          <t>ข้อ 103 (PLE_CC1_Key_Rx20_UBU.md)</t>
        </is>
      </c>
      <c r="O262" s="2" t="inlineStr">
        <is>
          <t>Mock</t>
        </is>
      </c>
      <c r="P262" s="2" t="inlineStr">
        <is>
          <t>Mock Rx20 UBU</t>
        </is>
      </c>
    </row>
    <row r="263" ht="13.2" customHeight="1" s="49">
      <c r="A263" s="2" t="n">
        <v>261</v>
      </c>
      <c r="B263" s="2" t="inlineStr">
        <is>
          <t>แนะนำให$ใช$ยาใหมG เนื่องจากยาใหมGมีประสิทธิภาพดีกวGาอยGางมีนัยสำคัญทางสถิติ</t>
        </is>
      </c>
      <c r="C263" s="2" t="n"/>
      <c r="D263" s="2" t="inlineStr">
        <is>
          <t>พ.ร.บ. วิชาชีพเภสัชกรรม พ.ศ. 2537 และข้อบังคับจรรยาบรรณวิชาชีพ</t>
        </is>
      </c>
      <c r="E263" s="2" t="inlineStr">
        <is>
          <t>พ.ร.บ. ผลิตภัณฑ์สมุนไพร พ.ศ. 2562</t>
        </is>
      </c>
      <c r="F263" s="2" t="inlineStr">
        <is>
          <t>พ.ร.บ. เครื่องสำอาง พ.ศ. 2558</t>
        </is>
      </c>
      <c r="G263" s="2" t="inlineStr">
        <is>
          <t>พ.ร.บ. หลักประกันสุขภาพแห่งชาติ พ.ศ. 2545</t>
        </is>
      </c>
      <c r="H263" s="2" t="inlineStr">
        <is>
          <t>การปฏิบัติทางเภสัชกรรมชุมชน (Good Pharmacy Practice: GPP)</t>
        </is>
      </c>
      <c r="I263" s="2" t="n">
        <v>1</v>
      </c>
      <c r="J263" s="2"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2" t="n"/>
      <c r="L263" s="2" t="inlineStr">
        <is>
          <t>พ.ร.บ. ยา พ.ศ. 2510</t>
        </is>
      </c>
      <c r="M263" s="2" t="inlineStr">
        <is>
          <t>SAP</t>
        </is>
      </c>
      <c r="N263" s="2" t="inlineStr">
        <is>
          <t>ข้อ 1 (PLE_CC1_Key_Rx20_UBU.md)</t>
        </is>
      </c>
      <c r="O263" s="2" t="inlineStr">
        <is>
          <t>Mock</t>
        </is>
      </c>
      <c r="P263" s="2" t="inlineStr">
        <is>
          <t>Mock Rx20 UBU</t>
        </is>
      </c>
    </row>
    <row r="264" ht="13.2" customHeight="1" s="49">
      <c r="A264" s="2" t="n">
        <v>262</v>
      </c>
      <c r="B264" s="2" t="inlineStr">
        <is>
          <t>แนะนำให$ใช$ยาใหมG เนื่องจากยาใหมGมีประสิทธิภาพดีกวGาอยGางไมGมีนัยสำคัญทางสถิติ</t>
        </is>
      </c>
      <c r="C264" s="2" t="n"/>
      <c r="D264" s="2" t="inlineStr">
        <is>
          <t>พ.ร.บ. หลักประกันสุขภาพแห่งชาติ พ.ศ. 2545</t>
        </is>
      </c>
      <c r="E264" s="2" t="inlineStr">
        <is>
          <t>การปฏิบัติทางเภสัชกรรมชุมชน (Good Pharmacy Practice: GPP)</t>
        </is>
      </c>
      <c r="F264" s="2" t="inlineStr">
        <is>
          <t>บัญชียาหลักแห่งชาติ (National List of Essential Medicines: NLEM)</t>
        </is>
      </c>
      <c r="G264" s="2" t="inlineStr">
        <is>
          <t>เกณฑ์จริยธรรมว่าด้วยการส่งเสริมการขายยาของกระทรวงสาธารณสุข</t>
        </is>
      </c>
      <c r="H264" s="2" t="inlineStr">
        <is>
          <t>พ.ร.บ. ยา พ.ศ. 2510 (การจำหน่ายยาอันตรายและยาควบคุมพิเศษ)</t>
        </is>
      </c>
      <c r="I264" s="2" t="n">
        <v>1</v>
      </c>
      <c r="J264" s="2"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2" t="n"/>
      <c r="L264" s="2" t="inlineStr">
        <is>
          <t>พ.ร.บ. ยา พ.ศ. 2510</t>
        </is>
      </c>
      <c r="M264" s="2" t="inlineStr">
        <is>
          <t>SAP</t>
        </is>
      </c>
      <c r="N264" s="2" t="inlineStr">
        <is>
          <t>ข้อ 2 (PLE_CC1_Key_Rx20_UBU.md)</t>
        </is>
      </c>
      <c r="O264" s="2" t="inlineStr">
        <is>
          <t>Mock</t>
        </is>
      </c>
      <c r="P264" s="2" t="inlineStr">
        <is>
          <t>Mock Rx20 UBU</t>
        </is>
      </c>
    </row>
    <row r="265" ht="13.2" customHeight="1" s="49">
      <c r="A265" s="2" t="n">
        <v>263</v>
      </c>
      <c r="B265" s="2" t="inlineStr">
        <is>
          <t>ไมGแนะนำให$ใช$ยาใหมG เนื่องจากยาใหมGมีประสิทธิภาพด$อยกวGายาเดิมอยGางมีนัยสำคัญทางสถิติ</t>
        </is>
      </c>
      <c r="C265" s="2" t="n"/>
      <c r="D265" s="2" t="inlineStr">
        <is>
          <t>เกณฑ์จริยธรรมว่าด้วยการส่งเสริมการขายยาของกระทรวงสาธารณสุข</t>
        </is>
      </c>
      <c r="E265" s="2" t="inlineStr">
        <is>
          <t>พ.ร.บ. ยา พ.ศ. 2510 (การจำหน่ายยาอันตรายและยาควบคุมพิเศษ)</t>
        </is>
      </c>
      <c r="F265" s="2" t="inlineStr">
        <is>
          <t>พ.ร.บ. ยาเสพติดให้โทษ พ.ศ. 2522 (ยาเสพติดให้โทษประเภท 2 และ 3)</t>
        </is>
      </c>
      <c r="G265" s="2" t="inlineStr">
        <is>
          <t>พ.ร.บ. วัตถุที่ออกฤทธิ์ต่อจิตและประสาท พ.ศ. 2559 (ประเภท 2 และ 4)</t>
        </is>
      </c>
      <c r="H265" s="2" t="inlineStr">
        <is>
          <t>พ.ร.บ. วิชาชีพเภสัชกรรม พ.ศ. 2537 และข้อบังคับจรรยาบรรณวิชาชีพ</t>
        </is>
      </c>
      <c r="I265" s="2" t="n">
        <v>1</v>
      </c>
      <c r="J265" s="2"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2" t="n"/>
      <c r="L265" s="2" t="inlineStr">
        <is>
          <t>พ.ร.บ. ยา พ.ศ. 2510</t>
        </is>
      </c>
      <c r="M265" s="2" t="inlineStr">
        <is>
          <t>SAP</t>
        </is>
      </c>
      <c r="N265" s="2" t="inlineStr">
        <is>
          <t>ข้อ 3 (PLE_CC1_Key_Rx20_UBU.md)</t>
        </is>
      </c>
      <c r="O265" s="2" t="inlineStr">
        <is>
          <t>Mock</t>
        </is>
      </c>
      <c r="P265" s="2" t="inlineStr">
        <is>
          <t>Mock Rx20 UBU</t>
        </is>
      </c>
    </row>
    <row r="266" ht="13.2" customHeight="1" s="49">
      <c r="A266" s="2" t="n">
        <v>264</v>
      </c>
      <c r="B266" s="2" t="inlineStr">
        <is>
          <t>ไมGแนะนำให$ใช$ยาใหมG เนื่องจากยาใหมGมีประสิทธิภาพดีกวGายาเดิมอยGางไมGมีนัยสำคัญทางสถิติ</t>
        </is>
      </c>
      <c r="C266" s="2" t="n"/>
      <c r="D266" s="2" t="inlineStr">
        <is>
          <t>พ.ร.บ. วัตถุที่ออกฤทธิ์ต่อจิตและประสาท พ.ศ. 2559 (ประเภท 2 และ 4)</t>
        </is>
      </c>
      <c r="E266" s="2" t="inlineStr">
        <is>
          <t>พ.ร.บ. วิชาชีพเภสัชกรรม พ.ศ. 2537 และข้อบังคับจรรยาบรรณวิชาชีพ</t>
        </is>
      </c>
      <c r="F266" s="2" t="inlineStr">
        <is>
          <t>พ.ร.บ. ผลิตภัณฑ์สมุนไพร พ.ศ. 2562</t>
        </is>
      </c>
      <c r="G266" s="2" t="inlineStr">
        <is>
          <t>พ.ร.บ. เครื่องสำอาง พ.ศ. 2558</t>
        </is>
      </c>
      <c r="H266" s="2" t="inlineStr">
        <is>
          <t>พ.ร.บ. หลักประกันสุขภาพแห่งชาติ พ.ศ. 2545</t>
        </is>
      </c>
      <c r="I266" s="2" t="n">
        <v>1</v>
      </c>
      <c r="J266" s="2"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2" t="n"/>
      <c r="L266" s="2" t="inlineStr">
        <is>
          <t>พ.ร.บ. ยา พ.ศ. 2510</t>
        </is>
      </c>
      <c r="M266" s="2" t="inlineStr">
        <is>
          <t>SAP</t>
        </is>
      </c>
      <c r="N266" s="2" t="inlineStr">
        <is>
          <t>ข้อ 4 (PLE_CC1_Key_Rx20_UBU.md)</t>
        </is>
      </c>
      <c r="O266" s="2" t="inlineStr">
        <is>
          <t>Mock</t>
        </is>
      </c>
      <c r="P266" s="2" t="inlineStr">
        <is>
          <t>Mock Rx20 UBU</t>
        </is>
      </c>
    </row>
    <row r="267" ht="13.2" customHeight="1" s="49">
      <c r="A267" s="2" t="n">
        <v>265</v>
      </c>
      <c r="B267" s="2"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2" t="n"/>
      <c r="D267" s="2" t="inlineStr">
        <is>
          <t>พ.ร.บ. เครื่องสำอาง พ.ศ. 2558</t>
        </is>
      </c>
      <c r="E267" s="2" t="inlineStr">
        <is>
          <t>พ.ร.บ. หลักประกันสุขภาพแห่งชาติ พ.ศ. 2545</t>
        </is>
      </c>
      <c r="F267" s="2" t="inlineStr">
        <is>
          <t>การปฏิบัติทางเภสัชกรรมชุมชน (Good Pharmacy Practice: GPP)</t>
        </is>
      </c>
      <c r="G267" s="2" t="inlineStr">
        <is>
          <t>บัญชียาหลักแห่งชาติ (National List of Essential Medicines: NLEM)</t>
        </is>
      </c>
      <c r="H267" s="2" t="inlineStr">
        <is>
          <t>เกณฑ์จริยธรรมว่าด้วยการส่งเสริมการขายยาของกระทรวงสาธารณสุข</t>
        </is>
      </c>
      <c r="I267" s="2" t="n">
        <v>1</v>
      </c>
      <c r="J26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2" t="n"/>
      <c r="L267" s="2" t="inlineStr">
        <is>
          <t>พ.ร.บ. ยา พ.ศ. 2510</t>
        </is>
      </c>
      <c r="M267" s="2" t="inlineStr">
        <is>
          <t>SAP</t>
        </is>
      </c>
      <c r="N267" s="2" t="inlineStr">
        <is>
          <t>ข้อ 9 (PLE_CC1_Key_Rx20_UBU.md)</t>
        </is>
      </c>
      <c r="O267" s="2" t="inlineStr">
        <is>
          <t>Mock</t>
        </is>
      </c>
      <c r="P267" s="2" t="inlineStr">
        <is>
          <t>Mock Rx20 UBU</t>
        </is>
      </c>
    </row>
    <row r="268" ht="13.2" customHeight="1" s="49">
      <c r="A268" s="2" t="n">
        <v>266</v>
      </c>
      <c r="B268" s="2"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2" t="n"/>
      <c r="D268" s="2" t="inlineStr">
        <is>
          <t>บัญชียาหลักแห่งชาติ (National List of Essential Medicines: NLEM)</t>
        </is>
      </c>
      <c r="E268" s="2" t="inlineStr">
        <is>
          <t>เกณฑ์จริยธรรมว่าด้วยการส่งเสริมการขายยาของกระทรวงสาธารณสุข</t>
        </is>
      </c>
      <c r="F268" s="2" t="inlineStr">
        <is>
          <t>พ.ร.บ. ยา พ.ศ. 2510 (การจำหน่ายยาอันตรายและยาควบคุมพิเศษ)</t>
        </is>
      </c>
      <c r="G268" s="2" t="inlineStr">
        <is>
          <t>พ.ร.บ. ยาเสพติดให้โทษ พ.ศ. 2522 (ยาเสพติดให้โทษประเภท 2 และ 3)</t>
        </is>
      </c>
      <c r="H268" s="2" t="inlineStr">
        <is>
          <t>พ.ร.บ. วัตถุที่ออกฤทธิ์ต่อจิตและประสาท พ.ศ. 2559 (ประเภท 2 และ 4)</t>
        </is>
      </c>
      <c r="I268" s="2" t="n">
        <v>3</v>
      </c>
      <c r="J268" s="2"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2" t="n"/>
      <c r="L268" s="2" t="inlineStr">
        <is>
          <t>พ.ร.บ. ยาเสพติดให้โทษ &amp; วัตถุออกฤทธิ์</t>
        </is>
      </c>
      <c r="M268" s="2" t="inlineStr">
        <is>
          <t>SAP</t>
        </is>
      </c>
      <c r="N268" s="2" t="inlineStr">
        <is>
          <t>ข้อ 4 (PLE_CC1_Key_Rx20_UBU.md)</t>
        </is>
      </c>
      <c r="O268" s="2" t="inlineStr">
        <is>
          <t>Mock</t>
        </is>
      </c>
      <c r="P268" s="2" t="inlineStr">
        <is>
          <t>Mock Rx20 UBU</t>
        </is>
      </c>
    </row>
    <row r="269" ht="13.2" customHeight="1" s="49">
      <c r="A269" s="2" t="n">
        <v>267</v>
      </c>
      <c r="B269" s="2" t="inlineStr">
        <is>
          <t>Midazolam เป็นยาประเภทใดตามกฎหมาย</t>
        </is>
      </c>
      <c r="C269" s="2" t="n"/>
      <c r="D269" s="2" t="inlineStr">
        <is>
          <t>ยาอันตราย</t>
        </is>
      </c>
      <c r="E269" s="2" t="inlineStr">
        <is>
          <t>ยาควบคุมพิเศษ</t>
        </is>
      </c>
      <c r="F269" s="2" t="inlineStr">
        <is>
          <t>ยาเสพติดให้โทษประเภท 3</t>
        </is>
      </c>
      <c r="G269" s="2" t="inlineStr">
        <is>
          <t>วัตถุออกฤทธิ์ต่อจิตและประสาทประเภท 2</t>
        </is>
      </c>
      <c r="H269" s="2" t="inlineStr">
        <is>
          <t>วัตถุออกฤทธิ์ต่อจิตและประสาทประเภท 4</t>
        </is>
      </c>
      <c r="I269" s="2" t="n">
        <v>4</v>
      </c>
      <c r="J269" s="2"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2" t="n"/>
      <c r="L269" s="2" t="inlineStr">
        <is>
          <t>พ.ร.บ. ยา พ.ศ. 2510</t>
        </is>
      </c>
      <c r="M269" s="2" t="inlineStr">
        <is>
          <t>SAP</t>
        </is>
      </c>
      <c r="N269" s="2" t="inlineStr">
        <is>
          <t>ข้อ 5 (PLE_CC1_Key_Rx20_UBU.md)</t>
        </is>
      </c>
      <c r="O269" s="2" t="inlineStr">
        <is>
          <t>Mock</t>
        </is>
      </c>
      <c r="P269" s="2" t="inlineStr">
        <is>
          <t>Mock Rx20 UBU</t>
        </is>
      </c>
    </row>
    <row r="270" ht="13.2" customHeight="1" s="49">
      <c r="A270" s="2" t="n">
        <v>268</v>
      </c>
      <c r="B270" s="2" t="inlineStr">
        <is>
          <t>จากกรณีศึกษาทั้งหมด นายข. ซึ่งเป็นเภสัชผู้มีหน้าที่ปฏิบัติการกระทำผิดตามจรรยาบรรณทุกข้อ ยกเว้นข้อใด</t>
        </is>
      </c>
      <c r="C270" s="2" t="n"/>
      <c r="D270" s="2" t="inlineStr">
        <is>
          <t>ต้องดำรงตนให้สมควรในสังคมโดยธรรมและเคารพต่อกฎหมายของบ้านเมือง</t>
        </is>
      </c>
      <c r="E270" s="2" t="inlineStr">
        <is>
          <t>ต้องประกอบวิชาชีพโดยคำนึงถึงความปลอดภัยและเศรษฐานะของผู้ป่วยหรือผู้มารับบริการ</t>
        </is>
      </c>
      <c r="F270" s="2" t="inlineStr">
        <is>
          <t>ต้องไม่ใช้หรือสนับสนุนการใช้ยาตำรับลับ</t>
        </is>
      </c>
      <c r="G270" s="2" t="inlineStr">
        <is>
          <t>ต้องไม่ใช้หรือสนับสนุนให้มีการประกอบวิชาชีพโดยผิดกฎหมาย</t>
        </is>
      </c>
      <c r="H270" s="2"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2" t="n">
        <v>3</v>
      </c>
      <c r="J270" s="2"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2" t="n"/>
      <c r="L270" s="2" t="inlineStr">
        <is>
          <t>พ.ร.บ. วิชาชีพเภสัชกรรม 2537</t>
        </is>
      </c>
      <c r="M270" s="2" t="inlineStr">
        <is>
          <t>SAP</t>
        </is>
      </c>
      <c r="N270" s="2" t="inlineStr">
        <is>
          <t>ข้อ 12 (PLE_CC1_Key_Rx20_UBU.md)</t>
        </is>
      </c>
      <c r="O270" s="2" t="inlineStr">
        <is>
          <t>Mock</t>
        </is>
      </c>
      <c r="P270" s="2" t="inlineStr">
        <is>
          <t>Mock Rx20 UBU</t>
        </is>
      </c>
    </row>
    <row r="271" ht="13.2" customHeight="1" s="49">
      <c r="A271" s="2" t="n">
        <v>269</v>
      </c>
      <c r="B271" s="2" t="inlineStr">
        <is>
          <t>Good Pharmacy Practice (GPP) ปี 2556 บังคับใช้กับที่ไหน</t>
        </is>
      </c>
      <c r="C271" s="2" t="n"/>
      <c r="D271" s="2" t="inlineStr">
        <is>
          <t>การปฏิบัติทางเภสัชกรรมชุมชน (Good Pharmacy Practice: GPP)</t>
        </is>
      </c>
      <c r="E271" s="2" t="inlineStr">
        <is>
          <t>บัญชียาหลักแห่งชาติ (National List of Essential Medicines: NLEM)</t>
        </is>
      </c>
      <c r="F271" s="2" t="inlineStr">
        <is>
          <t>เกณฑ์จริยธรรมว่าด้วยการส่งเสริมการขายยาของกระทรวงสาธารณสุข</t>
        </is>
      </c>
      <c r="G271" s="2" t="inlineStr">
        <is>
          <t>พ.ร.บ. ยา พ.ศ. 2510 (การจำหน่ายยาอันตรายและยาควบคุมพิเศษ)</t>
        </is>
      </c>
      <c r="H271" s="2" t="inlineStr">
        <is>
          <t>พ.ร.บ. ยาเสพติดให้โทษ พ.ศ. 2522 (ยาเสพติดให้โทษประเภท 2 และ 3)</t>
        </is>
      </c>
      <c r="I271" s="2" t="n">
        <v>1</v>
      </c>
      <c r="J271" s="2"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2" t="n"/>
      <c r="L271" s="2" t="inlineStr">
        <is>
          <t>พ.ร.บ. ยา พ.ศ. 2510</t>
        </is>
      </c>
      <c r="M271" s="2" t="inlineStr">
        <is>
          <t>SAP</t>
        </is>
      </c>
      <c r="N271" s="2" t="inlineStr">
        <is>
          <t>ข้อ 2 (PLE_CC1_Key_Rx20_UBU.md)</t>
        </is>
      </c>
      <c r="O271" s="2" t="inlineStr">
        <is>
          <t>Mock</t>
        </is>
      </c>
      <c r="P271" s="2" t="inlineStr">
        <is>
          <t>Mock Rx20 UBU</t>
        </is>
      </c>
    </row>
    <row r="272" ht="13.2" customHeight="1" s="49">
      <c r="A272" s="2" t="n">
        <v>270</v>
      </c>
      <c r="B272" s="2"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2" t="n"/>
      <c r="D272" s="2" t="inlineStr">
        <is>
          <t>พ.ร.บ. ยา พ.ศ. 2510 (การจำหน่ายยาอันตรายและยาควบคุมพิเศษ)</t>
        </is>
      </c>
      <c r="E272" s="2" t="inlineStr">
        <is>
          <t>พ.ร.บ. ยาเสพติดให้โทษ พ.ศ. 2522 (ยาเสพติดให้โทษประเภท 2 และ 3)</t>
        </is>
      </c>
      <c r="F272" s="2" t="inlineStr">
        <is>
          <t>พ.ร.บ. วัตถุที่ออกฤทธิ์ต่อจิตและประสาท พ.ศ. 2559 (ประเภท 2 และ 4)</t>
        </is>
      </c>
      <c r="G272" s="2" t="inlineStr">
        <is>
          <t>พ.ร.บ. วิชาชีพเภสัชกรรม พ.ศ. 2537 และข้อบังคับจรรยาบรรณวิชาชีพ</t>
        </is>
      </c>
      <c r="H272" s="2" t="inlineStr">
        <is>
          <t>พ.ร.บ. ผลิตภัณฑ์สมุนไพร พ.ศ. 2562</t>
        </is>
      </c>
      <c r="I272" s="2" t="n">
        <v>1</v>
      </c>
      <c r="J272" s="2"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2" t="n"/>
      <c r="L272" s="2" t="inlineStr">
        <is>
          <t>พ.ร.บ. ยาเสพติดให้โทษ &amp; วัตถุออกฤทธิ์</t>
        </is>
      </c>
      <c r="M272" s="2" t="inlineStr">
        <is>
          <t>SAP</t>
        </is>
      </c>
      <c r="N272" s="2" t="inlineStr">
        <is>
          <t>ข้อ 2 (PLE_CC1_Key_Rx20_UBU.md)</t>
        </is>
      </c>
      <c r="O272" s="2" t="inlineStr">
        <is>
          <t>Mock</t>
        </is>
      </c>
      <c r="P272" s="2" t="inlineStr">
        <is>
          <t>Mock Rx20 UBU</t>
        </is>
      </c>
    </row>
    <row r="273" ht="13.2" customHeight="1" s="49">
      <c r="A273" s="2" t="n">
        <v>271</v>
      </c>
      <c r="B273" s="2" t="inlineStr">
        <is>
          <t>Midazolam เปนยาประเภทใดตามกฎหมาย</t>
        </is>
      </c>
      <c r="C273" s="2" t="n"/>
      <c r="D273" s="2" t="inlineStr">
        <is>
          <t>พ.ร.บ. วิชาชีพเภสัชกรรม พ.ศ. 2537 และข้อบังคับจรรยาบรรณวิชาชีพ</t>
        </is>
      </c>
      <c r="E273" s="2" t="inlineStr">
        <is>
          <t>พ.ร.บ. ผลิตภัณฑ์สมุนไพร พ.ศ. 2562</t>
        </is>
      </c>
      <c r="F273" s="2" t="inlineStr">
        <is>
          <t>พ.ร.บ. เครื่องสำอาง พ.ศ. 2558</t>
        </is>
      </c>
      <c r="G273" s="2" t="inlineStr">
        <is>
          <t>พ.ร.บ. หลักประกันสุขภาพแห่งชาติ พ.ศ. 2545</t>
        </is>
      </c>
      <c r="H273" s="2" t="inlineStr">
        <is>
          <t>การปฏิบัติทางเภสัชกรรมชุมชน (Good Pharmacy Practice: GPP)</t>
        </is>
      </c>
      <c r="I273" s="2" t="n">
        <v>1</v>
      </c>
      <c r="J273" s="2"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2" t="n"/>
      <c r="L273" s="2" t="inlineStr">
        <is>
          <t>พ.ร.บ. ยา พ.ศ. 2510</t>
        </is>
      </c>
      <c r="M273" s="2" t="inlineStr">
        <is>
          <t>SAP</t>
        </is>
      </c>
      <c r="N273" s="2" t="inlineStr">
        <is>
          <t>ข้อ 5 (PLE_CC1_Key_Rx20_UBU.md)</t>
        </is>
      </c>
      <c r="O273" s="2" t="inlineStr">
        <is>
          <t>Mock</t>
        </is>
      </c>
      <c r="P273" s="2" t="inlineStr">
        <is>
          <t>Mock Rx20 UBU</t>
        </is>
      </c>
    </row>
    <row r="274" ht="13.2" customHeight="1" s="49">
      <c r="A274" s="2" t="n">
        <v>272</v>
      </c>
      <c r="B274" s="2" t="inlineStr">
        <is>
          <t>มีความผิดฐานขายยาผิดกฎหมาย</t>
        </is>
      </c>
      <c r="C274" s="2" t="n"/>
      <c r="D274" s="2" t="inlineStr">
        <is>
          <t>พ.ร.บ. หลักประกันสุขภาพแห่งชาติ พ.ศ. 2545</t>
        </is>
      </c>
      <c r="E274" s="2" t="inlineStr">
        <is>
          <t>การปฏิบัติทางเภสัชกรรมชุมชน (Good Pharmacy Practice: GPP)</t>
        </is>
      </c>
      <c r="F274" s="2" t="inlineStr">
        <is>
          <t>บัญชียาหลักแห่งชาติ (National List of Essential Medicines: NLEM)</t>
        </is>
      </c>
      <c r="G274" s="2" t="inlineStr">
        <is>
          <t>เกณฑ์จริยธรรมว่าด้วยการส่งเสริมการขายยาของกระทรวงสาธารณสุข</t>
        </is>
      </c>
      <c r="H274" s="2" t="inlineStr">
        <is>
          <t>พ.ร.บ. ยา พ.ศ. 2510 (การจำหน่ายยาอันตรายและยาควบคุมพิเศษ)</t>
        </is>
      </c>
      <c r="I274" s="2" t="n">
        <v>1</v>
      </c>
      <c r="J274" s="2"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2" t="n"/>
      <c r="L274" s="2" t="inlineStr">
        <is>
          <t>พ.ร.บ. ยา พ.ศ. 2510</t>
        </is>
      </c>
      <c r="M274" s="2" t="inlineStr">
        <is>
          <t>SAP</t>
        </is>
      </c>
      <c r="N274" s="2" t="inlineStr">
        <is>
          <t>ข้อ 2 (PLE_CC1_Key_Rx20_UBU.md)</t>
        </is>
      </c>
      <c r="O274" s="2" t="inlineStr">
        <is>
          <t>Mock</t>
        </is>
      </c>
      <c r="P274" s="2" t="inlineStr">
        <is>
          <t>Mock Rx20 UBU</t>
        </is>
      </c>
    </row>
    <row r="275" ht="13.2" customHeight="1" s="49">
      <c r="A275" s="2" t="n">
        <v>273</v>
      </c>
      <c r="B275" s="2" t="inlineStr">
        <is>
          <t>มีความผิดฐานไม่ควบคุมการขายยาให้เป็นไปตามพรบ</t>
        </is>
      </c>
      <c r="C275" s="2" t="n"/>
      <c r="D275" s="2" t="inlineStr">
        <is>
          <t>เกณฑ์จริยธรรมว่าด้วยการส่งเสริมการขายยาของกระทรวงสาธารณสุข</t>
        </is>
      </c>
      <c r="E275" s="2" t="inlineStr">
        <is>
          <t>พ.ร.บ. ยา พ.ศ. 2510 (การจำหน่ายยาอันตรายและยาควบคุมพิเศษ)</t>
        </is>
      </c>
      <c r="F275" s="2" t="inlineStr">
        <is>
          <t>พ.ร.บ. ยาเสพติดให้โทษ พ.ศ. 2522 (ยาเสพติดให้โทษประเภท 2 และ 3)</t>
        </is>
      </c>
      <c r="G275" s="2" t="inlineStr">
        <is>
          <t>พ.ร.บ. วัตถุที่ออกฤทธิ์ต่อจิตและประสาท พ.ศ. 2559 (ประเภท 2 และ 4)</t>
        </is>
      </c>
      <c r="H275" s="2" t="inlineStr">
        <is>
          <t>พ.ร.บ. วิชาชีพเภสัชกรรม พ.ศ. 2537 และข้อบังคับจรรยาบรรณวิชาชีพ</t>
        </is>
      </c>
      <c r="I275" s="2" t="n">
        <v>1</v>
      </c>
      <c r="J27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2" t="n"/>
      <c r="L275" s="2" t="inlineStr">
        <is>
          <t>พ.ร.บ. ยา พ.ศ. 2510</t>
        </is>
      </c>
      <c r="M275" s="2" t="inlineStr">
        <is>
          <t>SAP</t>
        </is>
      </c>
      <c r="N275" s="2" t="inlineStr">
        <is>
          <t>ข้อ 4 (PLE_CC1_Key_Rx20_UBU.md)</t>
        </is>
      </c>
      <c r="O275" s="2" t="inlineStr">
        <is>
          <t>Mock</t>
        </is>
      </c>
      <c r="P275" s="2" t="inlineStr">
        <is>
          <t>Mock Rx20 UBU</t>
        </is>
      </c>
    </row>
    <row r="276" ht="13.2" customHeight="1" s="49">
      <c r="A276" s="2" t="n">
        <v>274</v>
      </c>
      <c r="B276" s="2" t="inlineStr">
        <is>
          <t>นาย ค. ซึงเปนบิดาของผูรับอนุญาตผิด เนื่องจากไม่มีสิทธิอยู่ประจำร้าน</t>
        </is>
      </c>
      <c r="C276" s="2" t="n"/>
      <c r="D276" s="2" t="inlineStr">
        <is>
          <t>พ.ร.บ. วัตถุที่ออกฤทธิ์ต่อจิตและประสาท พ.ศ. 2559 (ประเภท 2 และ 4)</t>
        </is>
      </c>
      <c r="E276" s="2" t="inlineStr">
        <is>
          <t>พ.ร.บ. วิชาชีพเภสัชกรรม พ.ศ. 2537 และข้อบังคับจรรยาบรรณวิชาชีพ</t>
        </is>
      </c>
      <c r="F276" s="2" t="inlineStr">
        <is>
          <t>พ.ร.บ. ผลิตภัณฑ์สมุนไพร พ.ศ. 2562</t>
        </is>
      </c>
      <c r="G276" s="2" t="inlineStr">
        <is>
          <t>พ.ร.บ. เครื่องสำอาง พ.ศ. 2558</t>
        </is>
      </c>
      <c r="H276" s="2" t="inlineStr">
        <is>
          <t>พ.ร.บ. หลักประกันสุขภาพแห่งชาติ พ.ศ. 2545</t>
        </is>
      </c>
      <c r="I276" s="2" t="n">
        <v>1</v>
      </c>
      <c r="J27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2" t="n"/>
      <c r="L276" s="2" t="inlineStr">
        <is>
          <t>พ.ร.บ. ยา พ.ศ. 2510</t>
        </is>
      </c>
      <c r="M276" s="2" t="inlineStr">
        <is>
          <t>SAP</t>
        </is>
      </c>
      <c r="N276" s="2" t="inlineStr">
        <is>
          <t>ข้อ 4 (PLE_CC1_Key_Rx20_UBU.md)</t>
        </is>
      </c>
      <c r="O276" s="2" t="inlineStr">
        <is>
          <t>Mock</t>
        </is>
      </c>
      <c r="P276" s="2" t="inlineStr">
        <is>
          <t>Mock Rx20 UBU</t>
        </is>
      </c>
    </row>
    <row r="277" ht="13.2" customHeight="1" s="49">
      <c r="A277" s="2" t="n">
        <v>275</v>
      </c>
      <c r="B277" s="2" t="inlineStr">
        <is>
          <t>จากกรณีศึกษาทั้งหมด นายข. ซึ่งเป็นเภสัชผู้มีหน้าที่ปฏิบัติการกระทำผิดตามจรรยาบรรณทุกข้อ ยกเว้นข้อใด</t>
        </is>
      </c>
      <c r="C277" s="2" t="n"/>
      <c r="D277" s="2" t="inlineStr">
        <is>
          <t>พ.ร.บ. เครื่องสำอาง พ.ศ. 2558</t>
        </is>
      </c>
      <c r="E277" s="2" t="inlineStr">
        <is>
          <t>พ.ร.บ. หลักประกันสุขภาพแห่งชาติ พ.ศ. 2545</t>
        </is>
      </c>
      <c r="F277" s="2" t="inlineStr">
        <is>
          <t>การปฏิบัติทางเภสัชกรรมชุมชน (Good Pharmacy Practice: GPP)</t>
        </is>
      </c>
      <c r="G277" s="2" t="inlineStr">
        <is>
          <t>บัญชียาหลักแห่งชาติ (National List of Essential Medicines: NLEM)</t>
        </is>
      </c>
      <c r="H277" s="2" t="inlineStr">
        <is>
          <t>เกณฑ์จริยธรรมว่าด้วยการส่งเสริมการขายยาของกระทรวงสาธารณสุข</t>
        </is>
      </c>
      <c r="I277" s="2" t="n">
        <v>1</v>
      </c>
      <c r="J277" s="2"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2" t="n"/>
      <c r="L277" s="2" t="inlineStr">
        <is>
          <t>พ.ร.บ. วิชาชีพเภสัชกรรม 2537</t>
        </is>
      </c>
      <c r="M277" s="2" t="inlineStr">
        <is>
          <t>SAP</t>
        </is>
      </c>
      <c r="N277" s="2" t="inlineStr">
        <is>
          <t>ข้อ 12 (PLE_CC1_Key_Rx20_UBU.md)</t>
        </is>
      </c>
      <c r="O277" s="2" t="inlineStr">
        <is>
          <t>Mock</t>
        </is>
      </c>
      <c r="P277" s="2" t="inlineStr">
        <is>
          <t>Mock Rx20 UBU</t>
        </is>
      </c>
    </row>
    <row r="278" ht="13.2" customHeight="1" s="49">
      <c r="A278" s="2" t="n">
        <v>276</v>
      </c>
      <c r="B278" s="2"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2" t="n"/>
      <c r="D278" s="2" t="inlineStr">
        <is>
          <t>บัญชียาหลักแห่งชาติ (National List of Essential Medicines: NLEM)</t>
        </is>
      </c>
      <c r="E278" s="2" t="inlineStr">
        <is>
          <t>เกณฑ์จริยธรรมว่าด้วยการส่งเสริมการขายยาของกระทรวงสาธารณสุข</t>
        </is>
      </c>
      <c r="F278" s="2" t="inlineStr">
        <is>
          <t>พ.ร.บ. ยา พ.ศ. 2510 (การจำหน่ายยาอันตรายและยาควบคุมพิเศษ)</t>
        </is>
      </c>
      <c r="G278" s="2" t="inlineStr">
        <is>
          <t>พ.ร.บ. ยาเสพติดให้โทษ พ.ศ. 2522 (ยาเสพติดให้โทษประเภท 2 และ 3)</t>
        </is>
      </c>
      <c r="H278" s="2" t="inlineStr">
        <is>
          <t>พ.ร.บ. วัตถุที่ออกฤทธิ์ต่อจิตและประสาท พ.ศ. 2559 (ประเภท 2 และ 4)</t>
        </is>
      </c>
      <c r="I278" s="2" t="n">
        <v>1</v>
      </c>
      <c r="J27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2" t="n"/>
      <c r="L278" s="2" t="inlineStr">
        <is>
          <t>พ.ร.บ. ยา พ.ศ. 2510</t>
        </is>
      </c>
      <c r="M278" s="2" t="inlineStr">
        <is>
          <t>SAP</t>
        </is>
      </c>
      <c r="N278" s="2" t="inlineStr">
        <is>
          <t>ข้อ 5 (PLE_CC1_Key_Rx20_UBU.md)</t>
        </is>
      </c>
      <c r="O278" s="2" t="inlineStr">
        <is>
          <t>Mock</t>
        </is>
      </c>
      <c r="P278" s="2" t="inlineStr">
        <is>
          <t>Mock Rx20 UBU</t>
        </is>
      </c>
    </row>
    <row r="279" ht="13.2" customHeight="1" s="49">
      <c r="A279" s="2" t="n">
        <v>277</v>
      </c>
      <c r="B279" s="2"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2" t="n"/>
      <c r="D279" s="2" t="inlineStr">
        <is>
          <t>พ.ร.บ. ยาเสพติดให้โทษ พ.ศ. 2522 (ยาเสพติดให้โทษประเภท 2 และ 3)</t>
        </is>
      </c>
      <c r="E279" s="2" t="inlineStr">
        <is>
          <t>พ.ร.บ. วัตถุที่ออกฤทธิ์ต่อจิตและประสาท พ.ศ. 2559 (ประเภท 2 และ 4)</t>
        </is>
      </c>
      <c r="F279" s="2" t="inlineStr">
        <is>
          <t>พ.ร.บ. วิชาชีพเภสัชกรรม พ.ศ. 2537 และข้อบังคับจรรยาบรรณวิชาชีพ</t>
        </is>
      </c>
      <c r="G279" s="2" t="inlineStr">
        <is>
          <t>พ.ร.บ. ผลิตภัณฑ์สมุนไพร พ.ศ. 2562</t>
        </is>
      </c>
      <c r="H279" s="2" t="inlineStr">
        <is>
          <t>พ.ร.บ. เครื่องสำอาง พ.ศ. 2558</t>
        </is>
      </c>
      <c r="I279" s="2" t="n">
        <v>2</v>
      </c>
      <c r="J279" s="2"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2" t="n"/>
      <c r="L279" s="2" t="inlineStr">
        <is>
          <t>พ.ร.บ. ยา พ.ศ. 2510</t>
        </is>
      </c>
      <c r="M279" s="2" t="inlineStr">
        <is>
          <t>SAP</t>
        </is>
      </c>
      <c r="N279" s="2" t="inlineStr">
        <is>
          <t>ข้อ 4 (PLE_CC1_Key_Rx20_UBU.md)</t>
        </is>
      </c>
      <c r="O279" s="2" t="inlineStr">
        <is>
          <t>Mock</t>
        </is>
      </c>
      <c r="P279" s="2" t="inlineStr">
        <is>
          <t>Mock Rx20 UBU</t>
        </is>
      </c>
    </row>
    <row r="280" ht="13.2" customHeight="1" s="49">
      <c r="A280" s="2" t="n">
        <v>278</v>
      </c>
      <c r="B280" s="2" t="inlineStr">
        <is>
          <t>ใครผิดจรรยาบรรณบ้าง</t>
        </is>
      </c>
      <c r="C280" s="2" t="n"/>
      <c r="D280" s="2" t="inlineStr">
        <is>
          <t>พ.ร.บ. ผลิตภัณฑ์สมุนไพร พ.ศ. 2562</t>
        </is>
      </c>
      <c r="E280" s="2" t="inlineStr">
        <is>
          <t>พ.ร.บ. เครื่องสำอาง พ.ศ. 2558</t>
        </is>
      </c>
      <c r="F280" s="2" t="inlineStr">
        <is>
          <t>พ.ร.บ. หลักประกันสุขภาพแห่งชาติ พ.ศ. 2545</t>
        </is>
      </c>
      <c r="G280" s="2" t="inlineStr">
        <is>
          <t>การปฏิบัติทางเภสัชกรรมชุมชน (Good Pharmacy Practice: GPP)</t>
        </is>
      </c>
      <c r="H280" s="2" t="inlineStr">
        <is>
          <t>บัญชียาหลักแห่งชาติ (National List of Essential Medicines: NLEM)</t>
        </is>
      </c>
      <c r="I280" s="2" t="n">
        <v>1</v>
      </c>
      <c r="J28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2" t="n"/>
      <c r="L280" s="2" t="inlineStr">
        <is>
          <t>พ.ร.บ. วิชาชีพเภสัชกรรม 2537</t>
        </is>
      </c>
      <c r="M280" s="2" t="inlineStr">
        <is>
          <t>SAP</t>
        </is>
      </c>
      <c r="N280" s="2" t="inlineStr">
        <is>
          <t>ข้อ 12 (PLE_CC1_Key_Rx20_UBU.md)</t>
        </is>
      </c>
      <c r="O280" s="2" t="inlineStr">
        <is>
          <t>Mock</t>
        </is>
      </c>
      <c r="P280" s="2" t="inlineStr">
        <is>
          <t>Mock Rx20 UBU</t>
        </is>
      </c>
    </row>
    <row r="281" ht="13.2" customHeight="1" s="49">
      <c r="A281" s="2" t="n">
        <v>279</v>
      </c>
      <c r="B281" s="2"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2" t="n"/>
      <c r="D281" s="2" t="inlineStr">
        <is>
          <t>Pneumonia ทำให้เกิด exacerbation ได้ ถูกต้อง ปัจจัยเสี่ยงของการเกิด COPD → การติดเชื้อในปอด , มลภาวะทางอากาศ , สูบบุหรี่</t>
        </is>
      </c>
      <c r="E281" s="2" t="inlineStr">
        <is>
          <t>FEV1 80% mild 50-80 moderate 30-50 Severe &lt;30% Very severe</t>
        </is>
      </c>
      <c r="F281" s="2"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2" t="inlineStr">
        <is>
          <t>พ.ร.บ. ยา พ.ศ. 2510 (การจำหน่ายยาอันตรายและยาควบคุมพิเศษ)</t>
        </is>
      </c>
      <c r="H281" s="2" t="inlineStr">
        <is>
          <t>พ.ร.บ. ยาเสพติดให้โทษ พ.ศ. 2522 (ยาเสพติดให้โทษประเภท 2 และ 3)</t>
        </is>
      </c>
      <c r="I281" s="2" t="n">
        <v>5</v>
      </c>
      <c r="J281" s="2"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2" t="n"/>
      <c r="L281" s="2" t="inlineStr">
        <is>
          <t>พ.ร.บ. ยา พ.ศ. 2510</t>
        </is>
      </c>
      <c r="M281" s="2" t="inlineStr">
        <is>
          <t>SAP</t>
        </is>
      </c>
      <c r="N281" s="2" t="inlineStr">
        <is>
          <t>ข้อ 5 (PLE_CC1_Key_Rx20_UBU.md)</t>
        </is>
      </c>
      <c r="O281" s="2" t="inlineStr">
        <is>
          <t>Mock</t>
        </is>
      </c>
      <c r="P281" s="2" t="inlineStr">
        <is>
          <t>Mock Rx20 UBU</t>
        </is>
      </c>
    </row>
    <row r="282" ht="13.2" customHeight="1" s="49">
      <c r="A282" s="2" t="n">
        <v>280</v>
      </c>
      <c r="B282" s="2" t="inlineStr">
        <is>
          <t>ยา PPI มีประสิทธิภาพเหนือกวา H2 blockers ในการรักษา GERD</t>
        </is>
      </c>
      <c r="C282" s="2" t="n"/>
      <c r="D282" s="2" t="inlineStr">
        <is>
          <t>พ.ร.บ. ยา พ.ศ. 2510 (การจำหน่ายยาอันตรายและยาควบคุมพิเศษ)</t>
        </is>
      </c>
      <c r="E282" s="2" t="inlineStr">
        <is>
          <t>พ.ร.บ. ยาเสพติดให้โทษ พ.ศ. 2522 (ยาเสพติดให้โทษประเภท 2 และ 3)</t>
        </is>
      </c>
      <c r="F282" s="2" t="inlineStr">
        <is>
          <t>พ.ร.บ. วัตถุที่ออกฤทธิ์ต่อจิตและประสาท พ.ศ. 2559 (ประเภท 2 และ 4)</t>
        </is>
      </c>
      <c r="G282" s="2" t="inlineStr">
        <is>
          <t>พ.ร.บ. วิชาชีพเภสัชกรรม พ.ศ. 2537 และข้อบังคับจรรยาบรรณวิชาชีพ</t>
        </is>
      </c>
      <c r="H282" s="2" t="inlineStr">
        <is>
          <t>พ.ร.บ. ผลิตภัณฑ์สมุนไพร พ.ศ. 2562</t>
        </is>
      </c>
      <c r="I282" s="2" t="n">
        <v>1</v>
      </c>
      <c r="J282" s="2"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2" t="n"/>
      <c r="L282" s="2" t="inlineStr">
        <is>
          <t>พ.ร.บ. ยา พ.ศ. 2510</t>
        </is>
      </c>
      <c r="M282" s="2" t="inlineStr">
        <is>
          <t>SAP</t>
        </is>
      </c>
      <c r="N282" s="2" t="inlineStr">
        <is>
          <t>ข้อ 3 (PLE_CC1_Key_Rx20_UBU.md)</t>
        </is>
      </c>
      <c r="O282" s="2" t="inlineStr">
        <is>
          <t>Mock</t>
        </is>
      </c>
      <c r="P282" s="2" t="inlineStr">
        <is>
          <t>Mock Rx20 UBU</t>
        </is>
      </c>
    </row>
    <row r="283" ht="13.2" customHeight="1" s="49">
      <c r="A283" s="2" t="n">
        <v>281</v>
      </c>
      <c r="B283" s="2" t="inlineStr">
        <is>
          <t>ผู้ป่วยมีสิทธิได้รับทราบชื่อ สกุล และวิชาชีพของผู้ให้การรักษาพยาบาลแก่ตน</t>
        </is>
      </c>
      <c r="C283" s="2" t="n"/>
      <c r="D283" s="2"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t>
        </is>
      </c>
      <c r="E283" s="2" t="inlineStr">
        <is>
          <t>พ.ร.บ. ผลิตภัณฑ์สมุนไพร พ.ศ. 2562</t>
        </is>
      </c>
      <c r="F283" s="2" t="inlineStr">
        <is>
          <t>พ.ร.บ. เครื่องสำอาง พ.ศ. 2558</t>
        </is>
      </c>
      <c r="G283" s="2" t="inlineStr">
        <is>
          <t>พ.ร.บ. หลักประกันสุขภาพแห่งชาติ พ.ศ. 2545</t>
        </is>
      </c>
      <c r="H283" s="2" t="inlineStr">
        <is>
          <t>การปฏิบัติทางเภสัชกรรมชุมชน (Good Pharmacy Practice: GPP)</t>
        </is>
      </c>
      <c r="I283" s="2" t="n">
        <v>1</v>
      </c>
      <c r="J283" s="2"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2" t="n"/>
      <c r="L283" s="2" t="inlineStr">
        <is>
          <t>พ.ร.บ. ยา พ.ศ. 2510</t>
        </is>
      </c>
      <c r="M283" s="2" t="inlineStr">
        <is>
          <t>SAP</t>
        </is>
      </c>
      <c r="N283" s="2" t="inlineStr">
        <is>
          <t>ข้อ 1 (PLE_CC1_Key_Rx20_UBU.md)</t>
        </is>
      </c>
      <c r="O283" s="2" t="inlineStr">
        <is>
          <t>Mock</t>
        </is>
      </c>
      <c r="P283" s="2" t="inlineStr">
        <is>
          <t>Mock Rx20 UBU</t>
        </is>
      </c>
    </row>
    <row r="284" ht="13.2" customHeight="1" s="49">
      <c r="A284" s="2" t="n">
        <v>282</v>
      </c>
      <c r="B284" s="2" t="inlineStr">
        <is>
          <t>ผู้ป่วยมีสิทธิได้รับการปกปิดข้อมูลของตนเอง</t>
        </is>
      </c>
      <c r="C284" s="2" t="n"/>
      <c r="D284" s="2" t="inlineStr">
        <is>
          <t>ผู้ป่วยมีสิทธิขอความเห็นจากผู้ประกอบวิชาชีพด้านสุขภาพอื่นที่มิได้เป็นผู้ให้การรักษาพยาบาลแก่ตน</t>
        </is>
      </c>
      <c r="E284" s="2"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2" t="inlineStr">
        <is>
          <t>บัญชียาหลักแห่งชาติ (National List of Essential Medicines: NLEM)</t>
        </is>
      </c>
      <c r="G284" s="2" t="inlineStr">
        <is>
          <t>เกณฑ์จริยธรรมว่าด้วยการส่งเสริมการขายยาของกระทรวงสาธารณสุข</t>
        </is>
      </c>
      <c r="H284" s="2" t="inlineStr">
        <is>
          <t>พ.ร.บ. ยา พ.ศ. 2510 (การจำหน่ายยาอันตรายและยาควบคุมพิเศษ)</t>
        </is>
      </c>
      <c r="I284" s="2" t="n">
        <v>1</v>
      </c>
      <c r="J284" s="2"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2" t="n"/>
      <c r="L284" s="2" t="inlineStr">
        <is>
          <t>พ.ร.บ. ยา พ.ศ. 2510</t>
        </is>
      </c>
      <c r="M284" s="2" t="inlineStr">
        <is>
          <t>SAP</t>
        </is>
      </c>
      <c r="N284" s="2" t="inlineStr">
        <is>
          <t>ข้อ 3 (PLE_CC1_Key_Rx20_UBU.md)</t>
        </is>
      </c>
      <c r="O284" s="2" t="inlineStr">
        <is>
          <t>Mock</t>
        </is>
      </c>
      <c r="P284" s="2" t="inlineStr">
        <is>
          <t>Mock Rx20 UBU</t>
        </is>
      </c>
    </row>
    <row r="285" ht="13.2" customHeight="1" s="49">
      <c r="A285" s="2" t="n">
        <v>283</v>
      </c>
      <c r="B285" s="2" t="inlineStr">
        <is>
          <t>เปรียบเทียบประสิทธิภาพระหว่างยาจริงกับยาหลอกวัดผลโดยคะแนน 1-100 โดยมีการกระจายข้อมูลแบบ normal distribution</t>
        </is>
      </c>
      <c r="C285" s="2" t="n"/>
      <c r="D285" s="2" t="inlineStr">
        <is>
          <t>เกณฑ์จริยธรรมว่าด้วยการส่งเสริมการขายยาของกระทรวงสาธารณสุข</t>
        </is>
      </c>
      <c r="E285" s="2" t="inlineStr">
        <is>
          <t>พ.ร.บ. ยา พ.ศ. 2510 (การจำหน่ายยาอันตรายและยาควบคุมพิเศษ)</t>
        </is>
      </c>
      <c r="F285" s="2" t="inlineStr">
        <is>
          <t>พ.ร.บ. ยาเสพติดให้โทษ พ.ศ. 2522 (ยาเสพติดให้โทษประเภท 2 และ 3)</t>
        </is>
      </c>
      <c r="G285" s="2" t="inlineStr">
        <is>
          <t>พ.ร.บ. วัตถุที่ออกฤทธิ์ต่อจิตและประสาท พ.ศ. 2559 (ประเภท 2 และ 4)</t>
        </is>
      </c>
      <c r="H285" s="2" t="inlineStr">
        <is>
          <t>พ.ร.บ. วิชาชีพเภสัชกรรม พ.ศ. 2537 และข้อบังคับจรรยาบรรณวิชาชีพ</t>
        </is>
      </c>
      <c r="I285" s="2" t="n">
        <v>1</v>
      </c>
      <c r="J285" s="2"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2" t="n"/>
      <c r="L285" s="2" t="inlineStr">
        <is>
          <t>พ.ร.บ. ยา พ.ศ. 2510</t>
        </is>
      </c>
      <c r="M285" s="2" t="inlineStr">
        <is>
          <t>SAP</t>
        </is>
      </c>
      <c r="N285" s="2" t="inlineStr">
        <is>
          <t>ข้อ 5 (PLE_CC1_Key_Rx20_UBU.md)</t>
        </is>
      </c>
      <c r="O285" s="2" t="inlineStr">
        <is>
          <t>Mock</t>
        </is>
      </c>
      <c r="P285" s="2" t="inlineStr">
        <is>
          <t>Mock Rx20 UBU</t>
        </is>
      </c>
    </row>
    <row r="286" ht="13.2" customHeight="1" s="49">
      <c r="A286" s="2" t="n">
        <v>284</v>
      </c>
      <c r="B286" s="2" t="inlineStr">
        <is>
          <t>เพื่อยุติการส่งเสริมการขายที่ผิดจริยธรรม</t>
        </is>
      </c>
      <c r="C286" s="2" t="n"/>
      <c r="D286" s="2" t="inlineStr">
        <is>
          <t>พ.ร.บ. วัตถุที่ออกฤทธิ์ต่อจิตและประสาท พ.ศ. 2559 (ประเภท 2 และ 4)</t>
        </is>
      </c>
      <c r="E286" s="2" t="inlineStr">
        <is>
          <t>พ.ร.บ. วิชาชีพเภสัชกรรม พ.ศ. 2537 และข้อบังคับจรรยาบรรณวิชาชีพ</t>
        </is>
      </c>
      <c r="F286" s="2" t="inlineStr">
        <is>
          <t>พ.ร.บ. ผลิตภัณฑ์สมุนไพร พ.ศ. 2562</t>
        </is>
      </c>
      <c r="G286" s="2" t="inlineStr">
        <is>
          <t>พ.ร.บ. เครื่องสำอาง พ.ศ. 2558</t>
        </is>
      </c>
      <c r="H286" s="2" t="inlineStr">
        <is>
          <t>พ.ร.บ. หลักประกันสุขภาพแห่งชาติ พ.ศ. 2545</t>
        </is>
      </c>
      <c r="I286" s="2" t="n">
        <v>1</v>
      </c>
      <c r="J286" s="2"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2" t="n"/>
      <c r="L286" s="2" t="inlineStr">
        <is>
          <t>พ.ร.บ. วิชาชีพเภสัชกรรม 2537</t>
        </is>
      </c>
      <c r="M286" s="2" t="inlineStr">
        <is>
          <t>SAP</t>
        </is>
      </c>
      <c r="N286" s="2" t="inlineStr">
        <is>
          <t>ข้อ 4 (PLE_CC1_Key_Rx20_UBU.md)</t>
        </is>
      </c>
      <c r="O286" s="2" t="inlineStr">
        <is>
          <t>Mock</t>
        </is>
      </c>
      <c r="P286" s="2" t="inlineStr">
        <is>
          <t>Mock Rx20 UBU</t>
        </is>
      </c>
    </row>
    <row r="287" ht="13.2" customHeight="1" s="49">
      <c r="A287" s="2" t="n">
        <v>285</v>
      </c>
      <c r="B287" s="2"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2" t="n"/>
      <c r="D287" s="2"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2"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2" t="inlineStr">
        <is>
          <t>การปฏิบัติทางเภสัชกรรมชุมชน (Good Pharmacy Practice: GPP)</t>
        </is>
      </c>
      <c r="G287" s="2" t="inlineStr">
        <is>
          <t>บัญชียาหลักแห่งชาติ (National List of Essential Medicines: NLEM)</t>
        </is>
      </c>
      <c r="H287" s="2" t="inlineStr">
        <is>
          <t>เกณฑ์จริยธรรมว่าด้วยการส่งเสริมการขายยาของกระทรวงสาธารณสุข</t>
        </is>
      </c>
      <c r="I287" s="2" t="n">
        <v>2</v>
      </c>
      <c r="J287" s="2"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2" t="n"/>
      <c r="L287" s="2" t="inlineStr">
        <is>
          <t>พ.ร.บ. ยา พ.ศ. 2510</t>
        </is>
      </c>
      <c r="M287" s="2" t="inlineStr">
        <is>
          <t>SAP</t>
        </is>
      </c>
      <c r="N287" s="2" t="inlineStr">
        <is>
          <t>ข้อ 5 (PLE_CC1_Key_Rx20_UBU.md)</t>
        </is>
      </c>
      <c r="O287" s="2" t="inlineStr">
        <is>
          <t>Mock</t>
        </is>
      </c>
      <c r="P287" s="2" t="inlineStr">
        <is>
          <t>Mock Rx20 UBU</t>
        </is>
      </c>
    </row>
    <row r="288" ht="13.2" customHeight="1" s="49">
      <c r="A288" s="2" t="n">
        <v>286</v>
      </c>
      <c r="B288" s="2"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2" t="n"/>
      <c r="D288" s="2" t="inlineStr">
        <is>
          <t>บัญชียาหลักแห่งชาติ (National List of Essential Medicines: NLEM)</t>
        </is>
      </c>
      <c r="E288" s="2" t="inlineStr">
        <is>
          <t>เกณฑ์จริยธรรมว่าด้วยการส่งเสริมการขายยาของกระทรวงสาธารณสุข</t>
        </is>
      </c>
      <c r="F288" s="2" t="inlineStr">
        <is>
          <t>พ.ร.บ. ยา พ.ศ. 2510 (การจำหน่ายยาอันตรายและยาควบคุมพิเศษ)</t>
        </is>
      </c>
      <c r="G288" s="2" t="inlineStr">
        <is>
          <t>พ.ร.บ. ยาเสพติดให้โทษ พ.ศ. 2522 (ยาเสพติดให้โทษประเภท 2 และ 3)</t>
        </is>
      </c>
      <c r="H288" s="2" t="inlineStr">
        <is>
          <t>พ.ร.บ. วัตถุที่ออกฤทธิ์ต่อจิตและประสาท พ.ศ. 2559 (ประเภท 2 และ 4)</t>
        </is>
      </c>
      <c r="I288" s="2" t="n">
        <v>1</v>
      </c>
      <c r="J288" s="2"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2" t="n"/>
      <c r="L288" s="2" t="inlineStr">
        <is>
          <t>พ.ร.บ. ยา พ.ศ. 2510</t>
        </is>
      </c>
      <c r="M288" s="2" t="inlineStr">
        <is>
          <t>SAP</t>
        </is>
      </c>
      <c r="N288" s="2" t="inlineStr">
        <is>
          <t>ข้อ 5 (PLE_CC1_Key_Rx20_UBU.md)</t>
        </is>
      </c>
      <c r="O288" s="2" t="inlineStr">
        <is>
          <t>Mock</t>
        </is>
      </c>
      <c r="P288" s="2" t="inlineStr">
        <is>
          <t>Mock Rx20 UBU</t>
        </is>
      </c>
    </row>
    <row r="289" ht="13.2" customHeight="1" s="49">
      <c r="A289" s="2" t="n">
        <v>287</v>
      </c>
      <c r="B289" s="2"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2" t="n"/>
      <c r="D289" s="2" t="inlineStr">
        <is>
          <t>ผู้ป่วยทุกคนควรได้รับยา A เป็นตัวแรก</t>
        </is>
      </c>
      <c r="E289" s="2" t="inlineStr">
        <is>
          <t>ผู้ป่วยที่ไม่สามารถใช้ยา A ได้ เช่น เกิดอาการไม่พึงประสงค์ สามารถใช้ยา B แทน แต่ต้องชำระเงินเอง</t>
        </is>
      </c>
      <c r="F289" s="2" t="inlineStr">
        <is>
          <t>ผู้ป่วยที่ได้รับยา C ไม่จำเป็นต้องจ่ายค่ารักษาพยาบาลเองหากมีความจำเป็นต้องใช้ยา</t>
        </is>
      </c>
      <c r="G289" s="2" t="inlineStr">
        <is>
          <t>ยา B สั่งใช้โดยแพทย์ผู้ชำนาญหรือผู้ที่ได้รับมอบหมายจากผู้อำนวยการของสถานพยาบาลนั้นๆ</t>
        </is>
      </c>
      <c r="H289" s="2"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t>
        </is>
      </c>
      <c r="I289" s="2" t="n">
        <v>4</v>
      </c>
      <c r="J289" s="2"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2" t="n"/>
      <c r="L289" s="2" t="inlineStr">
        <is>
          <t>พ.ร.บ. ยา พ.ศ. 2510</t>
        </is>
      </c>
      <c r="M289" s="2" t="inlineStr">
        <is>
          <t>SAP</t>
        </is>
      </c>
      <c r="N289" s="2" t="inlineStr">
        <is>
          <t>ข้อ 9 (PLE_CC1_Key_Rx20_UBU.md)</t>
        </is>
      </c>
      <c r="O289" s="2" t="inlineStr">
        <is>
          <t>Mock</t>
        </is>
      </c>
      <c r="P289" s="2" t="inlineStr">
        <is>
          <t>Mock Rx20 UBU</t>
        </is>
      </c>
    </row>
    <row r="290" ht="13.2" customHeight="1" s="49">
      <c r="A290" s="2" t="n">
        <v>288</v>
      </c>
      <c r="B290" s="2"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2" t="n"/>
      <c r="D290" s="2" t="inlineStr">
        <is>
          <t>Case series</t>
        </is>
      </c>
      <c r="E290" s="2" t="inlineStr">
        <is>
          <t>Case-control</t>
        </is>
      </c>
      <c r="F290" s="2" t="inlineStr">
        <is>
          <t>Cohort</t>
        </is>
      </c>
      <c r="G290" s="2" t="inlineStr">
        <is>
          <t>Cross-sectional study</t>
        </is>
      </c>
      <c r="H290" s="2" t="inlineStr">
        <is>
          <t>Case-report</t>
        </is>
      </c>
      <c r="I290" s="2" t="n">
        <v>3</v>
      </c>
      <c r="J290" s="2"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2" t="n"/>
      <c r="L290" s="2" t="inlineStr">
        <is>
          <t>พ.ร.บ. ยา พ.ศ. 2510</t>
        </is>
      </c>
      <c r="M290" s="2" t="inlineStr">
        <is>
          <t>SAP</t>
        </is>
      </c>
      <c r="N290" s="2" t="inlineStr">
        <is>
          <t>ข้อ 24 (PLE_CC1_Key_Rx20_UBU.md)</t>
        </is>
      </c>
      <c r="O290" s="2" t="inlineStr">
        <is>
          <t>Mock</t>
        </is>
      </c>
      <c r="P290" s="2" t="inlineStr">
        <is>
          <t>Mock Rx20 UBU</t>
        </is>
      </c>
    </row>
    <row r="291" ht="13.2" customHeight="1" s="49">
      <c r="A291" s="2" t="n">
        <v>289</v>
      </c>
      <c r="B291" s="2" t="inlineStr">
        <is>
          <t>ต้องรักษา H.pylori infection เป็นระยะเวลานานเท่าไร จึงจะได้ประสิทธิภาพการรักษาสูงสุด</t>
        </is>
      </c>
      <c r="C291" s="2" t="n"/>
      <c r="D291" s="2" t="inlineStr">
        <is>
          <t>3 วัน</t>
        </is>
      </c>
      <c r="E291" s="2" t="inlineStr">
        <is>
          <t>5 วัน</t>
        </is>
      </c>
      <c r="F291" s="2" t="inlineStr">
        <is>
          <t>2 สัปดาห์</t>
        </is>
      </c>
      <c r="G291" s="2" t="inlineStr">
        <is>
          <t>4 สัปดาห์</t>
        </is>
      </c>
      <c r="H291" s="2" t="inlineStr">
        <is>
          <t>6 สัปดาห์</t>
        </is>
      </c>
      <c r="I291" s="2" t="n">
        <v>3</v>
      </c>
      <c r="J291" s="2"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2" t="n"/>
      <c r="L291" s="2" t="inlineStr">
        <is>
          <t>พ.ร.บ. ยา พ.ศ. 2510</t>
        </is>
      </c>
      <c r="M291" s="2" t="inlineStr">
        <is>
          <t>SAP</t>
        </is>
      </c>
      <c r="N291" s="2" t="inlineStr">
        <is>
          <t>ข้อ 54 (PLE_CC1_Key_Rx20_UBU.md)</t>
        </is>
      </c>
      <c r="O291" s="2" t="inlineStr">
        <is>
          <t>Mock</t>
        </is>
      </c>
      <c r="P291" s="2" t="inlineStr">
        <is>
          <t>Mock Rx20 UBU</t>
        </is>
      </c>
    </row>
    <row r="292" ht="13.2" customHeight="1" s="49">
      <c r="A292" s="2" t="n">
        <v>290</v>
      </c>
      <c r="B292" s="2" t="inlineStr">
        <is>
          <t>ยาใดที่มีผลลดประสิทธิภาพของยาคุมกำเนิด</t>
        </is>
      </c>
      <c r="C292" s="2" t="n"/>
      <c r="D292" s="2" t="inlineStr">
        <is>
          <t>Rifampin</t>
        </is>
      </c>
      <c r="E292" s="2" t="inlineStr">
        <is>
          <t>Ketoconazole</t>
        </is>
      </c>
      <c r="F292" s="2" t="inlineStr">
        <is>
          <t>Omeprazole</t>
        </is>
      </c>
      <c r="G292" s="2" t="inlineStr">
        <is>
          <t>Griseofulvin</t>
        </is>
      </c>
      <c r="H292" s="2" t="inlineStr">
        <is>
          <t>Ranitidine</t>
        </is>
      </c>
      <c r="I292" s="2" t="n">
        <v>1</v>
      </c>
      <c r="J292" s="2"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2" t="n"/>
      <c r="L292" s="2" t="inlineStr">
        <is>
          <t>พ.ร.บ. ยา พ.ศ. 2510</t>
        </is>
      </c>
      <c r="M292" s="2" t="inlineStr">
        <is>
          <t>SAP</t>
        </is>
      </c>
      <c r="N292" s="2" t="inlineStr">
        <is>
          <t>ข้อ 87 (PLE_CC1_Key_Rx20_UBU.md)</t>
        </is>
      </c>
      <c r="O292" s="2" t="inlineStr">
        <is>
          <t>Mock</t>
        </is>
      </c>
      <c r="P292" s="2" t="inlineStr">
        <is>
          <t>Mock Rx20 UBU</t>
        </is>
      </c>
    </row>
    <row r="293" ht="13.2" customHeight="1" s="49">
      <c r="A293" s="2" t="n">
        <v>291</v>
      </c>
      <c r="B293" s="2" t="inlineStr">
        <is>
          <t>ผู้รับอนุญาต ทำผิดพรบ.วิชาชีพเภสัชกรรมหรือไม่อย่างไร</t>
        </is>
      </c>
      <c r="C293" s="2" t="n"/>
      <c r="D293" s="2" t="inlineStr">
        <is>
          <t>ผิด เพราะ เป็นผู้จ่ายยาให้นายชิดชัยโดยตรง</t>
        </is>
      </c>
      <c r="E293" s="2" t="inlineStr">
        <is>
          <t>ผิด เพราะ นายชิดชัยได้รับอันตราย</t>
        </is>
      </c>
      <c r="F293" s="2" t="inlineStr">
        <is>
          <t>ผิด เพราะ ไม่ปฏิบัติตามข้อจำกัด และเงื่อนไขการประกอบวิชาชีพ</t>
        </is>
      </c>
      <c r="G293" s="2" t="inlineStr">
        <is>
          <t>ไม่ผิด เพราะไม่ใช่เภสัชกร และ พรบ. วิชาชีพบังคับใช้สำหรับผู้ประกอบวิชาชีพเภสัชกรรม เท่านั้น</t>
        </is>
      </c>
      <c r="H293" s="2" t="inlineStr">
        <is>
          <t>ไม่ผิด เพราะสามารถพิสูจน์ได้ว่าเภสัชกรยินยอม</t>
        </is>
      </c>
      <c r="I293" s="2" t="n">
        <v>1</v>
      </c>
      <c r="J293" s="2"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2" t="n"/>
      <c r="L293" s="2" t="inlineStr">
        <is>
          <t>พ.ร.บ. ยา พ.ศ. 2510</t>
        </is>
      </c>
      <c r="M293" s="2" t="inlineStr">
        <is>
          <t>SAP</t>
        </is>
      </c>
      <c r="N293" s="2" t="inlineStr">
        <is>
          <t>ข้อ 110 (PLE_CC1_Key_Rx20_UBU.md)</t>
        </is>
      </c>
      <c r="O293" s="2" t="inlineStr">
        <is>
          <t>Mock</t>
        </is>
      </c>
      <c r="P293" s="2" t="inlineStr">
        <is>
          <t>Mock Rx20 UBU</t>
        </is>
      </c>
    </row>
    <row r="294" ht="13.2" customHeight="1" s="49">
      <c r="A294" s="2" t="n">
        <v>292</v>
      </c>
      <c r="B294" s="2" t="inlineStr">
        <is>
          <t>เภสัชกรผิดตาม พ.ร.บ.ยา อย่างไรชัดเจนที่สุด</t>
        </is>
      </c>
      <c r="C294" s="2" t="n"/>
      <c r="D294" s="2" t="inlineStr">
        <is>
          <t>ผิด เพราะ ไม่คำนึงถึงความปลอดภัยและเศรษฐานะของผู้รับบริการ</t>
        </is>
      </c>
      <c r="E294" s="2" t="inlineStr">
        <is>
          <t>ผิด เพราะ ไม่อยู่ประจำตลอดเวลาทำการ</t>
        </is>
      </c>
      <c r="F294" s="2" t="inlineStr">
        <is>
          <t>ผิด เพราะ ไม่รักษามาตรฐานวิชาชีพ</t>
        </is>
      </c>
      <c r="G294" s="2" t="inlineStr">
        <is>
          <t>ผิด เพราะ ไม่จัดให้มีตัวแทนอยู่ประจำร้าน</t>
        </is>
      </c>
      <c r="H294" s="2" t="inlineStr">
        <is>
          <t>ผิด เพราะ ไม่ควบคุมการแยกยาอันตรายหรือยาควบคุมพิเศษ</t>
        </is>
      </c>
      <c r="I294" s="2" t="n">
        <v>2</v>
      </c>
      <c r="J294" s="2"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2" t="n"/>
      <c r="L294" s="2" t="inlineStr">
        <is>
          <t>พ.ร.บ. ยา พ.ศ. 2510</t>
        </is>
      </c>
      <c r="M294" s="2" t="inlineStr">
        <is>
          <t>SAP</t>
        </is>
      </c>
      <c r="N294" s="2" t="inlineStr">
        <is>
          <t>ข้อ 111 (PLE_CC1_Key_Rx20_UBU.md)</t>
        </is>
      </c>
      <c r="O294" s="2" t="inlineStr">
        <is>
          <t>Mock</t>
        </is>
      </c>
      <c r="P294" s="2" t="inlineStr">
        <is>
          <t>Mock Rx20 UBU</t>
        </is>
      </c>
    </row>
    <row r="295" ht="13.2" customHeight="1" s="49">
      <c r="A295" s="2" t="n">
        <v>293</v>
      </c>
      <c r="B295" s="2" t="inlineStr">
        <is>
          <t>ผู้รับอนุญาตผิดตาม พ.ร.บ.ยา อย่างไร</t>
        </is>
      </c>
      <c r="C295" s="2" t="n"/>
      <c r="D295" s="2" t="inlineStr">
        <is>
          <t>ผิด เพราะ ไม่จัดหาเภสัชกรมาปฏิบัติงานตามเวลา</t>
        </is>
      </c>
      <c r="E295" s="2" t="inlineStr">
        <is>
          <t>ผิด เพราะ จ่ายยาอันตรายและยาควบคุมพิเศษโดยที่เภสัชกรไม่อยู่</t>
        </is>
      </c>
      <c r="F295" s="2" t="inlineStr">
        <is>
          <t>ผิด เพราะ ไม่ควบคุมให้มีบัญชีซื้อขายยา</t>
        </is>
      </c>
      <c r="G295" s="2" t="inlineStr">
        <is>
          <t>ผิด เพราะ ไม่ได้รับอนุญาตขาย</t>
        </is>
      </c>
      <c r="H295" s="2" t="inlineStr">
        <is>
          <t>ผิด เพราะ ไม่รักษามาตรฐานเภสัชชุมชน</t>
        </is>
      </c>
      <c r="I295" s="2" t="n">
        <v>2</v>
      </c>
      <c r="J295" s="2"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2" t="n"/>
      <c r="L295" s="2" t="inlineStr">
        <is>
          <t>พ.ร.บ. ยา พ.ศ. 2510</t>
        </is>
      </c>
      <c r="M295" s="2" t="inlineStr">
        <is>
          <t>SAP</t>
        </is>
      </c>
      <c r="N295" s="2" t="inlineStr">
        <is>
          <t>ข้อ 112 (PLE_CC1_Key_Rx20_UBU.md)</t>
        </is>
      </c>
      <c r="O295" s="2" t="inlineStr">
        <is>
          <t>Mock</t>
        </is>
      </c>
      <c r="P295" s="2" t="inlineStr">
        <is>
          <t>Mock Rx20 UBU</t>
        </is>
      </c>
    </row>
    <row r="296" ht="13.2" customHeight="1" s="49">
      <c r="A296" s="2" t="n">
        <v>294</v>
      </c>
      <c r="B296" s="2" t="inlineStr">
        <is>
          <t>หาก สสจ. ตรวจพบว่ามียาที่หมดอายุแล้วปะปนอยู่บนชั้นวางยา ยาดังกล่าวจัดเป็นยาใดตามกฎหมาย</t>
        </is>
      </c>
      <c r="C296" s="2" t="n"/>
      <c r="D296" s="2" t="inlineStr">
        <is>
          <t>ยาผิดมาตรฐาน</t>
        </is>
      </c>
      <c r="E296" s="2" t="inlineStr">
        <is>
          <t>ยาปลอม</t>
        </is>
      </c>
      <c r="F296" s="2" t="inlineStr">
        <is>
          <t>ยาเสื่อมคุณภาพ</t>
        </is>
      </c>
      <c r="G296" s="2" t="inlineStr">
        <is>
          <t>ยาเพิกถอนทะเบียน</t>
        </is>
      </c>
      <c r="H296" s="2" t="inlineStr">
        <is>
          <t>ยาที่ไม่ได้ขึ้นทะเบียน</t>
        </is>
      </c>
      <c r="I296" s="2" t="n">
        <v>3</v>
      </c>
      <c r="J296" s="2"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2" t="n"/>
      <c r="L296" s="2" t="inlineStr">
        <is>
          <t>พ.ร.บ. ยา พ.ศ. 2510</t>
        </is>
      </c>
      <c r="M296" s="2" t="inlineStr">
        <is>
          <t>SAP</t>
        </is>
      </c>
      <c r="N296" s="2" t="inlineStr">
        <is>
          <t>ข้อ 117 (PLE_CC1_Key_Rx20_UBU.md)</t>
        </is>
      </c>
      <c r="O296" s="2" t="inlineStr">
        <is>
          <t>Mock</t>
        </is>
      </c>
      <c r="P296" s="2" t="inlineStr">
        <is>
          <t>Mock Rx20 UBU</t>
        </is>
      </c>
    </row>
    <row r="297" ht="13.2" customHeight="1" s="49">
      <c r="A297" s="2" t="n">
        <v>295</v>
      </c>
      <c r="B297" s="2"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2" t="n"/>
      <c r="D297" s="2" t="inlineStr">
        <is>
          <t>ไม่ผิด เพราะผู้รับอนุญาตขายยาสามารถขายยาบรรจุเสร็จที่ไม่ใช่ยาอันตรายและยาควบคุมพิเศษ</t>
        </is>
      </c>
      <c r="E297" s="2" t="inlineStr">
        <is>
          <t>ไม่ผิด เพราะ แชมพูคีโตโคนาโซลเป็นเครื่องสำอาง</t>
        </is>
      </c>
      <c r="F297" s="2" t="inlineStr">
        <is>
          <t>ผิด เพราะเป็นการขายยาผิดมาตรฐาน</t>
        </is>
      </c>
      <c r="G297" s="2" t="inlineStr">
        <is>
          <t>ผิด เพราะเป็นการผลิตยาโดยไม่ได้รับอนุญาต</t>
        </is>
      </c>
      <c r="H297" s="2" t="inlineStr">
        <is>
          <t>ไม่ผิด เพราะกระทำแก่ผู้ป่วยเฉพาะราย</t>
        </is>
      </c>
      <c r="I297" s="2" t="n">
        <v>4</v>
      </c>
      <c r="J297" s="2"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2" t="n"/>
      <c r="L297" s="2" t="inlineStr">
        <is>
          <t>พ.ร.บ. ยา พ.ศ. 2510</t>
        </is>
      </c>
      <c r="M297" s="2" t="inlineStr">
        <is>
          <t>SAP</t>
        </is>
      </c>
      <c r="N297" s="2" t="inlineStr">
        <is>
          <t>ข้อ 118 (PLE_CC1_Key_Rx20_UBU.md)</t>
        </is>
      </c>
      <c r="O297" s="2" t="inlineStr">
        <is>
          <t>Mock</t>
        </is>
      </c>
      <c r="P297" s="2" t="inlineStr">
        <is>
          <t>Mock Rx20 UBU</t>
        </is>
      </c>
    </row>
    <row r="298" ht="13.2" customHeight="1" s="49">
      <c r="A298" s="2" t="n">
        <v>296</v>
      </c>
      <c r="B298" s="2" t="inlineStr">
        <is>
          <t>ตาม GPP ฉลากบนซองบรรจุยาจะต้องแสดงข้อมูลดังกล่าว ยกเว้นข้อใด</t>
        </is>
      </c>
      <c r="C298" s="2" t="n"/>
      <c r="D298" s="2" t="inlineStr">
        <is>
          <t>ชื่อผู้ป่วย</t>
        </is>
      </c>
      <c r="E298" s="2" t="inlineStr">
        <is>
          <t>ชื่อยาที่เป็นชื่อสามัญ หรือชื่อทางการค้า</t>
        </is>
      </c>
      <c r="F298" s="2" t="inlineStr">
        <is>
          <t>ข้อบ่งใช้</t>
        </is>
      </c>
      <c r="G298" s="2" t="inlineStr">
        <is>
          <t>คำแนะนำ</t>
        </is>
      </c>
      <c r="H298" s="2" t="inlineStr">
        <is>
          <t>วันหมดอายุยา</t>
        </is>
      </c>
      <c r="I298" s="2" t="n">
        <v>5</v>
      </c>
      <c r="J298" s="2"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2" t="n"/>
      <c r="L298" s="2" t="inlineStr">
        <is>
          <t>พ.ร.บ. ยา พ.ศ. 2510</t>
        </is>
      </c>
      <c r="M298" s="2" t="inlineStr">
        <is>
          <t>SAP</t>
        </is>
      </c>
      <c r="N298" s="2" t="inlineStr">
        <is>
          <t>ข้อ 120 (PLE_CC1_Key_Rx20_UBU.md)</t>
        </is>
      </c>
      <c r="O298" s="2" t="inlineStr">
        <is>
          <t>Mock</t>
        </is>
      </c>
      <c r="P298" s="2" t="inlineStr">
        <is>
          <t>Mock Rx20 UBU</t>
        </is>
      </c>
    </row>
    <row r="299" ht="13.2" customHeight="1" s="49">
      <c r="A299" s="2" t="n">
        <v>297</v>
      </c>
      <c r="B299" s="2" t="inlineStr">
        <is>
          <t>ภญ. ก ผิดจรรยาบรรณวิชาชีพเภสัชกรรมยกเว้นข้อใด</t>
        </is>
      </c>
      <c r="C299" s="2" t="n"/>
      <c r="D299" s="2" t="inlineStr">
        <is>
          <t>ส่งเสริมการใช้ยาตำรับลับ</t>
        </is>
      </c>
      <c r="E299" s="2" t="inlineStr">
        <is>
          <t>ไม่ดำรงตนให้สมควรในสังคมโดยธรรมและเคารพต่อกฎหมายของบ้านเมือง</t>
        </is>
      </c>
      <c r="F299" s="2" t="inlineStr">
        <is>
          <t>ไม่รักษามาตรฐานของการประกอบวิชาชีพเภสัชกรรมในระดับที่ดีที่สุด</t>
        </is>
      </c>
      <c r="G299" s="2" t="inlineStr">
        <is>
          <t>ไม่คำนึงถึงความปลอดภัยและเศรษฐานะ ของผู้ป่วยหรือผู้มารับบริการ</t>
        </is>
      </c>
      <c r="H299" s="2"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t>
        </is>
      </c>
      <c r="I299" s="2" t="n">
        <v>3</v>
      </c>
      <c r="J299" s="2"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2" t="n"/>
      <c r="L299" s="2" t="inlineStr">
        <is>
          <t>พ.ร.บ. วิชาชีพเภสัชกรรม 2537</t>
        </is>
      </c>
      <c r="M299" s="2" t="inlineStr">
        <is>
          <t>SAP</t>
        </is>
      </c>
      <c r="N299" s="2" t="inlineStr">
        <is>
          <t>ข้อ 117 (PLE_CC1_Key_Rx20_UBU.md)</t>
        </is>
      </c>
      <c r="O299" s="2" t="inlineStr">
        <is>
          <t>Mock</t>
        </is>
      </c>
      <c r="P299" s="2" t="inlineStr">
        <is>
          <t>Mock Rx20 UBU</t>
        </is>
      </c>
    </row>
    <row r="300" ht="13.2" customHeight="1" s="49">
      <c r="A300" s="2" t="n">
        <v>298</v>
      </c>
      <c r="B300" s="2"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2" t="n"/>
      <c r="D300" s="2" t="inlineStr">
        <is>
          <t>พ.ร.บ. ผลิตภัณฑ์สมุนไพร พ.ศ. 2562</t>
        </is>
      </c>
      <c r="E300" s="2" t="inlineStr">
        <is>
          <t>พ.ร.บ. เครื่องสำอาง พ.ศ. 2558</t>
        </is>
      </c>
      <c r="F300" s="2" t="inlineStr">
        <is>
          <t>พ.ร.บ. หลักประกันสุขภาพแห่งชาติ พ.ศ. 2545</t>
        </is>
      </c>
      <c r="G300" s="2" t="inlineStr">
        <is>
          <t>การปฏิบัติทางเภสัชกรรมชุมชน (Good Pharmacy Practice: GPP)</t>
        </is>
      </c>
      <c r="H300" s="2" t="inlineStr">
        <is>
          <t>บัญชียาหลักแห่งชาติ (National List of Essential Medicines: NLEM)</t>
        </is>
      </c>
      <c r="I300" s="2" t="n">
        <v>1</v>
      </c>
      <c r="J300" s="2"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2" t="n"/>
      <c r="L300" s="2" t="inlineStr">
        <is>
          <t>พ.ร.บ. ยา พ.ศ. 2510</t>
        </is>
      </c>
      <c r="M300" s="2" t="inlineStr">
        <is>
          <t>SAP</t>
        </is>
      </c>
      <c r="N300" s="2" t="inlineStr">
        <is>
          <t>ข้อ 1 (PLE_CC1_Key_Rx20_UBU.md)</t>
        </is>
      </c>
      <c r="O300" s="2" t="inlineStr">
        <is>
          <t>Mock</t>
        </is>
      </c>
      <c r="P300" s="2" t="inlineStr">
        <is>
          <t>Mock Rx20 UBU</t>
        </is>
      </c>
    </row>
    <row r="301" ht="13.2" customHeight="1" s="49">
      <c r="A301" s="2" t="n">
        <v>299</v>
      </c>
      <c r="B301" s="2"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2" t="n"/>
      <c r="D301" s="2" t="inlineStr">
        <is>
          <t>ผิดเพราะขายยานอกสถานที่</t>
        </is>
      </c>
      <c r="E301" s="2" t="inlineStr">
        <is>
          <t>ผิดเพราะขายยาอันตรายและควบคุมพิเศษโดยไม่มีใบสั่งแพทย์ ค .ผิด เพราะจำหน่ายยาไม่ตรงใบอนุญาต</t>
        </is>
      </c>
      <c r="F301" s="2" t="inlineStr">
        <is>
          <t>ไม่ผิด เพราะเภสัชกรได้ควบคุมการส่งมอบยาอันตราย</t>
        </is>
      </c>
      <c r="G301" s="2" t="inlineStr">
        <is>
          <t>ไม่ผิดเพราะเภสัชกรได้แนะนำวิธีดการส่งมอบยาเรียบร้อยแล้ว ข้อ 96</t>
        </is>
      </c>
      <c r="H301" s="2" t="inlineStr">
        <is>
          <t>พ.ร.บ. ยาเสพติดให้โทษ พ.ศ. 2522 (ยาเสพติดให้โทษประเภท 2 และ 3)</t>
        </is>
      </c>
      <c r="I301" s="2" t="n">
        <v>2</v>
      </c>
      <c r="J301" s="2"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2" t="n"/>
      <c r="L301" s="2" t="inlineStr">
        <is>
          <t>พ.ร.บ. ยา พ.ศ. 2510</t>
        </is>
      </c>
      <c r="M301" s="2" t="inlineStr">
        <is>
          <t>SAP</t>
        </is>
      </c>
      <c r="N301" s="2" t="inlineStr">
        <is>
          <t>ข้อ 3 (PLE_CC1_Key_Rx20_UBU.md)</t>
        </is>
      </c>
      <c r="O301" s="2" t="inlineStr">
        <is>
          <t>Mock</t>
        </is>
      </c>
      <c r="P301" s="2" t="inlineStr">
        <is>
          <t>Mock Rx20 UBU</t>
        </is>
      </c>
    </row>
    <row r="302" ht="13.2" customHeight="1" s="49">
      <c r="A302" s="2" t="n">
        <v>300</v>
      </c>
      <c r="B302" s="2"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2" t="n"/>
      <c r="D302" s="2" t="inlineStr">
        <is>
          <t>ขายได้ เพราะเป็นยาอันตรายที่เภสัชกรมีสิทธิ์ส่งมอบในร้านยาได้</t>
        </is>
      </c>
      <c r="E302" s="2" t="inlineStr">
        <is>
          <t>ขายได้ หากให้คำแนะนำการใช้ยาบนฉลากยาอย่างถูกต้อง</t>
        </is>
      </c>
      <c r="F302" s="2" t="inlineStr">
        <is>
          <t>ขายไม่ได้ เพราะปริมาณเกินกว่าที่กฎหมายกำหนดให้มีไว้ในครอบครอง</t>
        </is>
      </c>
      <c r="G302" s="2" t="inlineStr">
        <is>
          <t>ขายไม่ได้ เพราะไม่ได้คำนึงถึงความปลอดภัยของผู้ใช้ยา และเป็นการใช้ยาโดยไม่มีข้อบ่งชี้ทางการแพทย์</t>
        </is>
      </c>
      <c r="H302" s="2" t="inlineStr">
        <is>
          <t>ขายไม่ได้ เพราะต้องมีใบสั่งยาจากแพทย์เท่านั้นจึงจะจ่ายยาอันตรายได้</t>
        </is>
      </c>
      <c r="I302" s="8" t="inlineStr">
        <is>
          <t>4</t>
        </is>
      </c>
      <c r="J302" s="2"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2" t="n"/>
      <c r="L302" s="2" t="inlineStr">
        <is>
          <t>Pharmacy Laws &amp; Ethics</t>
        </is>
      </c>
      <c r="M302" s="2" t="inlineStr">
        <is>
          <t>SAP</t>
        </is>
      </c>
      <c r="N302" s="2" t="inlineStr">
        <is>
          <t>PLE_CC1_2567_Key ข้อ 11</t>
        </is>
      </c>
      <c r="O302" s="2" t="inlineStr">
        <is>
          <t>ข้อสอบจริง</t>
        </is>
      </c>
      <c r="P302" s="2" t="inlineStr">
        <is>
          <t>ปี 2567</t>
        </is>
      </c>
    </row>
    <row r="303" ht="409.6" customHeight="1" s="49">
      <c r="A303" s="35" t="n">
        <v>301</v>
      </c>
      <c r="B303" s="34" t="inlineStr">
        <is>
          <t>ยาใดที่ร้านขายส่งไม่สามารถขายในร้านขายยาแผนปัจจุบันได้</t>
        </is>
      </c>
      <c r="C303" s="35" t="n"/>
      <c r="D303" s="34" t="inlineStr">
        <is>
          <t>Sildenafil</t>
        </is>
      </c>
      <c r="E303" s="34" t="inlineStr">
        <is>
          <t>Alprazolam</t>
        </is>
      </c>
      <c r="F303" s="34" t="inlineStr">
        <is>
          <t>Tramadol</t>
        </is>
      </c>
      <c r="G303" s="34" t="inlineStr">
        <is>
          <t>Dexamethasone</t>
        </is>
      </c>
      <c r="H303" s="34" t="inlineStr">
        <is>
          <t>Prednisolone</t>
        </is>
      </c>
      <c r="I303" s="35" t="n">
        <v>1</v>
      </c>
      <c r="J303" s="34" t="inlineStr">
        <is>
          <t>✅ คำตอบที่ถูกต้อง: ข้อ ก. Sildenafil
💡 Background:
คำถามข้อสอบจริงใบประกอบวิชาชีพ PLE-CC 1 (Product) ปี 2567 ข้อ 23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3" s="35" t="n"/>
      <c r="L303" s="34" t="inlineStr">
        <is>
          <t>Pharmacy Laws &amp; Ethics</t>
        </is>
      </c>
      <c r="M303" s="35" t="inlineStr">
        <is>
          <t>SAP</t>
        </is>
      </c>
      <c r="N303" s="34" t="inlineStr">
        <is>
          <t>ข้อสอบจริง Product ปี 2567 ข้อ 23</t>
        </is>
      </c>
      <c r="O303" s="35" t="inlineStr">
        <is>
          <t>ข้อสอบจริง</t>
        </is>
      </c>
      <c r="P303" s="35" t="inlineStr">
        <is>
          <t>ปี 2567</t>
        </is>
      </c>
    </row>
    <row r="304" ht="409.6" customHeight="1" s="49">
      <c r="A304" s="35" t="n">
        <v>302</v>
      </c>
      <c r="B304" s="34" t="inlineStr">
        <is>
          <t>ยาข้อใดต่อไปนี้ ไม่ต้องทำ ขย.11 (ขอขึ้นทะเบียนยาชนิดที่ 11\)</t>
        </is>
      </c>
      <c r="C304" s="35" t="n"/>
      <c r="D304" s="34" t="inlineStr">
        <is>
          <t>ยาเม็ด dimenhydrinate</t>
        </is>
      </c>
      <c r="E304" s="34" t="inlineStr">
        <is>
          <t>ยาเม็ด dextromethorphan</t>
        </is>
      </c>
      <c r="F304" s="34" t="inlineStr">
        <is>
          <t>ยา tramadol</t>
        </is>
      </c>
      <c r="G304" s="34" t="inlineStr">
        <is>
          <t>ยาน้ำ CPM (Chlorpheniramine)</t>
        </is>
      </c>
      <c r="H304" s="34" t="n"/>
      <c r="I304" s="35" t="n">
        <v>1</v>
      </c>
      <c r="J304" s="34"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35" t="n"/>
      <c r="L304" s="34" t="inlineStr">
        <is>
          <t>Pharmacy Laws &amp; Ethics</t>
        </is>
      </c>
      <c r="M304" s="35" t="inlineStr">
        <is>
          <t>SAP</t>
        </is>
      </c>
      <c r="N304" s="34" t="inlineStr">
        <is>
          <t>ข้อสอบจริง Product ปี 2567 ข้อ 25</t>
        </is>
      </c>
      <c r="O304" s="35" t="inlineStr">
        <is>
          <t>ข้อสอบจริง</t>
        </is>
      </c>
      <c r="P304" s="35" t="inlineStr">
        <is>
          <t>ปี 2567</t>
        </is>
      </c>
    </row>
    <row r="305" ht="409.6" customHeight="1" s="49">
      <c r="A305" s="35" t="n">
        <v>303</v>
      </c>
      <c r="B305" s="34" t="inlineStr">
        <is>
          <t>ข้อใดต่อไปนี้ไม่จัดเป็นยาสามัญประจำบ้าน</t>
        </is>
      </c>
      <c r="C305" s="35" t="n"/>
      <c r="D305" s="34" t="inlineStr">
        <is>
          <t>Paracetamol 500 mg จำนน 100 เม็ด</t>
        </is>
      </c>
      <c r="E305" s="34" t="inlineStr">
        <is>
          <t>ยาเน็บ glycerin 10 เม็ด</t>
        </is>
      </c>
      <c r="F305" s="34" t="inlineStr">
        <is>
          <t>น้ำเกลือ 500 ml</t>
        </is>
      </c>
      <c r="G305" s="34" t="inlineStr">
        <is>
          <t>ORS ผมน้ำ 250 ml</t>
        </is>
      </c>
      <c r="H305" s="34" t="inlineStr">
        <is>
          <t>ยาล้างตา 150 ml</t>
        </is>
      </c>
      <c r="I305" s="35" t="n">
        <v>1</v>
      </c>
      <c r="J305" s="34" t="inlineStr">
        <is>
          <t>✅ คำตอบที่ถูกต้อง: ข้อ ก. Paracetamol 500 mg จำนน 100 เม็ด
💡 Background:
คำถามข้อสอบจริงใบประกอบวิชาชีพ PLE-CC 1 (Product) ปี 2567 ข้อ 29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5" s="35" t="n"/>
      <c r="L305" s="34" t="inlineStr">
        <is>
          <t>Pharmacy Laws &amp; Ethics</t>
        </is>
      </c>
      <c r="M305" s="35" t="inlineStr">
        <is>
          <t>SAP</t>
        </is>
      </c>
      <c r="N305" s="34" t="inlineStr">
        <is>
          <t>ข้อสอบจริง Product ปี 2567 ข้อ 29</t>
        </is>
      </c>
      <c r="O305" s="35" t="inlineStr">
        <is>
          <t>ข้อสอบจริง</t>
        </is>
      </c>
      <c r="P305" s="35" t="inlineStr">
        <is>
          <t>ปี 2567</t>
        </is>
      </c>
    </row>
    <row r="306" ht="409.6" customHeight="1" s="49">
      <c r="A306" s="35" t="n">
        <v>304</v>
      </c>
      <c r="B306" s="34" t="inlineStr">
        <is>
          <t>"อาการของคนไข้ยังไม่หาย ไปร้านยาเพื่อขอยาแก้ไอ" สมุนไพรใดมีฤทธิ์แก้ไอ</t>
        </is>
      </c>
      <c r="C306" s="35" t="n"/>
      <c r="D306" s="34"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34" t="inlineStr">
        <is>
          <t>ชะเอมเทศ ❌ ช่วยให้ชุ่มคอ ลดการระคายคอ มีฤทธิ์แก้ไอได้ แต่เป็นสารช่วยแต่งรสในตำรับหลายชนิด</t>
        </is>
      </c>
      <c r="F306" s="34" t="inlineStr">
        <is>
          <t>มะแว้ง ✅ ใช้เป็นยาสามัญประจำบ้านสำหรับแก้ไอ ขับเสมหะ</t>
        </is>
      </c>
      <c r="G306" s="34" t="inlineStr">
        <is>
          <t>ขิง ❌ เด่นแก้คลื่นไส้ ท้องอืด ขับลม</t>
        </is>
      </c>
      <c r="H306" s="34" t="inlineStr">
        <is>
          <t>ฟ้าทะลายโจร ❌ ใช้บรรเทาอาการเจ็บคอ/หวัด ไม่ใช่สมุนไพรแก้ไอโดยตรง</t>
        </is>
      </c>
      <c r="I306" s="35" t="n">
        <v>1</v>
      </c>
      <c r="J306" s="34"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35" t="n"/>
      <c r="L306" s="34" t="inlineStr">
        <is>
          <t>Pharmacy Laws &amp; Ethics</t>
        </is>
      </c>
      <c r="M306" s="35" t="inlineStr">
        <is>
          <t>SAP</t>
        </is>
      </c>
      <c r="N306" s="34" t="inlineStr">
        <is>
          <t>ข้อสอบจริง Product ปี 2564 ข้อ 171</t>
        </is>
      </c>
      <c r="O306" s="35" t="inlineStr">
        <is>
          <t>ข้อสอบจริง</t>
        </is>
      </c>
      <c r="P306" s="35" t="inlineStr">
        <is>
          <t>ปี 2564</t>
        </is>
      </c>
    </row>
    <row r="307" ht="13.2" customHeight="1" s="49">
      <c r="A307" t="n">
        <v>305</v>
      </c>
      <c r="B307"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D307" t="inlineStr">
        <is>
          <t>ยาเสื่อมคุณภาพ</t>
        </is>
      </c>
      <c r="E307" t="inlineStr">
        <is>
          <t>ยาผิดมาตรฐาน</t>
        </is>
      </c>
      <c r="F307" t="inlineStr">
        <is>
          <t>ยาปลอม</t>
        </is>
      </c>
      <c r="G307" t="inlineStr">
        <is>
          <t>ยาไม่ขึ้นทะเบียนตำรับยา</t>
        </is>
      </c>
      <c r="H307" t="inlineStr">
        <is>
          <t>ยาอันตราย</t>
        </is>
      </c>
      <c r="I307" t="n">
        <v>1</v>
      </c>
      <c r="J307"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L307" t="inlineStr">
        <is>
          <t>Hypertension / Pharmacy Laws &amp; Ethics</t>
        </is>
      </c>
      <c r="M307" t="inlineStr">
        <is>
          <t>Clinic</t>
        </is>
      </c>
      <c r="N307" t="inlineStr">
        <is>
          <t>PLE_CC1_2564_All_Key ข้อ 147</t>
        </is>
      </c>
    </row>
    <row r="308" ht="13.2" customHeight="1" s="49">
      <c r="A308" t="n">
        <v>306</v>
      </c>
      <c r="B308"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D308" t="inlineStr">
        <is>
          <t>บัญชี ก</t>
        </is>
      </c>
      <c r="E308" t="inlineStr">
        <is>
          <t>บัญชี ข</t>
        </is>
      </c>
      <c r="F308" t="inlineStr">
        <is>
          <t>บัญชี ค</t>
        </is>
      </c>
      <c r="G308" t="inlineStr">
        <is>
          <t>บัญชี ง</t>
        </is>
      </c>
      <c r="H308" t="inlineStr">
        <is>
          <t>บัญชี จ (2)</t>
        </is>
      </c>
      <c r="I308" t="inlineStr">
        <is>
          <t>1</t>
        </is>
      </c>
      <c r="J308"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8" t="inlineStr">
        <is>
          <t>Hypertension</t>
        </is>
      </c>
      <c r="M308" t="inlineStr">
        <is>
          <t>Clinic</t>
        </is>
      </c>
      <c r="N308" t="inlineStr">
        <is>
          <t>ข้อ 8 (PLE_CC1_2560 22 April Set 1.md)</t>
        </is>
      </c>
    </row>
    <row r="309" ht="13.2" customHeight="1" s="49">
      <c r="A309" t="n">
        <v>307</v>
      </c>
      <c r="B309"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D309" t="inlineStr">
        <is>
          <t>บัญชี ก</t>
        </is>
      </c>
      <c r="E309" t="inlineStr">
        <is>
          <t>บัญชี ข</t>
        </is>
      </c>
      <c r="F309" t="inlineStr">
        <is>
          <t>บัญชี ค</t>
        </is>
      </c>
      <c r="G309" t="inlineStr">
        <is>
          <t>บัญชี ง</t>
        </is>
      </c>
      <c r="H309" t="inlineStr">
        <is>
          <t>บัญชี จ (2) 23</t>
        </is>
      </c>
      <c r="I309" t="inlineStr">
        <is>
          <t>1</t>
        </is>
      </c>
      <c r="J309" t="inlineStr">
        <is>
          <t>✅ คำตอบที่ถูกต้อง: ข้อ ก. บัญชี 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09" t="inlineStr">
        <is>
          <t>Hypertension</t>
        </is>
      </c>
      <c r="M309" t="inlineStr">
        <is>
          <t>Clinic</t>
        </is>
      </c>
      <c r="N309" t="inlineStr">
        <is>
          <t>ข้อ 8 (PLE_CC1_2560 22 April Set 2.md)</t>
        </is>
      </c>
    </row>
    <row r="310" ht="13.2" customHeight="1" s="49">
      <c r="A310" t="n">
        <v>308</v>
      </c>
      <c r="B310" t="inlineStr">
        <is>
          <t>ยาลดกรด aluminium hydroxide/magnesium hydroxide ขนาด 240 มิลลิลิตร เป็นยา ประเภทใด</t>
        </is>
      </c>
      <c r="D310" t="inlineStr">
        <is>
          <t>ยาสามัญประจำบ้าน</t>
        </is>
      </c>
      <c r="E310" t="inlineStr">
        <is>
          <t>ยาอันตราย</t>
        </is>
      </c>
      <c r="F310" t="inlineStr">
        <is>
          <t>ยาควบคุมพิเศษ</t>
        </is>
      </c>
      <c r="G310" t="inlineStr">
        <is>
          <t>วัตถุออกฤทธิ์ต่อจิตและประสาท</t>
        </is>
      </c>
      <c r="H310" t="inlineStr">
        <is>
          <t>ยาเสพติดให้โทษ ประเภทที่ 3</t>
        </is>
      </c>
      <c r="I310" t="inlineStr">
        <is>
          <t>1</t>
        </is>
      </c>
      <c r="J310" t="inlineStr">
        <is>
          <t>✅ คำตอบที่ถูกต้อง: ข้อ ก. ยาสามัญประจำบ้าน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0" t="inlineStr">
        <is>
          <t>Hypertension</t>
        </is>
      </c>
      <c r="M310" t="inlineStr">
        <is>
          <t>Clinic</t>
        </is>
      </c>
      <c r="N310" t="inlineStr">
        <is>
          <t>ข้อ 1 (LAW-CU-71.md)</t>
        </is>
      </c>
    </row>
    <row r="311" ht="13.2" customHeight="1" s="49">
      <c r="A311" t="n">
        <v>309</v>
      </c>
      <c r="B311"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D311" t="inlineStr">
        <is>
          <t>ถามว่าเป้าหมายความดันโลหิตของผู้ป่วยควรน้อยกว่าเท่าไร</t>
        </is>
      </c>
      <c r="E311" t="inlineStr">
        <is>
          <t>Warfarin 3 mg OD (target INR 2.0-3.0)</t>
        </is>
      </c>
      <c r="F311" t="inlineStr">
        <is>
          <t>Furosemide 40 mg OD</t>
        </is>
      </c>
      <c r="G311" t="inlineStr">
        <is>
          <t>Amlodipine 5 mg OD</t>
        </is>
      </c>
      <c r="H311" t="inlineStr">
        <is>
          <t>Losartan 50 mg OD</t>
        </is>
      </c>
      <c r="I311" t="inlineStr">
        <is>
          <t>1</t>
        </is>
      </c>
      <c r="J311" t="inlineStr">
        <is>
          <t>✅ คำตอบที่ถูกต้อง: ข้อ ก. ถามว่าเป้าหมายความดันโลหิตของผู้ป่วยควรน้อยกว่าเท่าไร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1" t="inlineStr">
        <is>
          <t>Hypertension</t>
        </is>
      </c>
      <c r="M311" t="inlineStr">
        <is>
          <t>Clinic</t>
        </is>
      </c>
      <c r="N311" t="inlineStr">
        <is>
          <t>ข้อ 10 (PLE_CC1_2556.md)</t>
        </is>
      </c>
    </row>
    <row r="312" ht="13.2" customHeight="1" s="49">
      <c r="A312" t="n">
        <v>310</v>
      </c>
      <c r="B312" t="inlineStr">
        <is>
          <t>ยา Metformin และ Pioglitazone จัดเป็นยาประเภทใด ก ยาแผนปัจจุบันบรรจุเสร็จที่ไม่ใช่ยาอันตรายหรือยาควบคุมพิเศษทั้งคู่</t>
        </is>
      </c>
      <c r="D312" t="inlineStr">
        <is>
          <t>ยาอันตรายทั้งคู่</t>
        </is>
      </c>
      <c r="E312" t="inlineStr">
        <is>
          <t>ยาควบคุมพิเศษทั้งคู่</t>
        </is>
      </c>
      <c r="F312" t="inlineStr">
        <is>
          <t>Metformin เป็นยาอันตราย Pioglitazone เป็นยาควบคุมพิเศษ</t>
        </is>
      </c>
      <c r="G312" t="inlineStr">
        <is>
          <t>Metformin เป็นยาควบคุมพิเศษ Pioglitazone เป็นยาอันตราย</t>
        </is>
      </c>
      <c r="H312" t="inlineStr">
        <is>
          <t>Spironolactone 25 mg OD</t>
        </is>
      </c>
      <c r="I312" t="inlineStr">
        <is>
          <t>1</t>
        </is>
      </c>
      <c r="J312" t="inlineStr">
        <is>
          <t>✅ คำตอบที่ถูกต้อง: ข้อ ก. ยาอันตรายทั้งคู่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L312" t="inlineStr">
        <is>
          <t>Hypertension</t>
        </is>
      </c>
      <c r="M312" t="inlineStr">
        <is>
          <t>Clinic</t>
        </is>
      </c>
      <c r="N312" t="inlineStr">
        <is>
          <t>ข้อ 18 (PLE_CC1_Practice_Exam.md)</t>
        </is>
      </c>
    </row>
    <row r="313" ht="13.2" customHeight="1" s="49">
      <c r="A313" t="n">
        <v>311</v>
      </c>
      <c r="B313" t="inlineStr">
        <is>
          <t>Midazolam ที่ปริมาณยาเกินกว่าช่วงที่กำหนด 15% จัดเป็นยาประเภทใด</t>
        </is>
      </c>
      <c r="D313" t="inlineStr">
        <is>
          <t>ยาปลอม</t>
        </is>
      </c>
      <c r="E313" t="inlineStr">
        <is>
          <t>ยาผิดมาตรฐาน</t>
        </is>
      </c>
      <c r="F313" t="inlineStr">
        <is>
          <t>ยาเสื่อมคุณภาพ</t>
        </is>
      </c>
      <c r="G313" t="inlineStr">
        <is>
          <t>ยายกเลิกทะเบียน</t>
        </is>
      </c>
      <c r="H313" t="inlineStr">
        <is>
          <t>ยาที่ไม่ได้ขึ้นทะเบียนตำรับยา</t>
        </is>
      </c>
      <c r="I313" t="inlineStr">
        <is>
          <t>1</t>
        </is>
      </c>
      <c r="J313" t="inlineStr">
        <is>
          <t>✅ คำตอบที่ถูกต้อง: ข้อ ก. ยาปลอม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3" t="inlineStr">
        <is>
          <t>Hypertension</t>
        </is>
      </c>
      <c r="M313" t="inlineStr">
        <is>
          <t>Clinic</t>
        </is>
      </c>
      <c r="N313" t="inlineStr">
        <is>
          <t>ข้อ 34 (PLE_CC1_Practice_Exam.md)</t>
        </is>
      </c>
    </row>
    <row r="314" ht="13.2" customHeight="1" s="49">
      <c r="A314" t="n">
        <v>312</v>
      </c>
      <c r="B314" t="inlineStr">
        <is>
          <t>กรณีพบยา Midazolam ในร้านขายยา ใครถือเป็นผู้กระทำความผิด</t>
        </is>
      </c>
      <c r="D314" t="inlineStr">
        <is>
          <t>นาย ก.</t>
        </is>
      </c>
      <c r="E314" t="inlineStr">
        <is>
          <t>นาย ข.</t>
        </is>
      </c>
      <c r="F314" t="inlineStr">
        <is>
          <t>นาย ค.</t>
        </is>
      </c>
      <c r="G314" t="inlineStr">
        <is>
          <t>นาย ก. และนาย ข.</t>
        </is>
      </c>
      <c r="H314"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314" t="inlineStr">
        <is>
          <t>4</t>
        </is>
      </c>
      <c r="J314" t="inlineStr">
        <is>
          <t>✅ คำตอบที่ถูกต้อง: ข้อ ง. นาย ก. และนาย ข.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4" t="inlineStr">
        <is>
          <t>Hypertension</t>
        </is>
      </c>
      <c r="M314" t="inlineStr">
        <is>
          <t>Clinic</t>
        </is>
      </c>
      <c r="N314" t="inlineStr">
        <is>
          <t>ข้อ 6 (PLE_CC1_Key_Rx20_UBU.md)</t>
        </is>
      </c>
    </row>
    <row r="315" ht="13.2" customHeight="1" s="49">
      <c r="A315" t="n">
        <v>313</v>
      </c>
      <c r="B315"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D315" t="inlineStr">
        <is>
          <t>บัญชี ก</t>
        </is>
      </c>
      <c r="E315" t="inlineStr">
        <is>
          <t>บัญชี ข</t>
        </is>
      </c>
      <c r="F315" t="inlineStr">
        <is>
          <t>บัญชี ค</t>
        </is>
      </c>
      <c r="G315" t="inlineStr">
        <is>
          <t>บัญชี ง</t>
        </is>
      </c>
      <c r="H315" t="inlineStr">
        <is>
          <t>บัญชี จ (2) เรื่องที่ 10. ยาคุมฉุกเฉิน ผู้ป่วยหญิงอายุ 20 ปี มีรอบเดือนคงที่ 28 วัน มาพบเภสัชกรวันที่ 7 กุมภาพันธ์</t>
        </is>
      </c>
      <c r="I315" t="inlineStr">
        <is>
          <t>4</t>
        </is>
      </c>
      <c r="J315" t="inlineStr">
        <is>
          <t>✅ คำตอบที่ถูกต้อง: ข้อ ง. บัญชี 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315" t="inlineStr">
        <is>
          <t>Hypertension</t>
        </is>
      </c>
      <c r="M315" t="inlineStr">
        <is>
          <t>Clinic</t>
        </is>
      </c>
      <c r="N315" t="inlineStr">
        <is>
          <t>ข้อ 81 (PLE_CC1_Key_Rx20_UBU.md)</t>
        </is>
      </c>
    </row>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Q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24" t="inlineStr">
        <is>
          <t>ข้อที่</t>
        </is>
      </c>
      <c r="B2" s="24" t="inlineStr">
        <is>
          <t>คำถาม</t>
        </is>
      </c>
      <c r="C2" s="24" t="inlineStr">
        <is>
          <t>รูปถาม</t>
        </is>
      </c>
      <c r="D2" s="24" t="inlineStr">
        <is>
          <t>ตัวเลือก 1</t>
        </is>
      </c>
      <c r="E2" s="24" t="inlineStr">
        <is>
          <t>ตัวเลือก 2</t>
        </is>
      </c>
      <c r="F2" s="24" t="inlineStr">
        <is>
          <t>ตัวเลือก 3</t>
        </is>
      </c>
      <c r="G2" s="24" t="inlineStr">
        <is>
          <t>ตัวเลือก 4</t>
        </is>
      </c>
      <c r="H2" s="24" t="inlineStr">
        <is>
          <t>ตัวเลือก 5</t>
        </is>
      </c>
      <c r="I2" s="24" t="inlineStr">
        <is>
          <t>เฉลย (ตัวเลข 1-5)</t>
        </is>
      </c>
      <c r="J2" s="24" t="inlineStr">
        <is>
          <t>คำอธิบายเฉลย</t>
        </is>
      </c>
      <c r="K2" s="24" t="inlineStr">
        <is>
          <t>รูปเฉลย</t>
        </is>
      </c>
      <c r="L2" s="24" t="inlineStr">
        <is>
          <t>Filter หมวด/Subtopic</t>
        </is>
      </c>
      <c r="M2" s="24" t="inlineStr">
        <is>
          <t>Product / Clinic</t>
        </is>
      </c>
      <c r="N2" s="24" t="inlineStr">
        <is>
          <t>หมายเหตุ</t>
        </is>
      </c>
      <c r="O2" s="2" t="inlineStr">
        <is>
          <t>ประเภทข้อสอบ</t>
        </is>
      </c>
      <c r="P2" s="2" t="inlineStr">
        <is>
          <t>ปี / เลขชุด</t>
        </is>
      </c>
      <c r="Q2" t="inlineStr">
        <is>
          <t>Case ID (รหัสเคส)</t>
        </is>
      </c>
    </row>
    <row r="3" ht="13.2" customHeight="1" s="49">
      <c r="A3" s="8" t="inlineStr">
        <is>
          <t>9</t>
        </is>
      </c>
      <c r="B3" s="2" t="inlineStr">
        <is>
          <t>ถ้าผู้ป่วยใช้ยาพ่น budesonide inhaler หมด และใช้สิทธิบัตรทอง สามารถขอรับยาต่อได้หรือไม่</t>
        </is>
      </c>
      <c r="C3" s="2" t="n"/>
      <c r="D3" s="2" t="inlineStr">
        <is>
          <t>ไม่ได้ เพราะต้องให้แพทย์สั่ง</t>
        </is>
      </c>
      <c r="E3" s="2" t="inlineStr">
        <is>
          <t>ไม่ได้ เพราะเป็นยาที่ต้องสั่งโดยแพทย์ผู้เชี่ยวชาญเฉพาะทาง</t>
        </is>
      </c>
      <c r="F3" s="2" t="inlineStr">
        <is>
          <t>ได้ สามารถรับที่ไหนก็ได้</t>
        </is>
      </c>
      <c r="G3" s="2" t="inlineStr">
        <is>
          <t>ได้ เพราะอยู่ในบัญชียาหลักแห่งชาติ</t>
        </is>
      </c>
      <c r="H3" s="2" t="inlineStr">
        <is>
          <t>ได้ เพราะในกรมบัญชีกลางอนุญาต</t>
        </is>
      </c>
      <c r="I3" s="8" t="inlineStr">
        <is>
          <t>4</t>
        </is>
      </c>
      <c r="J3" s="2"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ระบบประกันสุขภาพ</t>
        </is>
      </c>
      <c r="M3" s="2" t="inlineStr">
        <is>
          <t>SAP</t>
        </is>
      </c>
      <c r="N3" s="2" t="inlineStr">
        <is>
          <t>ข้อ 9 Pharma Plus เล่มม่วง (เฉลยข้อ ง)</t>
        </is>
      </c>
      <c r="O3" s="2" t="inlineStr">
        <is>
          <t>Mock</t>
        </is>
      </c>
      <c r="P3" s="2" t="inlineStr">
        <is>
          <t>Pharma Plus เล่มม่วง</t>
        </is>
      </c>
    </row>
    <row r="4" ht="13.2" customHeight="1" s="49">
      <c r="A4" s="8" t="inlineStr">
        <is>
          <t>31</t>
        </is>
      </c>
      <c r="B4" s="2"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2" t="n"/>
      <c r="D4" s="2"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2"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2" t="inlineStr">
        <is>
          <t>ต้องเสียค่าใช้จ่าย แต่หากผู้ปกครองไม่นำบุตรไปรับวัคซีนตามโปรแกรมถือมีความผิดตามกฎหมาย</t>
        </is>
      </c>
      <c r="G4" s="2" t="inlineStr">
        <is>
          <t>ต้องเสียค่าใช้จ่าย แต่หากผู้ปกครองไม่นำบุตรไปรับวัคซีนตามโปรแกรมถือว่าไม่มีความผิดตามกฎหมาย</t>
        </is>
      </c>
      <c r="H4" s="2" t="inlineStr">
        <is>
          <t>ไม่มีข้อใดถูก</t>
        </is>
      </c>
      <c r="I4" s="8" t="inlineStr">
        <is>
          <t>1</t>
        </is>
      </c>
      <c r="J4" s="2"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ระบบประกันสุขภาพ</t>
        </is>
      </c>
      <c r="M4" s="2" t="inlineStr">
        <is>
          <t>SAP</t>
        </is>
      </c>
      <c r="N4" s="2" t="inlineStr">
        <is>
          <t>ข้อ 31 Pharma Plus เล่มม่วง (เฉลยข้อ ก)</t>
        </is>
      </c>
      <c r="O4" s="2" t="inlineStr">
        <is>
          <t>Mock</t>
        </is>
      </c>
      <c r="P4" s="2" t="inlineStr">
        <is>
          <t>Pharma Plus เล่มม่วง</t>
        </is>
      </c>
    </row>
    <row r="5" ht="13.2" customHeight="1" s="49">
      <c r="A5" s="2" t="n">
        <v>32</v>
      </c>
      <c r="B5" s="2"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2" t="n"/>
      <c r="D5" s="2" t="inlineStr">
        <is>
          <t>ใช้วิธีเตือนอย่างเข้มงวดและแจ้งบทลงโทษหากไม่มารับยาตามนัด</t>
        </is>
      </c>
      <c r="E5" s="2" t="inlineStr">
        <is>
          <t>ให้คำแนะนำที่ตรงไปตรงมา เน้นย้ำถึงอันตรายของการเกิดเชื้อดื้อยาจนรักษาไม่หาย</t>
        </is>
      </c>
      <c r="F5" s="2" t="inlineStr">
        <is>
          <t>ให้คำแนะนำตามหลักการแพทย์เชิงลึกเพื่อให้ดูน่าเชื่อถือและผู้ป่วยปฏิบัติตาม</t>
        </is>
      </c>
      <c r="G5" s="2"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2" t="inlineStr">
        <is>
          <t>ให้คำแนะนำเท่าที่จำเป็นอย่างกระชับเพื่อไม่ให้ผู้ป่วยเสียเวลาและไม่วิตกกังวล</t>
        </is>
      </c>
      <c r="I5" s="8" t="inlineStr">
        <is>
          <t>4</t>
        </is>
      </c>
      <c r="J5" s="2" t="inlineStr">
        <is>
          <t>✅ คำตอบที่ถูกต้อง: ข้อ ข. บัญชี ข
💡 Background: การจัดหมวดยาในบัญชียาหลักแห่งชาติของประเทศไทย (National List of Essential Medicines: NLEM)
🎯 ทำไมข้อนี้ถึงถูก: ยาในบัญชี ข คือ รายการยาที่ใช้สำหรับข้อบ่งใช้หรือโรคบางชนิดที่มีแนวทางการรักษาเฉพาะ หรือเป็นยาที่มีราคาแพงกว่ายาในบัญชี ก แต่มีความจำเป็นสำหรับผู้ป่วยบางกลุ่ม หรือต้องใช้โดยแพทย์เฉพาะทาง
🔍 ข้ออื่นผิดเพราะอะไร:
- ข้อ ก. บัญชี ก: รายการยามาตรฐานที่ใช้รักษาโรคทั่วไป มีความคุ้มค่าและมีหลักฐานสนับสนุนชัดเจน ใช้ได้ในสถานพยาบาลทุกระดับ
- ข้อ ค. บัญชี ค: รายการยาที่จำเป็นต้องใช้สำหรับผู้ป่วยเฉพาะราย โดยแพทย์ผู้เชี่ยวชาญเฉพาะทางที่ได้รับการรับรอง
- ข้อ ง. บัญชี ง: รายการยาที่มีราคาแพงมาก มีผลข้างเคียงสูง หรือมีข้อจำกัดในการใช้ ต้องมีระบบการกำกับการใช้ยาอย่างใกล้ชิด (Prior Authorization)
- ข้อ จ. บัญชี จ: รายการยาสำหรับโครงการพิเศษด้านสาธารณสุข เช่น ยาต้านพิษ (จ(1)) หรือยาสำหรับโรคหายาก (จ(2))
📖 Guideline อ้างอิง: คู่มือการใช้ยาในบัญชียาหลักแห่งชาติ (สำนักงานคณะกรรมการอาหารและยา กระทรวงสาธารณสุข)
📌 จุดจำก่อนสอบ: บัญชียาหลักแห่งชาติ: ก = ทั่วไป, ข = มีเงื่อนไขเฉพาะ/แพงกว่า ก, ค = ผู้เชี่ยวชาญสั่ง, ง = แพงมาก/ต้องกำกับเข้มงวด, จ = โครงการพิเศษ (จ1 ยาต้านพิษ, จ2 ยาโรคหายาก)</t>
        </is>
      </c>
      <c r="K5" s="2" t="n"/>
      <c r="L5" s="2" t="inlineStr">
        <is>
          <t>Pharmacy Administration &amp; System</t>
        </is>
      </c>
      <c r="M5" s="2" t="inlineStr">
        <is>
          <t>SAP</t>
        </is>
      </c>
      <c r="N5" s="2" t="inlineStr">
        <is>
          <t>Mock PLE-CC 1 ข้อ 106</t>
        </is>
      </c>
      <c r="O5" s="2" t="inlineStr">
        <is>
          <t>Mock</t>
        </is>
      </c>
      <c r="P5" s="2" t="inlineStr">
        <is>
          <t>Mock RxCU83</t>
        </is>
      </c>
    </row>
    <row r="6" ht="13.2" customHeight="1" s="49">
      <c r="A6" t="n">
        <v>33</v>
      </c>
      <c r="B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D6" t="inlineStr">
        <is>
          <t>ไม!มีเภสัชกรที่ รพ.สต.</t>
        </is>
      </c>
      <c r="E6" t="inlineStr">
        <is>
          <t>ไม!มีการบันทึกประวัติแพยา</t>
        </is>
      </c>
      <c r="F6" t="inlineStr">
        <is>
          <t>เจาหนาที่ขาดความรูความสามารถ</t>
        </is>
      </c>
      <c r="G6" t="inlineStr">
        <is>
          <t>ระบบการส!งต!อขอมูลผูป%วยยังไม!ดีพอ</t>
        </is>
      </c>
      <c r="H6" t="inlineStr">
        <is>
          <t>ระบบคอมพิวเตอรTไม!ดี ไม!มีประวัติผูป%วย</t>
        </is>
      </c>
      <c r="I6" t="inlineStr">
        <is>
          <t>1</t>
        </is>
      </c>
      <c r="J6" t="inlineStr">
        <is>
          <t>✅ คำตอบที่ถูกต้อง: ข้อ ก. ไม!มีเภสัชกรที่ รพ.สต.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L6" t="inlineStr">
        <is>
          <t>Hypertension</t>
        </is>
      </c>
      <c r="M6" t="inlineStr">
        <is>
          <t>Clinic</t>
        </is>
      </c>
      <c r="N6" t="inlineStr">
        <is>
          <t>ข้อ 8 (PLE_CC1_2561_Key.md)</t>
        </is>
      </c>
    </row>
    <row r="7" ht="13.2" customHeight="1" s="49">
      <c r="A7" t="n">
        <v>34</v>
      </c>
      <c r="B7"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D7" t="inlineStr">
        <is>
          <t>Precontemplation</t>
        </is>
      </c>
      <c r="E7" t="inlineStr">
        <is>
          <t>Contemplation</t>
        </is>
      </c>
      <c r="F7" t="inlineStr">
        <is>
          <t>Preparation</t>
        </is>
      </c>
      <c r="G7" t="inlineStr">
        <is>
          <t>Action</t>
        </is>
      </c>
      <c r="H7" t="inlineStr">
        <is>
          <t>Maintenance</t>
        </is>
      </c>
      <c r="I7" t="inlineStr">
        <is>
          <t>1</t>
        </is>
      </c>
      <c r="J7" t="inlineStr">
        <is>
          <t>✅ คำตอบที่ถูกต้อง: ข้อ ก. Precontemplation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 t="inlineStr">
        <is>
          <t>Hypertension</t>
        </is>
      </c>
      <c r="M7" t="inlineStr">
        <is>
          <t>Clinic</t>
        </is>
      </c>
      <c r="N7" t="inlineStr">
        <is>
          <t>ข้อ 53 (Pharmtutor_2024_Set2.md)</t>
        </is>
      </c>
    </row>
    <row r="8" ht="13.2" customHeight="1" s="49">
      <c r="A8" t="n">
        <v>35</v>
      </c>
      <c r="B8"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D8" t="inlineStr">
        <is>
          <t>ต้นทุนทางตรงทางการแพทย์ Direct medical cost</t>
        </is>
      </c>
      <c r="E8" t="inlineStr">
        <is>
          <t>ต้นทุนทางตรงที่ไม่เกี่ยวข้องทางการแพทย์ Direct non-medical cost</t>
        </is>
      </c>
      <c r="F8" t="inlineStr">
        <is>
          <t>ต้นทุนทางอ้อม Indirect medical cost</t>
        </is>
      </c>
      <c r="G8" t="inlineStr">
        <is>
          <t>ต้นทุนค่าเสียโอกาส Opportunity medical cost</t>
        </is>
      </c>
      <c r="H8" t="inlineStr">
        <is>
          <t>ต้นทุนการไปทำงาน working cost</t>
        </is>
      </c>
      <c r="I8" t="inlineStr">
        <is>
          <t>1</t>
        </is>
      </c>
      <c r="J8" t="inlineStr">
        <is>
          <t>✅ คำตอบที่ถูกต้อง: ข้อ ง. Economic Order Quantity (EOQ)
💡 Background: การบริหารเวชภัณฑ์และคลังยาในโรงพยาบาลและร้านยาเพื่อควบคุมต้นทุนรวมให้อยู่ในระดับต่ำสุด
🎯 ทำไมข้อนี้ถึงถูก: ปริมาณการสั่งซื้อที่ประหยัดที่สุด (Economic Order Quantity: EOQ) เป็นจุดที่มีความสมดุลระหว่างต้นทุนการสั่งซื้อ (Ordering cost) และต้นทุนการถือครองสินค้า (Carrying/Holding cost) ทำให้ต้นทุนรวมในการบริหารสินค้าคงคลังต่ำที่สุด
🔍 ข้ออื่นผิดเพราะอะไร:
- ข้อ ก. ABC Analysis: เป็นการจัดกลุ่มยาตามมูลค่าการใช้ยาประจำปี (A = มูลค่าสูง 70-80%, B = ปานกลาง, C = ต่ำ)
- ข้อ ข. VEN Analysis: เป็นการจัดกลุ่มยาตามความสำคัญต่อชีวิต (Vital = สำคัญต่อชีวิต, Essential = จำเป็น, Non-essential = ไม่จำเป็น)
- ข้อ ค. Reorder Point (ROP): เป็นระดับสินค้าคงคลังที่เตือนว่าต้องเริ่มสั่งซื้อของรอบใหม่
- ข้อ จ. Safety Stock: เป็นปริมาณสต็อกสำรองเพื่อป้องกันสินค้าขาดมือจากความผันผวนของความต้องการหรือระยะเวลาส่งมอบ
📖 Guideline อ้างอิง: คู่มือการบริหารเวชภัณฑ์ของโรงพยาบาล (กระทรวงสาธารณสุข)
📌 จุดจำก่อนสอบ: EOQ = จุดสั่งซื้อที่ทำให้ต้นทุนการสั่งซื้อรวมกับต้นทุนการเก็บรักษามีค่าต่ำสุด</t>
        </is>
      </c>
      <c r="L8" t="inlineStr">
        <is>
          <t>Hypertension</t>
        </is>
      </c>
      <c r="M8" t="inlineStr">
        <is>
          <t>Clinic</t>
        </is>
      </c>
      <c r="N8" t="inlineStr">
        <is>
          <t>ข้อ 110 (Pharmtutor_2024_Set2.md)</t>
        </is>
      </c>
    </row>
    <row r="9" ht="13.2" customHeight="1" s="49">
      <c r="A9" t="n">
        <v>36</v>
      </c>
      <c r="B9"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D9" t="inlineStr">
        <is>
          <t>ทุกด้านของผู้ป่วย คือ กายภาพ จิตอารมณ์ และสังคม</t>
        </is>
      </c>
      <c r="E9" t="inlineStr">
        <is>
          <t>ทุกรูปแบบการดูแล คือ ส่งเสริมสุขภาพ ป้องกัน รักษา และฟื้นฟูสุขภาพ</t>
        </is>
      </c>
      <c r="F9" t="inlineStr">
        <is>
          <t>ทุกวิธีการที่ใช้ คือ ความรู้ (cognitive) ปฏิบัติ (psychomotor) และเจตคติ (attitude)</t>
        </is>
      </c>
      <c r="G9"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t="inlineStr">
        <is>
          <t>Atorvastatin 20 mg OD</t>
        </is>
      </c>
      <c r="I9" t="inlineStr">
        <is>
          <t>1</t>
        </is>
      </c>
      <c r="J9" t="inlineStr">
        <is>
          <t>✅ คำตอบที่ถูกต้อง: ข้อ ก. ทุกด้านของผู้ป่วย คือ กายภาพ จิตอารมณ์ และสังคม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9" t="inlineStr">
        <is>
          <t>Hypertension</t>
        </is>
      </c>
      <c r="M9" t="inlineStr">
        <is>
          <t>Clinic</t>
        </is>
      </c>
      <c r="N9" t="inlineStr">
        <is>
          <t>ข้อ 3 (PLE_CC1_2533.md)</t>
        </is>
      </c>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Q78"/>
  <sheetViews>
    <sheetView workbookViewId="0">
      <selection activeCell="A1" sqref="A1"/>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25" t="inlineStr">
        <is>
          <t>ข้อที่</t>
        </is>
      </c>
      <c r="B2" s="25" t="inlineStr">
        <is>
          <t>คำถาม</t>
        </is>
      </c>
      <c r="C2" s="25" t="inlineStr">
        <is>
          <t>รูปถาม</t>
        </is>
      </c>
      <c r="D2" s="25" t="inlineStr">
        <is>
          <t>ตัวเลือก 1</t>
        </is>
      </c>
      <c r="E2" s="25" t="inlineStr">
        <is>
          <t>ตัวเลือก 2</t>
        </is>
      </c>
      <c r="F2" s="25" t="inlineStr">
        <is>
          <t>ตัวเลือก 3</t>
        </is>
      </c>
      <c r="G2" s="25" t="inlineStr">
        <is>
          <t>ตัวเลือก 4</t>
        </is>
      </c>
      <c r="H2" s="25" t="inlineStr">
        <is>
          <t>ตัวเลือก 5</t>
        </is>
      </c>
      <c r="I2" s="25" t="inlineStr">
        <is>
          <t>เฉลย (ตัวเลข 1-5)</t>
        </is>
      </c>
      <c r="J2" s="25" t="inlineStr">
        <is>
          <t>คำอธิบายเฉลย</t>
        </is>
      </c>
      <c r="K2" s="25" t="inlineStr">
        <is>
          <t>รูปเฉลย</t>
        </is>
      </c>
      <c r="L2" s="25" t="inlineStr">
        <is>
          <t>Filter หมวด/Subtopic</t>
        </is>
      </c>
      <c r="M2" s="25" t="inlineStr">
        <is>
          <t>Product / Clinic</t>
        </is>
      </c>
      <c r="N2" s="25" t="inlineStr">
        <is>
          <t>หมายเหตุ</t>
        </is>
      </c>
      <c r="O2" s="25" t="inlineStr">
        <is>
          <t>ประเภทข้อสอบ</t>
        </is>
      </c>
      <c r="P2" s="25" t="inlineStr">
        <is>
          <t>ปี / เลขชุด</t>
        </is>
      </c>
      <c r="Q2" t="inlineStr">
        <is>
          <t>Case ID (รหัสเคส)</t>
        </is>
      </c>
    </row>
    <row r="3" ht="13.2" customHeight="1" s="49">
      <c r="A3" s="8" t="inlineStr">
        <is>
          <t>30</t>
        </is>
      </c>
      <c r="B3" s="2"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2" t="n"/>
      <c r="D3" s="2" t="inlineStr">
        <is>
          <t>Cohort study, Case controlled study</t>
        </is>
      </c>
      <c r="E3" s="2" t="inlineStr">
        <is>
          <t>Case report, Cross-sectional study</t>
        </is>
      </c>
      <c r="F3" s="2" t="inlineStr">
        <is>
          <t>Case controlled study, Cross-sectional study</t>
        </is>
      </c>
      <c r="G3" s="2" t="inlineStr">
        <is>
          <t>Meta-analysis, Randomized controlled study</t>
        </is>
      </c>
      <c r="H3" s="2" t="inlineStr">
        <is>
          <t>Cross-sectional study, Randomized controlled study</t>
        </is>
      </c>
      <c r="I3" s="8" t="inlineStr">
        <is>
          <t>4</t>
        </is>
      </c>
      <c r="J3" s="2"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2" t="n"/>
      <c r="L3" s="2" t="inlineStr">
        <is>
          <t>รูปแบบการวิจัยทางคลินิก</t>
        </is>
      </c>
      <c r="M3" s="2" t="inlineStr">
        <is>
          <t>SAP</t>
        </is>
      </c>
      <c r="N3" s="2" t="inlineStr">
        <is>
          <t>ข้อ 30 Pharma Plus เล่มม่วง (เฉลยข้อ ง)</t>
        </is>
      </c>
      <c r="O3" s="2" t="inlineStr">
        <is>
          <t>Mock</t>
        </is>
      </c>
      <c r="P3" s="2" t="inlineStr">
        <is>
          <t>Pharma Plus เล่มม่วง</t>
        </is>
      </c>
    </row>
    <row r="4" ht="13.2" customHeight="1" s="49">
      <c r="A4" s="8" t="inlineStr">
        <is>
          <t>52</t>
        </is>
      </c>
      <c r="B4" s="2" t="inlineStr">
        <is>
          <t>ทำการศึกษา ergotamine ในรูปแบบต่างกัน 2 รูปแบบโดยเปรียบเทียบระดับสูงสุดจะใช้สถิติใดทดสอบ</t>
        </is>
      </c>
      <c r="C4" s="2" t="n"/>
      <c r="D4" s="2" t="inlineStr">
        <is>
          <t>T-test unpair</t>
        </is>
      </c>
      <c r="E4" s="2" t="inlineStr">
        <is>
          <t>T-test pair</t>
        </is>
      </c>
      <c r="F4" s="2" t="inlineStr">
        <is>
          <t>F-test</t>
        </is>
      </c>
      <c r="G4" s="2" t="inlineStr">
        <is>
          <t>Mann-Whitney u test</t>
        </is>
      </c>
      <c r="H4" s="2" t="inlineStr">
        <is>
          <t>ไม่มีข้อใดถูก</t>
        </is>
      </c>
      <c r="I4" s="8" t="inlineStr">
        <is>
          <t>1</t>
        </is>
      </c>
      <c r="J4" s="2"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2" t="n"/>
      <c r="L4" s="2" t="inlineStr">
        <is>
          <t>รูปแบบการวิจัยทางคลินิก</t>
        </is>
      </c>
      <c r="M4" s="2" t="inlineStr">
        <is>
          <t>SAP</t>
        </is>
      </c>
      <c r="N4" s="2" t="inlineStr">
        <is>
          <t>ข้อ 52 Pharma Plus เล่มม่วง (เฉลยข้อ ก)</t>
        </is>
      </c>
      <c r="O4" s="2" t="inlineStr">
        <is>
          <t>Mock</t>
        </is>
      </c>
      <c r="P4" s="2" t="inlineStr">
        <is>
          <t>Pharma Plus เล่มม่วง</t>
        </is>
      </c>
    </row>
    <row r="5" ht="13.2" customHeight="1" s="49">
      <c r="A5" s="8" t="inlineStr">
        <is>
          <t>55</t>
        </is>
      </c>
      <c r="B5" s="2"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2" t="n"/>
      <c r="D5" s="2" t="inlineStr">
        <is>
          <t>Case control study</t>
        </is>
      </c>
      <c r="E5" s="2" t="inlineStr">
        <is>
          <t>Randomized control study</t>
        </is>
      </c>
      <c r="F5" s="2" t="inlineStr">
        <is>
          <t>Cohort study</t>
        </is>
      </c>
      <c r="G5" s="2" t="inlineStr">
        <is>
          <t>Analysis of secular trend</t>
        </is>
      </c>
      <c r="H5" s="2" t="inlineStr">
        <is>
          <t>Cross-sectional study</t>
        </is>
      </c>
      <c r="I5" s="8" t="inlineStr">
        <is>
          <t>1</t>
        </is>
      </c>
      <c r="J5" s="2"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2" t="n"/>
      <c r="L5" s="2" t="inlineStr">
        <is>
          <t>รูปแบบการวิจัยทางคลินิก</t>
        </is>
      </c>
      <c r="M5" s="2" t="inlineStr">
        <is>
          <t>SAP</t>
        </is>
      </c>
      <c r="N5" s="2" t="inlineStr">
        <is>
          <t>ข้อ 55 Pharma Plus เล่มม่วง (เฉลยข้อ ก)</t>
        </is>
      </c>
      <c r="O5" s="2" t="inlineStr">
        <is>
          <t>Mock</t>
        </is>
      </c>
      <c r="P5" s="2" t="inlineStr">
        <is>
          <t>Pharma Plus เล่มม่วง</t>
        </is>
      </c>
    </row>
    <row r="6" ht="13.2" customHeight="1" s="49">
      <c r="A6" s="8" t="inlineStr">
        <is>
          <t>56</t>
        </is>
      </c>
      <c r="B6" s="2"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2" t="n"/>
      <c r="D6" s="2" t="inlineStr">
        <is>
          <t>90 บาทต่อเม็ด</t>
        </is>
      </c>
      <c r="E6" s="2" t="inlineStr">
        <is>
          <t>98 บาทต่อเม็ด</t>
        </is>
      </c>
      <c r="F6" s="2" t="inlineStr">
        <is>
          <t>100 บาทต่อเม็ด</t>
        </is>
      </c>
      <c r="G6" s="2" t="inlineStr">
        <is>
          <t>103 บาทต่อเม็ด</t>
        </is>
      </c>
      <c r="H6" s="2" t="inlineStr">
        <is>
          <t>110 บาทต่อเม็ด</t>
        </is>
      </c>
      <c r="I6" s="8" t="inlineStr">
        <is>
          <t>4</t>
        </is>
      </c>
      <c r="J6" s="2"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2" t="n"/>
      <c r="L6" s="2" t="inlineStr">
        <is>
          <t>รูปแบบการวิจัยทางคลินิก</t>
        </is>
      </c>
      <c r="M6" s="2" t="inlineStr">
        <is>
          <t>SAP</t>
        </is>
      </c>
      <c r="N6" s="2" t="inlineStr">
        <is>
          <t>ข้อ 56 Pharma Plus เล่มม่วง (เฉลยข้อ ง)</t>
        </is>
      </c>
      <c r="O6" s="2" t="inlineStr">
        <is>
          <t>Mock</t>
        </is>
      </c>
      <c r="P6" s="2" t="inlineStr">
        <is>
          <t>Pharma Plus เล่มม่วง</t>
        </is>
      </c>
    </row>
    <row r="7" ht="13.2" customHeight="1" s="49">
      <c r="A7" s="8" t="inlineStr">
        <is>
          <t>59</t>
        </is>
      </c>
      <c r="B7" s="2"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2" t="n"/>
      <c r="D7" s="2" t="inlineStr">
        <is>
          <t>Case control</t>
        </is>
      </c>
      <c r="E7" s="2" t="inlineStr">
        <is>
          <t>Cohort</t>
        </is>
      </c>
      <c r="F7" s="2" t="inlineStr">
        <is>
          <t>Meta-analysis of case control studies</t>
        </is>
      </c>
      <c r="G7" s="2" t="inlineStr">
        <is>
          <t>Descriptive</t>
        </is>
      </c>
      <c r="H7" s="2" t="inlineStr">
        <is>
          <t>Randomized control trial</t>
        </is>
      </c>
      <c r="I7" s="8" t="inlineStr">
        <is>
          <t>5</t>
        </is>
      </c>
      <c r="J7" s="2"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2" t="n"/>
      <c r="L7" s="2" t="inlineStr">
        <is>
          <t>รูปแบบการวิจัยทางคลินิก</t>
        </is>
      </c>
      <c r="M7" s="2" t="inlineStr">
        <is>
          <t>SAP</t>
        </is>
      </c>
      <c r="N7" s="2" t="inlineStr">
        <is>
          <t>ข้อ 59 Pharma Plus เล่มม่วง (เฉลยข้อ จ)</t>
        </is>
      </c>
      <c r="O7" s="2" t="inlineStr">
        <is>
          <t>Mock</t>
        </is>
      </c>
      <c r="P7" s="2" t="inlineStr">
        <is>
          <t>Pharma Plus เล่มม่วง</t>
        </is>
      </c>
    </row>
    <row r="8" ht="13.2" customHeight="1" s="49">
      <c r="A8" s="8" t="inlineStr">
        <is>
          <t>102</t>
        </is>
      </c>
      <c r="B8" s="2" t="inlineStr">
        <is>
          <t>การทดสอบอาการข้างเคียงของยา colchicine ในกลุ่มคน 3 กลุ่มที่ได้รับยาในขนาดต่างกัน ใช้สถิติในข้อใด</t>
        </is>
      </c>
      <c r="C8" s="2" t="n"/>
      <c r="D8" s="2" t="inlineStr">
        <is>
          <t>Unpaired t-test</t>
        </is>
      </c>
      <c r="E8" s="2" t="inlineStr">
        <is>
          <t>T-test</t>
        </is>
      </c>
      <c r="F8" s="2" t="inlineStr">
        <is>
          <t>Chi-square</t>
        </is>
      </c>
      <c r="G8" s="2" t="inlineStr">
        <is>
          <t>One way analysis of variance</t>
        </is>
      </c>
      <c r="H8" s="2" t="inlineStr">
        <is>
          <t>Correlation</t>
        </is>
      </c>
      <c r="I8" s="8" t="inlineStr">
        <is>
          <t>4</t>
        </is>
      </c>
      <c r="J8" s="2"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2" t="n"/>
      <c r="L8" s="2" t="inlineStr">
        <is>
          <t>รูปแบบการวิจัยทางคลินิก</t>
        </is>
      </c>
      <c r="M8" s="2" t="inlineStr">
        <is>
          <t>SAP</t>
        </is>
      </c>
      <c r="N8" s="2" t="inlineStr">
        <is>
          <t>ข้อ 102 Pharma Plus เล่มม่วง (เฉลยข้อ ง)</t>
        </is>
      </c>
      <c r="O8" s="2" t="inlineStr">
        <is>
          <t>Mock</t>
        </is>
      </c>
      <c r="P8" s="2" t="inlineStr">
        <is>
          <t>Pharma Plus เล่มม่วง</t>
        </is>
      </c>
    </row>
    <row r="9" ht="13.2" customHeight="1" s="49">
      <c r="A9" s="8" t="inlineStr">
        <is>
          <t>103</t>
        </is>
      </c>
      <c r="B9" s="2" t="inlineStr">
        <is>
          <t>การทาน aspirin สามารถลดการเกิด CAD โดยมีค่า OR 0.83 หมายความว่าอย่างไร</t>
        </is>
      </c>
      <c r="C9" s="2" t="n"/>
      <c r="D9" s="2" t="inlineStr">
        <is>
          <t>คนที่กิน aspirin มีโอกาสเป็น CAD น้อยกว่าคนที่ไม่กิน 17 %</t>
        </is>
      </c>
      <c r="E9" s="2" t="inlineStr">
        <is>
          <t>คนที่กิน aspirin มีโอกาสเป็น CAD น้อยกว่าคนที่ไม่กิน 83 %</t>
        </is>
      </c>
      <c r="F9" s="2" t="inlineStr">
        <is>
          <t>คนที่กิน aspirin มีโอกาสเป็น CAD มากกว่าคนที่ไม่กิน 17 %</t>
        </is>
      </c>
      <c r="G9" s="2" t="inlineStr">
        <is>
          <t>คนที่กิน aspirin มีโอกาสเป็น CAD มากกว่าคนที่ไม่กิน 83 %</t>
        </is>
      </c>
      <c r="H9" s="2" t="inlineStr">
        <is>
          <t>คนที่กิน aspirin มีโอกาสเป็น CAD เท่ากับคนที่ไม่กิน 17 %</t>
        </is>
      </c>
      <c r="I9" s="8" t="inlineStr">
        <is>
          <t>1</t>
        </is>
      </c>
      <c r="J9" s="2"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2" t="n"/>
      <c r="L9" s="2" t="inlineStr">
        <is>
          <t>รูปแบบการวิจัยทางคลินิก</t>
        </is>
      </c>
      <c r="M9" s="2" t="inlineStr">
        <is>
          <t>SAP</t>
        </is>
      </c>
      <c r="N9" s="2" t="inlineStr">
        <is>
          <t>ข้อ 103 Pharma Plus เล่มม่วง (เฉลยข้อ ก)</t>
        </is>
      </c>
      <c r="O9" s="2" t="inlineStr">
        <is>
          <t>Mock</t>
        </is>
      </c>
      <c r="P9" s="2" t="inlineStr">
        <is>
          <t>Pharma Plus เล่มม่วง</t>
        </is>
      </c>
    </row>
    <row r="10" ht="13.2" customHeight="1" s="49">
      <c r="A10" s="8" t="inlineStr">
        <is>
          <t>105</t>
        </is>
      </c>
      <c r="B10" s="2"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2" t="n"/>
      <c r="D10" s="8" t="inlineStr">
        <is>
          <t>1.4</t>
        </is>
      </c>
      <c r="E10" s="8" t="inlineStr">
        <is>
          <t>1.5</t>
        </is>
      </c>
      <c r="F10" s="8" t="inlineStr">
        <is>
          <t>1.6</t>
        </is>
      </c>
      <c r="G10" s="2" t="inlineStr">
        <is>
          <t>Cost-Minimization Analysis (CMA)</t>
        </is>
      </c>
      <c r="H10" s="2" t="inlineStr">
        <is>
          <t>Student t-test for comparing two independent means</t>
        </is>
      </c>
      <c r="I10" s="8" t="inlineStr">
        <is>
          <t>2</t>
        </is>
      </c>
      <c r="J10" s="2"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2" t="n"/>
      <c r="L10" s="2" t="inlineStr">
        <is>
          <t>สถิติวิเคราะห์</t>
        </is>
      </c>
      <c r="M10" s="2" t="inlineStr">
        <is>
          <t>SAP</t>
        </is>
      </c>
      <c r="N10" s="2" t="inlineStr">
        <is>
          <t>ข้อ 105 Pharma Plus เล่มม่วง (เฉลยข้อ ข)</t>
        </is>
      </c>
      <c r="O10" s="2" t="inlineStr">
        <is>
          <t>Mock</t>
        </is>
      </c>
      <c r="P10" s="2" t="inlineStr">
        <is>
          <t>Pharma Plus เล่มม่วง</t>
        </is>
      </c>
    </row>
    <row r="11" ht="13.2" customHeight="1" s="49">
      <c r="A11" s="8" t="inlineStr">
        <is>
          <t>106</t>
        </is>
      </c>
      <c r="B11" s="2"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2" t="n"/>
      <c r="D11" s="2" t="inlineStr">
        <is>
          <t>ยาใหม่และยา levonorgestrel มีความเสี่ยงในการเกิดอาการข้างเคียงแตกต่างกันอย่างมีนัยสำคัญทางสถิติ</t>
        </is>
      </c>
      <c r="E11" s="2" t="inlineStr">
        <is>
          <t>ยาใหม่และยา levonorgestrel มีความเสี่ยงในการเกิดอาการข้างเคียงแตกต่างกันอย่างมีนัยสำคัญทางสถิติ</t>
        </is>
      </c>
      <c r="F11" s="2" t="inlineStr">
        <is>
          <t>ยาใหม่มีความเสี่ยงในการเกิดอาการข้างเคียงมากกว่ามากกว่ายา levonorgestrel 1.25 เท่า</t>
        </is>
      </c>
      <c r="G11" s="2" t="inlineStr">
        <is>
          <t>ยา levonorgestrel มีความเสี่ยงในการเกิดอาการข้างเคียงมากกว่ายาใหม่ 1.25 เท่า</t>
        </is>
      </c>
      <c r="H11" s="2" t="inlineStr">
        <is>
          <t>ยาใหม่และยา levonorgestrel มีความเสี่ยงในการเกิดอาการข้างเคียงแตกต่างกันอย่างไม่มีนัยสำคัญทางสถิติ</t>
        </is>
      </c>
      <c r="I11" s="8" t="inlineStr">
        <is>
          <t>1</t>
        </is>
      </c>
      <c r="J11" s="2"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2" t="n"/>
      <c r="L11" s="2" t="inlineStr">
        <is>
          <t>รูปแบบการวิจัยทางคลินิก</t>
        </is>
      </c>
      <c r="M11" s="2" t="inlineStr">
        <is>
          <t>SAP</t>
        </is>
      </c>
      <c r="N11" s="2" t="inlineStr">
        <is>
          <t>ข้อ 106 Pharma Plus เล่มม่วง (เฉลยข้อ ก)</t>
        </is>
      </c>
      <c r="O11" s="2" t="inlineStr">
        <is>
          <t>Mock</t>
        </is>
      </c>
      <c r="P11" s="2" t="inlineStr">
        <is>
          <t>Pharma Plus เล่มม่วง</t>
        </is>
      </c>
    </row>
    <row r="12" ht="13.2" customHeight="1" s="49">
      <c r="A12" s="8" t="inlineStr">
        <is>
          <t>128</t>
        </is>
      </c>
      <c r="B12" s="2"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2" t="n"/>
      <c r="D12" s="2" t="inlineStr">
        <is>
          <t>Randomized Controlled Trial (Double-blind RCT)</t>
        </is>
      </c>
      <c r="E12" s="2" t="inlineStr">
        <is>
          <t>Prospective Cohort Study (Relative Risk: RR)</t>
        </is>
      </c>
      <c r="F12" s="2" t="inlineStr">
        <is>
          <t>Case-Control Study (Odds Ratio: OR)</t>
        </is>
      </c>
      <c r="G12" s="2" t="inlineStr">
        <is>
          <t>Cross-Sectional Survey Prevalence Study</t>
        </is>
      </c>
      <c r="H12" s="8" t="inlineStr">
        <is>
          <t>10</t>
        </is>
      </c>
      <c r="I12" s="8" t="inlineStr">
        <is>
          <t>1</t>
        </is>
      </c>
      <c r="J12" s="2"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2" t="n"/>
      <c r="L12" s="2" t="inlineStr">
        <is>
          <t>สถิติวิเคราะห์</t>
        </is>
      </c>
      <c r="M12" s="2" t="inlineStr">
        <is>
          <t>SAP</t>
        </is>
      </c>
      <c r="N12" s="2" t="inlineStr">
        <is>
          <t>ข้อ 128 Pharma Plus เล่มม่วง (เฉลยข้อ ก)</t>
        </is>
      </c>
      <c r="O12" s="2" t="inlineStr">
        <is>
          <t>Mock</t>
        </is>
      </c>
      <c r="P12" s="2" t="inlineStr">
        <is>
          <t>Pharma Plus เล่มม่วง</t>
        </is>
      </c>
    </row>
    <row r="13" ht="13.2" customHeight="1" s="49">
      <c r="A13" s="8" t="inlineStr">
        <is>
          <t>129</t>
        </is>
      </c>
      <c r="B13" s="2"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2" t="n"/>
      <c r="D13" s="2" t="inlineStr">
        <is>
          <t>การเกิด CA lung ในกลุ่มสูบบุหรี่ = 1 คนใน 1,000 คน</t>
        </is>
      </c>
      <c r="E13" s="2" t="inlineStr">
        <is>
          <t>การเกิด CA lung ในกลุ่มไม่สูบบุหรี่ = 1 คนใน 10,000 คน</t>
        </is>
      </c>
      <c r="F13" s="2" t="inlineStr">
        <is>
          <t>odd ratio = 11</t>
        </is>
      </c>
      <c r="G13" s="2" t="inlineStr">
        <is>
          <t>ผู้ป่วยที่สูบบุหรี่เป็นเวลา 30 ปี มีโอกาสเกิด CA lung 1 คน ใน 111 คน</t>
        </is>
      </c>
      <c r="H13" s="2" t="inlineStr">
        <is>
          <t>ไม่มีข้อใดถูก</t>
        </is>
      </c>
      <c r="I13" s="8" t="inlineStr">
        <is>
          <t>4</t>
        </is>
      </c>
      <c r="J13" s="2"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2" t="n"/>
      <c r="L13" s="2" t="inlineStr">
        <is>
          <t>รูปแบบการวิจัยทางคลินิก</t>
        </is>
      </c>
      <c r="M13" s="2" t="inlineStr">
        <is>
          <t>SAP</t>
        </is>
      </c>
      <c r="N13" s="2" t="inlineStr">
        <is>
          <t>ข้อ 129 Pharma Plus เล่มม่วง (เฉลยข้อ ง)</t>
        </is>
      </c>
      <c r="O13" s="2" t="inlineStr">
        <is>
          <t>Mock</t>
        </is>
      </c>
      <c r="P13" s="2" t="inlineStr">
        <is>
          <t>Pharma Plus เล่มม่วง</t>
        </is>
      </c>
    </row>
    <row r="14" ht="13.2" customHeight="1" s="49">
      <c r="A14" s="8" t="inlineStr">
        <is>
          <t>13</t>
        </is>
      </c>
      <c r="B14" s="2"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2" t="n"/>
      <c r="D14" s="2" t="inlineStr">
        <is>
          <t>Cross sectional study</t>
        </is>
      </c>
      <c r="E14" s="2" t="inlineStr">
        <is>
          <t>Cohort study</t>
        </is>
      </c>
      <c r="F14" s="2" t="inlineStr">
        <is>
          <t>Randomized control study</t>
        </is>
      </c>
      <c r="G14" s="2" t="inlineStr">
        <is>
          <t>Systematic review and meta analysis study</t>
        </is>
      </c>
      <c r="H14" s="2" t="inlineStr">
        <is>
          <t>Systematic review and meta analysis study</t>
        </is>
      </c>
      <c r="I14" s="8" t="inlineStr">
        <is>
          <t>1</t>
        </is>
      </c>
      <c r="J14" s="2"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2" t="n"/>
      <c r="L14" s="2" t="inlineStr">
        <is>
          <t>รูปแบบการวิจัยทางคลินิก</t>
        </is>
      </c>
      <c r="M14" s="2" t="inlineStr">
        <is>
          <t>Research &amp; Biostats</t>
        </is>
      </c>
      <c r="N14" s="2" t="inlineStr">
        <is>
          <t>Mock PLE-CC 1 ข้อ 38</t>
        </is>
      </c>
      <c r="O14" s="2" t="inlineStr">
        <is>
          <t>Mock</t>
        </is>
      </c>
      <c r="P14" s="2" t="inlineStr">
        <is>
          <t>Mock RxCU83</t>
        </is>
      </c>
      <c r="Q14" s="2" t="n"/>
    </row>
    <row r="15" ht="13.2" customHeight="1" s="49">
      <c r="A15" s="8" t="inlineStr">
        <is>
          <t>14</t>
        </is>
      </c>
      <c r="B15" s="2"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2" t="n"/>
      <c r="D15" s="2" t="inlineStr">
        <is>
          <t>B ลด death risk ได้ 35% เมื่อเทียบกับ A</t>
        </is>
      </c>
      <c r="E15" s="2" t="inlineStr">
        <is>
          <t>HR ใกล้เคียง1หมายความว่าไม่มีความแตกต่างในข้อมูล</t>
        </is>
      </c>
      <c r="F15" s="2" t="inlineStr">
        <is>
          <t>Median OS ของ A แปลว่า คนไข้ที่ใช้ A มีมัธยฐานของ survival rate อยู่ที่ 28 เดือน</t>
        </is>
      </c>
      <c r="G15" s="2" t="inlineStr">
        <is>
          <t>A ลด death risk ได้ 65%</t>
        </is>
      </c>
      <c r="H15" s="2" t="inlineStr">
        <is>
          <t>Median OS ของ B มากกว่า 18 เดือนแต่ไม่มีนัยส าคัญทางสถิติ</t>
        </is>
      </c>
      <c r="I15" s="8" t="inlineStr">
        <is>
          <t>1</t>
        </is>
      </c>
      <c r="J15" s="2"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2" t="n"/>
      <c r="L15" s="2" t="inlineStr">
        <is>
          <t>รูปแบบการวิจัยทางคลินิก</t>
        </is>
      </c>
      <c r="M15" s="2" t="inlineStr">
        <is>
          <t>Research &amp; Biostats</t>
        </is>
      </c>
      <c r="N15" s="2" t="inlineStr">
        <is>
          <t>Mock PLE-CC 1 ข้อ 83</t>
        </is>
      </c>
      <c r="O15" s="2" t="inlineStr">
        <is>
          <t>Mock</t>
        </is>
      </c>
      <c r="P15" s="2" t="inlineStr">
        <is>
          <t>Mock RxCU83</t>
        </is>
      </c>
      <c r="Q15" s="2" t="n"/>
    </row>
    <row r="16" ht="13.2" customHeight="1" s="49">
      <c r="A16" s="8" t="inlineStr">
        <is>
          <t>15</t>
        </is>
      </c>
      <c r="B16" s="2"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2" t="n"/>
      <c r="D16" s="8" t="inlineStr">
        <is>
          <t>3.59</t>
        </is>
      </c>
      <c r="E16" s="8" t="inlineStr">
        <is>
          <t>3.33</t>
        </is>
      </c>
      <c r="F16" s="8" t="inlineStr">
        <is>
          <t>0.28</t>
        </is>
      </c>
      <c r="G16" s="8" t="inlineStr">
        <is>
          <t>2.69</t>
        </is>
      </c>
      <c r="H16" s="2"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t>
        </is>
      </c>
      <c r="I16" s="8" t="inlineStr">
        <is>
          <t>1</t>
        </is>
      </c>
      <c r="J16" s="2"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2" t="n"/>
      <c r="L16" s="2" t="inlineStr">
        <is>
          <t>สถิติวิเคราะห์</t>
        </is>
      </c>
      <c r="M16" s="2" t="inlineStr">
        <is>
          <t>Research &amp; Biostats</t>
        </is>
      </c>
      <c r="N16" s="2" t="inlineStr">
        <is>
          <t>PLE_CC1_2567_Key ข้อ 38</t>
        </is>
      </c>
      <c r="O16" s="2" t="inlineStr">
        <is>
          <t>ข้อสอบจริง</t>
        </is>
      </c>
      <c r="P16" s="2" t="inlineStr">
        <is>
          <t>ปี 2567</t>
        </is>
      </c>
      <c r="Q16" s="2" t="n"/>
    </row>
    <row r="17" ht="13.2" customHeight="1" s="49">
      <c r="A17" s="8" t="inlineStr">
        <is>
          <t>16</t>
        </is>
      </c>
      <c r="B17" s="2"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2" t="n"/>
      <c r="D17" s="2" t="inlineStr">
        <is>
          <t>Allopurinol</t>
        </is>
      </c>
      <c r="E17" s="2" t="inlineStr">
        <is>
          <t>[NEED_REVIEW]</t>
        </is>
      </c>
      <c r="F17" s="2" t="inlineStr">
        <is>
          <t>[NEED_REVIEW]</t>
        </is>
      </c>
      <c r="G17" s="2" t="inlineStr">
        <is>
          <t>[NEED_REVIEW]</t>
        </is>
      </c>
      <c r="H17" s="2" t="inlineStr">
        <is>
          <t>[NEED_REVIEW]</t>
        </is>
      </c>
      <c r="I17" s="8" t="inlineStr">
        <is>
          <t>1</t>
        </is>
      </c>
      <c r="J17" s="2" t="inlineStr">
        <is>
          <t>✅ คำตอบที่ถูกต้อง: ข้อ ก. Allopurinol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(หลักการระบาดวิทยาและระเบียบวิธีวิจัยทางคลินิก (Clinical Research &amp; Biostatistics Methodology)
• ข้อ ง. (หลักการระบาดวิทยาและระเบียบวิธีวิจัยทางคลินิก (Clinical Research &amp; Biostatistics Methodology)
• ข้อ จ. (หลักการระบาดวิทยาและระเบียบวิธีวิจัยทางคลินิก (Clinical Research &amp; Biostatistics Methodology)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2" t="n"/>
      <c r="L17" s="2" t="inlineStr">
        <is>
          <t>รูปแบบการวิจัยทางคลินิก</t>
        </is>
      </c>
      <c r="M17" s="2" t="inlineStr">
        <is>
          <t>Research &amp; Biostats</t>
        </is>
      </c>
      <c r="N17" s="2" t="inlineStr">
        <is>
          <t>PLE_CC1_2567_Key ข้อ 72</t>
        </is>
      </c>
      <c r="O17" s="2" t="inlineStr">
        <is>
          <t>ข้อสอบจริง</t>
        </is>
      </c>
      <c r="P17" s="2" t="inlineStr">
        <is>
          <t>ปี 2567</t>
        </is>
      </c>
      <c r="Q17" s="2" t="n"/>
    </row>
    <row r="18" ht="13.2" customHeight="1" s="49">
      <c r="A18" s="8" t="inlineStr">
        <is>
          <t>17</t>
        </is>
      </c>
      <c r="B18" s="2" t="inlineStr">
        <is>
          <t>จากการศึกษา cohort study เกี่ยวกับการใช้ ACEI ลดความดันกับอาการไอ เป็นวิธีที่สามารถทำให้นํ้าในผลึกระเหยออกมาได้เมื่อสารได้รับความร้อนที่อุณหภูมิที่กำหนด</t>
        </is>
      </c>
      <c r="C18" s="2" t="n"/>
      <c r="D18" s="2" t="inlineStr">
        <is>
          <t>Research &amp; Biostats</t>
        </is>
      </c>
      <c r="E18" s="2" t="inlineStr">
        <is>
          <t>Chi-Square Test for Categorical Independence (p &lt; 0.05)</t>
        </is>
      </c>
      <c r="F18" s="2" t="inlineStr">
        <is>
          <t>Randomized Controlled Trial (Double-blind RCT)</t>
        </is>
      </c>
      <c r="G18" s="2" t="inlineStr">
        <is>
          <t>Prospective Cohort Study (Relative Risk: RR)</t>
        </is>
      </c>
      <c r="H18" s="2" t="inlineStr">
        <is>
          <t>Case-Control Study (Odds Ratio: OR)</t>
        </is>
      </c>
      <c r="I18" s="8" t="inlineStr">
        <is>
          <t>1</t>
        </is>
      </c>
      <c r="J18"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8" s="2" t="n"/>
      <c r="L18" s="2" t="inlineStr">
        <is>
          <t>รูปแบบการวิจัยทางคลินิก</t>
        </is>
      </c>
      <c r="M18" s="2" t="inlineStr">
        <is>
          <t>Research &amp; Biostats</t>
        </is>
      </c>
      <c r="N18" s="2" t="inlineStr">
        <is>
          <t>PLE_CC1_2567_Set1_Key ข้อ 38</t>
        </is>
      </c>
      <c r="O18" s="2" t="inlineStr">
        <is>
          <t>ข้อสอบจริง</t>
        </is>
      </c>
      <c r="P18" s="2" t="inlineStr">
        <is>
          <t>ปี 2567</t>
        </is>
      </c>
    </row>
    <row r="19" ht="13.2" customHeight="1" s="49">
      <c r="A19" s="8" t="inlineStr">
        <is>
          <t>18</t>
        </is>
      </c>
      <c r="B19" s="2" t="inlineStr">
        <is>
          <t>ข้อใดจับคู่กลไกยาระบายได้ถูกต้อง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Azithromy = 3 Ceftriazone 4 /</t>
        </is>
      </c>
      <c r="C19" s="2" t="n"/>
      <c r="D19" s="2" t="inlineStr">
        <is>
          <t>Research &amp; Biostats</t>
        </is>
      </c>
      <c r="E19" s="2" t="inlineStr">
        <is>
          <t>Case-Control Study (Odds Ratio: OR)</t>
        </is>
      </c>
      <c r="F19" s="2" t="inlineStr">
        <is>
          <t>Cross-Sectional Survey Prevalence Study</t>
        </is>
      </c>
      <c r="G19" s="2" t="inlineStr">
        <is>
          <t>Cost-Effectiveness Analysis (Incremental Cost-Effectiveness Ratio: ICER)</t>
        </is>
      </c>
      <c r="H19" s="2" t="inlineStr">
        <is>
          <t>Cost-Utility Analysis (Quality-Adjusted Life Years: QALY)</t>
        </is>
      </c>
      <c r="I19" s="8" t="inlineStr">
        <is>
          <t>1</t>
        </is>
      </c>
      <c r="J19"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9" s="2" t="n"/>
      <c r="L19" s="2" t="inlineStr">
        <is>
          <t>รูปแบบการวิจัยทางคลินิก</t>
        </is>
      </c>
      <c r="M19" s="2" t="inlineStr">
        <is>
          <t>Research &amp; Biostats</t>
        </is>
      </c>
      <c r="N19" s="2" t="inlineStr">
        <is>
          <t>PLE_CC1_2567_Set1_Key ข้อ 71</t>
        </is>
      </c>
      <c r="O19" s="2" t="inlineStr">
        <is>
          <t>ข้อสอบจริง</t>
        </is>
      </c>
      <c r="P19" s="2" t="inlineStr">
        <is>
          <t>ปี 2567</t>
        </is>
      </c>
    </row>
    <row r="20" ht="13.2" customHeight="1" s="49">
      <c r="A20" s="8" t="inlineStr">
        <is>
          <t>19</t>
        </is>
      </c>
      <c r="B20" s="2" t="inlineStr">
        <is>
          <t>Retrospective cohort</t>
        </is>
      </c>
      <c r="C20" s="2" t="n"/>
      <c r="D20" s="2" t="inlineStr">
        <is>
          <t>Research &amp; Biostats</t>
        </is>
      </c>
      <c r="E20" s="2" t="inlineStr">
        <is>
          <t>Cost-Utility Analysis (Quality-Adjusted Life Years: QALY)</t>
        </is>
      </c>
      <c r="F20" s="2" t="inlineStr">
        <is>
          <t>Cost-Benefit Analysis (Net Monetary Benefit)</t>
        </is>
      </c>
      <c r="G20" s="2" t="inlineStr">
        <is>
          <t>Cost-Minimization Analysis (CMA)</t>
        </is>
      </c>
      <c r="H20" s="2" t="inlineStr">
        <is>
          <t>Student t-test for comparing two independent means</t>
        </is>
      </c>
      <c r="I20" s="8" t="inlineStr">
        <is>
          <t>1</t>
        </is>
      </c>
      <c r="J20"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0" s="2" t="n"/>
      <c r="L20" s="2" t="inlineStr">
        <is>
          <t>รูปแบบการวิจัยทางคลินิก</t>
        </is>
      </c>
      <c r="M20" s="2" t="inlineStr">
        <is>
          <t>Research &amp; Biostats</t>
        </is>
      </c>
      <c r="N20" s="2" t="inlineStr">
        <is>
          <t>PLE-CC1 ปี 2566 Day 2 ข้อ 1</t>
        </is>
      </c>
      <c r="O20" s="2" t="inlineStr">
        <is>
          <t>ข้อสอบจริง</t>
        </is>
      </c>
      <c r="P20" s="2" t="inlineStr">
        <is>
          <t>ปี 2566</t>
        </is>
      </c>
    </row>
    <row r="21" ht="13.2" customHeight="1" s="49">
      <c r="A21" s="8" t="inlineStr">
        <is>
          <t>20</t>
        </is>
      </c>
      <c r="B21" s="2" t="inlineStr">
        <is>
          <t>ยาpropranolol ไม่แตกต่างจากcontrol อย่างมีมีนัยสำคัญทางสถิติในการป้องกันการเกิดไมเกรนได้ที่ระยะเวลา8 สัปดาห์</t>
        </is>
      </c>
      <c r="C21" s="2" t="n"/>
      <c r="D21" s="2" t="inlineStr">
        <is>
          <t>Research &amp; Biostats</t>
        </is>
      </c>
      <c r="E21" s="2" t="inlineStr">
        <is>
          <t>Student t-test for comparing two independent means</t>
        </is>
      </c>
      <c r="F21" s="2" t="inlineStr">
        <is>
          <t>Chi-Square Test for Categorical Independence (p &lt; 0.05)</t>
        </is>
      </c>
      <c r="G21" s="2" t="inlineStr">
        <is>
          <t>Randomized Controlled Trial (Double-blind RCT)</t>
        </is>
      </c>
      <c r="H21" s="2" t="inlineStr">
        <is>
          <t>Prospective Cohort Study (Relative Risk: RR)</t>
        </is>
      </c>
      <c r="I21" s="8" t="inlineStr">
        <is>
          <t>1</t>
        </is>
      </c>
      <c r="J21"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1" s="2" t="n"/>
      <c r="L21" s="2" t="inlineStr">
        <is>
          <t>รูปแบบการวิจัยทางคลินิก</t>
        </is>
      </c>
      <c r="M21" s="2" t="inlineStr">
        <is>
          <t>Research &amp; Biostats</t>
        </is>
      </c>
      <c r="N21" s="2" t="inlineStr">
        <is>
          <t>PLE-CC1 ปี 2566 Day 2 ข้อ 1</t>
        </is>
      </c>
      <c r="O21" s="2" t="inlineStr">
        <is>
          <t>ข้อสอบจริง</t>
        </is>
      </c>
      <c r="P21" s="2" t="inlineStr">
        <is>
          <t>ปี 2566</t>
        </is>
      </c>
    </row>
    <row r="22" ht="13.2" customHeight="1" s="49">
      <c r="A22" s="8" t="inlineStr">
        <is>
          <t>21</t>
        </is>
      </c>
      <c r="B22" s="2" t="inlineStr">
        <is>
          <t>ยาpropranolol สามารถป้องกันการเกิดไมเกรนได้อย่างมีนัยสำคัญทางสถิติเมื่อเทียบกับcontrol</t>
        </is>
      </c>
      <c r="C22" s="2" t="n"/>
      <c r="D22" s="2" t="inlineStr">
        <is>
          <t>Research &amp; Biostats</t>
        </is>
      </c>
      <c r="E22" s="2" t="inlineStr">
        <is>
          <t>Prospective Cohort Study (Relative Risk: RR)</t>
        </is>
      </c>
      <c r="F22" s="2" t="inlineStr">
        <is>
          <t>Case-Control Study (Odds Ratio: OR)</t>
        </is>
      </c>
      <c r="G22" s="2" t="inlineStr">
        <is>
          <t>Cross-Sectional Survey Prevalence Study</t>
        </is>
      </c>
      <c r="H22" s="2" t="inlineStr">
        <is>
          <t>Cost-Effectiveness Analysis (Incremental Cost-Effectiveness Ratio: ICER)</t>
        </is>
      </c>
      <c r="I22" s="8" t="inlineStr">
        <is>
          <t>1</t>
        </is>
      </c>
      <c r="J22"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2" s="2" t="n"/>
      <c r="L22" s="2" t="inlineStr">
        <is>
          <t>รูปแบบการวิจัยทางคลินิก</t>
        </is>
      </c>
      <c r="M22" s="2" t="inlineStr">
        <is>
          <t>Research &amp; Biostats</t>
        </is>
      </c>
      <c r="N22" s="2" t="inlineStr">
        <is>
          <t>PLE-CC1 ปี 2566 Day 2 ข้อ 4</t>
        </is>
      </c>
      <c r="O22" s="2" t="inlineStr">
        <is>
          <t>ข้อสอบจริง</t>
        </is>
      </c>
      <c r="P22" s="2" t="inlineStr">
        <is>
          <t>ปี 2566</t>
        </is>
      </c>
    </row>
    <row r="23" ht="13.2" customHeight="1" s="49">
      <c r="A23" s="8" t="inlineStr">
        <is>
          <t>22</t>
        </is>
      </c>
      <c r="B23" s="2" t="inlineStr">
        <is>
          <t>การศึกษาเปรียบเทียบกลุ;มผญ.ที่กินยาคุมแลวเกิด VTE กับกลุ;มที่ไม;กินยาคุม ไดผล ดังนี้ เ&lt;ด ไ?เ&lt;ด VTE Status กลุ;มที่กินยาคุม เกิด VTE 70 ไม;เกิด 30 กลุ;มที่ไม;กินยาคุม เกิด VTE 40 ไม;เกิด 120 จงหาหาค;า RR …………………..………………………………..………………………………..………………………………..……………………………….. ………………………………..………………………………..………………………………..………………………………..…………………… กรณีศึกษา 17 " &lt;นยาEม 70 30 40 120 ไ?&lt;นยาEม 70 / 70 + 3 0 Relative risk = BตราCวยในกDม Exposed/BตราCวยในกDม non-exposed = 40 / 40 + 120 Ref. อ.Hทอ.มนทJตK =2. / หญิงอายุ 20 ปh มารานยาดวยเปลือกตาขวาบวม มีจุดคลายหนอง ระคายเคือง เจ็บตา ไม;คัน น้ำตา ไม;ไหล เปMนเมื่อวาน ยังไม;ไดทำอะไรเพื่อรักษาหรือบรรเทาอาการ ไม;มีโรคประจำตัว ไม;มีประวัติแพยา</t>
        </is>
      </c>
      <c r="C23" s="2" t="n"/>
      <c r="D23" s="2" t="inlineStr">
        <is>
          <t>Research &amp; Biostats</t>
        </is>
      </c>
      <c r="E23" s="2" t="inlineStr">
        <is>
          <t>Cost-Effectiveness Analysis (Incremental Cost-Effectiveness Ratio: ICER)</t>
        </is>
      </c>
      <c r="F23" s="2" t="inlineStr">
        <is>
          <t>Cost-Utility Analysis (Quality-Adjusted Life Years: QALY)</t>
        </is>
      </c>
      <c r="G23" s="2" t="inlineStr">
        <is>
          <t>Cost-Benefit Analysis (Net Monetary Benefit)</t>
        </is>
      </c>
      <c r="H23" s="2" t="inlineStr">
        <is>
          <t>Cost-Minimization Analysis (CMA)</t>
        </is>
      </c>
      <c r="I23" s="8" t="inlineStr">
        <is>
          <t>1</t>
        </is>
      </c>
      <c r="J23" s="2" t="inlineStr">
        <is>
          <t>✅ คำตอบที่ถูกต้อง: ข้อ ก. Research &amp; Biostats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3" s="2" t="n"/>
      <c r="L23" s="2" t="inlineStr">
        <is>
          <t>สถิติวิเคราะห์</t>
        </is>
      </c>
      <c r="M23" s="2" t="inlineStr">
        <is>
          <t>Research &amp; Biostats</t>
        </is>
      </c>
      <c r="N23" s="2" t="inlineStr">
        <is>
          <t>PLE_CC1_2565_Day1_Key ข้อ 69</t>
        </is>
      </c>
      <c r="O23" s="2" t="inlineStr">
        <is>
          <t>ข้อสอบจริง</t>
        </is>
      </c>
      <c r="P23" s="2" t="inlineStr">
        <is>
          <t>ปี 2565</t>
        </is>
      </c>
    </row>
    <row r="24" ht="13.2" customHeight="1" s="49">
      <c r="A24" s="8" t="inlineStr">
        <is>
          <t>23</t>
        </is>
      </c>
      <c r="B24" s="2" t="inlineStr">
        <is>
          <t>ข้อ Dissolution ให้ตารางมา มีค่า Q มี result แล้วเหมือนมัน (S2) ประมาณว่าผ่านเพราะ… (dissolution พวก S1, S2, S3) ข้อสอบน่าจะเป็นเรื่อง dissolution test ที่เป็นการทดสอบ stage ต่างๆ (S1, S2, S3) แล้วดูจากเกณฑ์การยอมรับของการทดสอบ stage นั้น ๆ ตามตารางเทียบกับ result ว่าผ่านไม่ผ่าน ตามโจทย์น่าจะเป็น Stage S2 เกณฑ์การยอมรับคือ “Average of 12 units (S1+S2) is ≥ Q + 5%” คือ dissolution จาก S1 6 เม็ด รวมกับ S2 6 เม็ด ต้องได้มากกว่าหรือเท่ากับ Q (Q คือ ร้อยละของปริมาณตัวยาที่แจ้งบนฉลาก ที่ละลายในหนึ่งช่วงเวลาที่กำหนด ซึ่งโจทย์ให้มา) +5% ก็เทียบตาม result เลย https://www.google.com/url?sa=t&amp;rct=j&amp;q=&amp;esrc=s&amp;source=web&amp;cd=&amp;ved=2ahUKEwi5wfrrrez5AhVjw6ACHU1gCO8QFnoECAsQAQ &amp;url=https%3A%2F%2Fccpe.pharmacycouncil.org%2Fshowfile.php%3Ffile%3D529&amp;usg=AOvVaw2zS0j3yRSFkktluFCyOu2y</t>
        </is>
      </c>
      <c r="C24" s="2" t="n"/>
      <c r="D24" s="2" t="inlineStr">
        <is>
          <t>Research &amp; Biostats</t>
        </is>
      </c>
      <c r="E24" s="2" t="inlineStr">
        <is>
          <t>Cost-Minimization Analysis (CMA)</t>
        </is>
      </c>
      <c r="F24" s="2" t="inlineStr">
        <is>
          <t>Student t-test for comparing two independent means</t>
        </is>
      </c>
      <c r="G24" s="2" t="inlineStr">
        <is>
          <t>Chi-Square Test for Categorical Independence (p &lt; 0.05)</t>
        </is>
      </c>
      <c r="H24" s="2" t="inlineStr">
        <is>
          <t>Randomized Controlled Trial (Double-blind RCT)</t>
        </is>
      </c>
      <c r="I24" s="8" t="inlineStr">
        <is>
          <t>1</t>
        </is>
      </c>
      <c r="J24" s="2" t="inlineStr">
        <is>
          <t>✅ คำตอบที่ถูกต้อง: ข้อ ก. Research &amp; Biostats
💡 Background:
การรักษาโรคติดเชื้อแบคทีเรีย (รูปแบบการวิจัยทางคลินิก)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24" s="2" t="n"/>
      <c r="L24" s="2" t="inlineStr">
        <is>
          <t>รูปแบบการวิจัยทางคลินิก</t>
        </is>
      </c>
      <c r="M24" s="2" t="inlineStr">
        <is>
          <t>Research &amp; Biostats</t>
        </is>
      </c>
      <c r="N24" s="2" t="inlineStr">
        <is>
          <t>PLE_CC1_2564_All_Key ข้อ 66</t>
        </is>
      </c>
      <c r="O24" s="2" t="inlineStr">
        <is>
          <t>ข้อสอบจริง</t>
        </is>
      </c>
      <c r="P24" s="2" t="inlineStr">
        <is>
          <t>ปี 2564</t>
        </is>
      </c>
    </row>
    <row r="25" ht="13.2" customHeight="1" s="49">
      <c r="A25" s="8" t="inlineStr">
        <is>
          <t>23</t>
        </is>
      </c>
      <c r="B25" s="2"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2" t="n"/>
      <c r="D25" s="2" t="inlineStr">
        <is>
          <t>มีการทำหลายสถานที่</t>
        </is>
      </c>
      <c r="E25" s="2" t="inlineStr">
        <is>
          <t>double-blinded มี</t>
        </is>
      </c>
      <c r="F25" s="2" t="inlineStr">
        <is>
          <t>มีการสุ่ม</t>
        </is>
      </c>
      <c r="G25" s="2" t="inlineStr">
        <is>
          <t>มีกลุ่มควบคุม 2 กลุ่ม</t>
        </is>
      </c>
      <c r="H25" s="2" t="inlineStr">
        <is>
          <t>มีกลุ่ม intervention 2 กลุ่ม</t>
        </is>
      </c>
      <c r="I25" s="8" t="inlineStr">
        <is>
          <t>1</t>
        </is>
      </c>
      <c r="J25" s="2"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2" t="n"/>
      <c r="L25" s="2" t="inlineStr">
        <is>
          <t>รูปแบบการวิจัยทางคลินิก</t>
        </is>
      </c>
      <c r="M25" s="2" t="inlineStr">
        <is>
          <t>SAP</t>
        </is>
      </c>
      <c r="N25" s="2" t="inlineStr">
        <is>
          <t>ข้อ 53 (PLE_CC1_2562_Key.md)</t>
        </is>
      </c>
      <c r="O25" s="2" t="inlineStr">
        <is>
          <t>ข้อสอบจริง</t>
        </is>
      </c>
      <c r="P25" s="2" t="inlineStr">
        <is>
          <t>ปี 2562</t>
        </is>
      </c>
    </row>
    <row r="26" ht="13.2" customHeight="1" s="49">
      <c r="A26" s="8" t="inlineStr">
        <is>
          <t>24</t>
        </is>
      </c>
      <c r="B26" s="2" t="inlineStr">
        <is>
          <t>หากต้องการเทียบยารักษา SLE ตัวใหม่ เทียบกับตัวเก่า จงหา ICER X 77 ยาเก่า 18.0 QALYs 11.0 cost 1,200,000 bath ยาใหม่ 20.0 QALYs 12.5 cost 1,500,000 bath</t>
        </is>
      </c>
      <c r="C26" s="2" t="n"/>
      <c r="D26" s="8" t="inlineStr">
        <is>
          <t>75,000</t>
        </is>
      </c>
      <c r="E26" s="8" t="inlineStr">
        <is>
          <t>120,000</t>
        </is>
      </c>
      <c r="F26" s="8" t="inlineStr">
        <is>
          <t>150,000</t>
        </is>
      </c>
      <c r="G26" s="8" t="inlineStr">
        <is>
          <t>200,000</t>
        </is>
      </c>
      <c r="H26" s="2" t="inlineStr">
        <is>
          <t>300,000 ICER = ou X = 1, 500 , 000 - 1, 200 12 . 5 - 11 , 000 = 200, 000 bath/GALYs หË´มนาÆปทาซËาทืกกรณิ ÂวËนาต้จ²ÆดËรงบ¯นืญ´ต film</t>
        </is>
      </c>
      <c r="I26" s="8" t="inlineStr">
        <is>
          <t>1</t>
        </is>
      </c>
      <c r="J26" s="2"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2" t="n"/>
      <c r="L26" s="2" t="inlineStr">
        <is>
          <t>วิธีประเมินต้นทุนและประสิทธิผล</t>
        </is>
      </c>
      <c r="M26" s="2" t="inlineStr">
        <is>
          <t>SAP</t>
        </is>
      </c>
      <c r="N26" s="2" t="inlineStr">
        <is>
          <t>ข้อ 114 (PLE_CC1_2562_Key.md)</t>
        </is>
      </c>
      <c r="O26" s="2" t="inlineStr">
        <is>
          <t>ข้อสอบจริง</t>
        </is>
      </c>
      <c r="P26" s="2" t="inlineStr">
        <is>
          <t>ปี 2562</t>
        </is>
      </c>
    </row>
    <row r="27" ht="13.2" customHeight="1" s="49">
      <c r="A27" s="8" t="inlineStr">
        <is>
          <t>25</t>
        </is>
      </c>
      <c r="B27" s="2" t="inlineStr">
        <is>
          <t>หลักการเก็บข้อมูลทางสถิติใด มี bias น้อยสุด</t>
        </is>
      </c>
      <c r="C27" s="2" t="n"/>
      <c r="D27" s="2" t="inlineStr">
        <is>
          <t>Case report</t>
        </is>
      </c>
      <c r="E27" s="2" t="inlineStr">
        <is>
          <t>Case control</t>
        </is>
      </c>
      <c r="F27" s="2" t="inlineStr">
        <is>
          <t>Cross-sectional survey</t>
        </is>
      </c>
      <c r="G27" s="2" t="inlineStr">
        <is>
          <t>Prospective cohort</t>
        </is>
      </c>
      <c r="H27" s="2" t="inlineStr">
        <is>
          <t>Case series</t>
        </is>
      </c>
      <c r="I27" s="8" t="inlineStr">
        <is>
          <t>1</t>
        </is>
      </c>
      <c r="J27" s="2"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2" t="n"/>
      <c r="L27" s="2" t="inlineStr">
        <is>
          <t>รูปแบบการวิจัยทางคลินิก</t>
        </is>
      </c>
      <c r="M27" s="2" t="inlineStr">
        <is>
          <t>SAP</t>
        </is>
      </c>
      <c r="N27" s="2" t="inlineStr">
        <is>
          <t>ข้อ 85 (PLE_CC1_2558_Key.md)</t>
        </is>
      </c>
      <c r="O27" s="2" t="inlineStr">
        <is>
          <t>ข้อสอบจริง</t>
        </is>
      </c>
      <c r="P27" s="2" t="inlineStr">
        <is>
          <t>ปี 2558</t>
        </is>
      </c>
    </row>
    <row r="28" ht="13.2" customHeight="1" s="49">
      <c r="A28" s="8" t="inlineStr">
        <is>
          <t>26</t>
        </is>
      </c>
      <c r="B28" s="2"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t>
        </is>
      </c>
      <c r="C28" s="2" t="n"/>
      <c r="D28" s="2" t="inlineStr">
        <is>
          <t>Mann-Whitney U test</t>
        </is>
      </c>
      <c r="E28" s="2" t="inlineStr">
        <is>
          <t>Independent t-test</t>
        </is>
      </c>
      <c r="F28" s="2" t="inlineStr">
        <is>
          <t>Pair t-test</t>
        </is>
      </c>
      <c r="G28" s="2" t="inlineStr">
        <is>
          <t>Wilcoxon</t>
        </is>
      </c>
      <c r="H28" s="2" t="inlineStr">
        <is>
          <t>Cox proportional hazard model</t>
        </is>
      </c>
      <c r="I28" s="8" t="inlineStr">
        <is>
          <t>1</t>
        </is>
      </c>
      <c r="J28" s="2"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2" t="n"/>
      <c r="L28" s="2" t="inlineStr">
        <is>
          <t>รูปแบบการวิจัยทางคลินิก</t>
        </is>
      </c>
      <c r="M28" s="2" t="inlineStr">
        <is>
          <t>SAP</t>
        </is>
      </c>
      <c r="N28" s="2" t="inlineStr">
        <is>
          <t>ข้อ 23 (PLE_CC1_2558_Key.md)</t>
        </is>
      </c>
      <c r="O28" s="2" t="inlineStr">
        <is>
          <t>ข้อสอบจริง</t>
        </is>
      </c>
      <c r="P28" s="2" t="inlineStr">
        <is>
          <t>ปี 2558</t>
        </is>
      </c>
    </row>
    <row r="29" ht="13.2" customHeight="1" s="49">
      <c r="A29" s="8" t="inlineStr">
        <is>
          <t>27</t>
        </is>
      </c>
      <c r="B29" s="2" t="inlineStr">
        <is>
          <t>ยาที_x001E_มีคุณสมบัติเป็น lipophilic เมื_x001E_อนำมาพัฒนาเป็นรูปแบบ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สถานการณ์ที_x001E_ 4 ผู้ป่วยชายไทย อายุ 60 ปี ได้รับการวินิจฉัยว่าเป็น Non-ST Elevatrion Myocardial infarction ได้รับยาดังนี_x001B_ Simvastatin 1x1 PO pc Enalapril 1x1 PO pc Aspirin 1x1 PO pc Clopidogrel 1x1 PO pc Amlodipine 1x1 PO pc Isosorbide dinitrate 1 tab SL prn</t>
        </is>
      </c>
      <c r="C29" s="2" t="n"/>
      <c r="D29" s="2" t="inlineStr">
        <is>
          <t>Prospective Cohort Study (Relative Risk: RR)</t>
        </is>
      </c>
      <c r="E29" s="2" t="inlineStr">
        <is>
          <t>Case-Control Study (Odds Ratio: OR)</t>
        </is>
      </c>
      <c r="F29" s="2" t="inlineStr">
        <is>
          <t>Cross-Sectional Survey Prevalence Study</t>
        </is>
      </c>
      <c r="G29" s="2" t="inlineStr">
        <is>
          <t>Cost-Effectiveness Analysis (Incremental Cost-Effectiveness Ratio: ICER)</t>
        </is>
      </c>
      <c r="H29" s="2" t="inlineStr">
        <is>
          <t>Cost-Utility Analysis (Quality-Adjusted Life Years: QALY)</t>
        </is>
      </c>
      <c r="I29" s="8" t="inlineStr">
        <is>
          <t>1</t>
        </is>
      </c>
      <c r="J2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2" t="n"/>
      <c r="L29" s="2" t="inlineStr">
        <is>
          <t>รูปแบบการวิจัยทางคลินิก</t>
        </is>
      </c>
      <c r="M29" s="2" t="inlineStr">
        <is>
          <t>SAP</t>
        </is>
      </c>
      <c r="N29" s="2" t="inlineStr">
        <is>
          <t>ข้อ 26 (PLE_CC1_2557.md)</t>
        </is>
      </c>
      <c r="O29" s="2" t="inlineStr">
        <is>
          <t>ข้อสอบจริง</t>
        </is>
      </c>
      <c r="P29" s="2" t="inlineStr">
        <is>
          <t>ปี 2557</t>
        </is>
      </c>
    </row>
    <row r="30" ht="13.2" customHeight="1" s="49">
      <c r="A30" s="8" t="inlineStr">
        <is>
          <t>28</t>
        </is>
      </c>
      <c r="B30" s="2" t="inlineStr">
        <is>
          <t>ยาใดต่อไปนี% ไม่มีผลลดอัตราการตายสำหรับผู้ป่วย myocardial infarction (1) Simvastatin (2) Enalapril (3) Aspirin (4) Clopidogrel (5) Amlodipine</t>
        </is>
      </c>
      <c r="C30" s="2" t="n"/>
      <c r="D30" s="2" t="inlineStr">
        <is>
          <t>Cost-Effectiveness Analysis (Incremental Cost-Effectiveness Ratio: ICER)</t>
        </is>
      </c>
      <c r="E30" s="2" t="inlineStr">
        <is>
          <t>Cost-Utility Analysis (Quality-Adjusted Life Years: QALY)</t>
        </is>
      </c>
      <c r="F30" s="2" t="inlineStr">
        <is>
          <t>Cost-Benefit Analysis (Net Monetary Benefit)</t>
        </is>
      </c>
      <c r="G30" s="2" t="inlineStr">
        <is>
          <t>Cost-Minimization Analysis (CMA)</t>
        </is>
      </c>
      <c r="H30" s="2" t="inlineStr">
        <is>
          <t>Student t-test for comparing two independent means</t>
        </is>
      </c>
      <c r="I30" s="8" t="inlineStr">
        <is>
          <t>1</t>
        </is>
      </c>
      <c r="J3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2" t="n"/>
      <c r="L30" s="2" t="inlineStr">
        <is>
          <t>รูปแบบการวิจัยทางคลินิก</t>
        </is>
      </c>
      <c r="M30" s="2" t="inlineStr">
        <is>
          <t>SAP</t>
        </is>
      </c>
      <c r="N30" s="2" t="inlineStr">
        <is>
          <t>ข้อ 27 (PLE_CC1_2557.md)</t>
        </is>
      </c>
      <c r="O30" s="2" t="inlineStr">
        <is>
          <t>ข้อสอบจริง</t>
        </is>
      </c>
      <c r="P30" s="2" t="inlineStr">
        <is>
          <t>ปี 2557</t>
        </is>
      </c>
    </row>
    <row r="31" ht="13.2" customHeight="1" s="49">
      <c r="A31" s="8" t="inlineStr">
        <is>
          <t>29</t>
        </is>
      </c>
      <c r="B31" s="2"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ในการเปลี_x0003_ยนแปลงค่า ICER (3) ตัวแปร Discount rate มีความไวมากกว่า Direct-on medical cost of HSCT ในการเปลี_x0003_ยนแปลงค่า ICER (4) ตัวแปร Age coefficient ส่งผลให้เกิดการเปลี_x0003_ยนแปลง ค่า ICER ได้มากที_x0003_สุด (5) ตัวแปร Utility of BT-ICT patients ส่งผลให้เกิดการ เปลี_x0003_ยนแปลงค่า ICER ได้น้อยที_x0003_สุด MCQ 11 | 1/2557 | Page 13</t>
        </is>
      </c>
      <c r="C31" s="2" t="n"/>
      <c r="D31" s="2" t="inlineStr">
        <is>
          <t>Cost-Minimization Analysis (CMA)</t>
        </is>
      </c>
      <c r="E31" s="2" t="inlineStr">
        <is>
          <t>Student t-test for comparing two independent means</t>
        </is>
      </c>
      <c r="F31" s="2" t="inlineStr">
        <is>
          <t>Chi-Square Test for Categorical Independence (p &lt; 0.05)</t>
        </is>
      </c>
      <c r="G31" s="2" t="inlineStr">
        <is>
          <t>Randomized Controlled Trial (Double-blind RCT)</t>
        </is>
      </c>
      <c r="H31" s="2" t="inlineStr">
        <is>
          <t>Prospective Cohort Study (Relative Risk: RR)</t>
        </is>
      </c>
      <c r="I31" s="8" t="inlineStr">
        <is>
          <t>1</t>
        </is>
      </c>
      <c r="J31" s="2"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2" t="n"/>
      <c r="L31" s="2" t="inlineStr">
        <is>
          <t>วิธีประเมินต้นทุนและประสิทธิผล</t>
        </is>
      </c>
      <c r="M31" s="2" t="inlineStr">
        <is>
          <t>SAP</t>
        </is>
      </c>
      <c r="N31" s="2" t="inlineStr">
        <is>
          <t>ข้อ 85 (PLE_CC1_2557.md)</t>
        </is>
      </c>
      <c r="O31" s="2" t="inlineStr">
        <is>
          <t>ข้อสอบจริง</t>
        </is>
      </c>
      <c r="P31" s="2" t="inlineStr">
        <is>
          <t>ปี 2557</t>
        </is>
      </c>
    </row>
    <row r="32" ht="13.2" customHeight="1" s="49">
      <c r="A32" s="8" t="inlineStr">
        <is>
          <t>30</t>
        </is>
      </c>
      <c r="B32" s="2"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_x0001_ _x0001_ _x0001_ _x0001_ _x0001_ _x0001_ _x0001_ Final version | Maximum’2017 Rx30 | Prince of Songkla University MCQ 12 : 1/2557 Disclaimer : ทำความเข้าใจกันก่อน สิ_x0003_งที_x0003_น้อง ๆ ทุกคนจะได้พบเห็นต่อไปนี_x001B_ เป็นเพียงแนวข้อสอบการสอบความรู้ผู้ขอขึ_x001B_นทะเบียนเป็นผู้ประกอบวิชาชีพเภสัช กรรม สภาเภสัชกรรม ครั_x001B_งที_x0003_ 1/2557 เท่านั_x001B_น ไม่ใช่ข้อสอบจริง เนื_x0003_องจากพี_x0003_คนเดียว ไม่สามารถจดจำตัวเลือกทุกตัวเลือก ของข้อสอบ ทั_x001B_ง 120 ข้อได้หมดภายในระยะเวลา 3 ชั_x0003_วโมง ดังนั_x001B_น ในข้อสอบบางข้อพี_x0003_จึงได้ไปสรรหาตัวเลือกอื_x0003_น ๆ มาวางไว้เฉย ๆ เพื_x0003_อให้มัน ครบ 5 ตัวเลือก (พูดง่าย ๆ ก็คือ แต่ง choice เพิ_x001E_มในบางข้อ เพื_x001E_อเพิ_x001E_มความสนุกสนาน 555++) ทำให้ในบางข้ออาจมีคำตอบที_x0003_ถูกต้อง มากกว่า 1 ตัวเลือก หรือบางข้ออาจไม่มีข้อที_x0003_ถูกเลยก็ได้ 555++ (ซึ_x0003_งพี_x0003_จะหมายเหตุ เอาไว้หลังข้อคำถาม) ซึ_x0003_งก็เป็นหน้าที_x0003_ของน้อง ๆ ในการหาว่าตัวเลือกในข้อใดถูก หรือตัวเลือกในข้อใดผิด และเพราะอะไรจึงถูก หรือเพราะอะไรตัวเลือกนั_x001B_นจึงผิด (พี_x0003_ไม่เฉลยนะ เพราะที_x0003_ทำไปก็ไม่รู้ว่าถูกหรือผิด) อย่างไรก็ตาม พี_x0003_หวังว่าเอกสารชุดนี_x001B_คงจะสามารถช่วยน้อง ๆ ได้ในระดับหนึ_x0003_ง ซึ_x0003_งอาจทำให้ทราบว่าสภาเภสัชกรรม ต้องการอะไรจากเด็กตาดำ ๆ เช่นพวกเรา ใครที_x0003_อ่านเนื_x001B_อหาไม่ทัน การทำโจทย์ก็สามารถช่วยได้ ส่วนใครที_x0003_มั_x0003_นใจว่าอ่านจบสามรอบ ครึ_x0003_งตีลังกาเกลียว ก็อย่าเพิ_x0003_งได้ใจ ให้ลองทำโจทย์ดูด้วย จะทำให้รู้สึกว่าข้อสอบมัน Everything under the sun ไม่ว่าอะไรก็เอามา ออกได้หมดจริง ๆ ถ้าพร้อมแล้ว ก็เริ_x0003_มลงมือทำได้เลย ...... ตัวอย่างข้อสอบ การสอบความรู้ผู้ขอขึ%นทะเบียนเป็นผู้ประกอบวิชาชีพเภสัชกรรม สภาเภสัชกรรม ครั%งที_x001E_ 1/2557 วันที_x001E_สอบ วันอาทิตย์ที_x001E_ 9 กุมภาพันธ์ 2557 เวลา 09.00 - 12.00 น. รายวิชาที_x001E_สอบ MCQ 12 สถานการณ์ที_x001E_ 1 ผู้ป่วยชายไทย อายุ 56 ปี โรคประจำตัว Chronic kidney disease มาซื_x001B_อยาที_x0003_ร้านขายยา จากการซักประวัติพบว่า เจ็บคอ มีไข้ ไม่ไอ มีนํ_x001B_ามูกเล็กน้อย เมื_x0003_อตรวจคอพบจุดหนอง ภายในลำคอ 1 จุด เมื_x0003_อ 3 วันก่อน ซื_x001B_อยา paracetamol และยา loratadine มารับประทาน แต่อาการไม่ดีขึ_x001B_น ผู้ป่วยไม่มีประวัติ แพ้ยา เภสัชกรจึงจ่ายยาดังรายการต่อไปนี_x001B_ Amoxicillin 1 cap tid 20 Ibuprofen 1 tab tid 20 Phenylephrine + CPM 1 tab prn 10</t>
        </is>
      </c>
      <c r="C32" s="2" t="n"/>
      <c r="D32" s="2" t="inlineStr">
        <is>
          <t>Randomized Controlled Trial (Double-blind RCT)</t>
        </is>
      </c>
      <c r="E32" s="2" t="inlineStr">
        <is>
          <t>Prospective Cohort Study (Relative Risk: RR)</t>
        </is>
      </c>
      <c r="F32" s="2" t="inlineStr">
        <is>
          <t>Case-Control Study (Odds Ratio: OR)</t>
        </is>
      </c>
      <c r="G32" s="2" t="inlineStr">
        <is>
          <t>Cross-Sectional Survey Prevalence Study</t>
        </is>
      </c>
      <c r="H32" s="2" t="inlineStr">
        <is>
          <t>Cost-Effectiveness Analysis (Incremental Cost-Effectiveness Ratio: ICER)</t>
        </is>
      </c>
      <c r="I32" s="8" t="inlineStr">
        <is>
          <t>1</t>
        </is>
      </c>
      <c r="J3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2" t="n"/>
      <c r="L32" s="2" t="inlineStr">
        <is>
          <t>วิธีประเมินต้นทุนและประสิทธิผล</t>
        </is>
      </c>
      <c r="M32" s="2" t="inlineStr">
        <is>
          <t>SAP</t>
        </is>
      </c>
      <c r="N32" s="2" t="inlineStr">
        <is>
          <t>ข้อ 86 (PLE_CC1_2557.md)</t>
        </is>
      </c>
      <c r="O32" s="2" t="inlineStr">
        <is>
          <t>ข้อสอบจริง</t>
        </is>
      </c>
      <c r="P32" s="2" t="inlineStr">
        <is>
          <t>ปี 2557</t>
        </is>
      </c>
    </row>
    <row r="33" ht="13.2" customHeight="1" s="49">
      <c r="A33" s="8" t="inlineStr">
        <is>
          <t>31</t>
        </is>
      </c>
      <c r="B33" s="2"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2" t="n"/>
      <c r="D33" s="2" t="inlineStr">
        <is>
          <t>Cross-Sectional Survey Prevalence Study</t>
        </is>
      </c>
      <c r="E33" s="2" t="inlineStr">
        <is>
          <t>Cost-Effectiveness Analysis (Incremental Cost-Effectiveness Ratio: ICER)</t>
        </is>
      </c>
      <c r="F33" s="2" t="inlineStr">
        <is>
          <t>Cost-Utility Analysis (Quality-Adjusted Life Years: QALY)</t>
        </is>
      </c>
      <c r="G33" s="2" t="inlineStr">
        <is>
          <t>Cost-Benefit Analysis (Net Monetary Benefit)</t>
        </is>
      </c>
      <c r="H33" s="2" t="inlineStr">
        <is>
          <t>Cost-Minimization Analysis (CMA)</t>
        </is>
      </c>
      <c r="I33" s="8" t="inlineStr">
        <is>
          <t>1</t>
        </is>
      </c>
      <c r="J33" s="2"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2" t="n"/>
      <c r="L33" s="2" t="inlineStr">
        <is>
          <t>วิธีประเมินต้นทุนและประสิทธิผล</t>
        </is>
      </c>
      <c r="M33" s="2" t="inlineStr">
        <is>
          <t>SAP</t>
        </is>
      </c>
      <c r="N33" s="2" t="inlineStr">
        <is>
          <t>ข้อ 7 (PLE_CC1_2555 Day 2.md)</t>
        </is>
      </c>
      <c r="O33" s="2" t="inlineStr">
        <is>
          <t>ข้อสอบจริง</t>
        </is>
      </c>
      <c r="P33" s="2" t="inlineStr">
        <is>
          <t>ปี 2555</t>
        </is>
      </c>
    </row>
    <row r="34" ht="13.2" customHeight="1" s="49">
      <c r="A34" s="8" t="inlineStr">
        <is>
          <t>32</t>
        </is>
      </c>
      <c r="B34" s="2"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2" t="n"/>
      <c r="D34" s="2" t="inlineStr">
        <is>
          <t>Cost-Benefit Analysis (Net Monetary Benefit)</t>
        </is>
      </c>
      <c r="E34" s="2" t="inlineStr">
        <is>
          <t>Cost-Minimization Analysis (CMA)</t>
        </is>
      </c>
      <c r="F34" s="2" t="inlineStr">
        <is>
          <t>Student t-test for comparing two independent means</t>
        </is>
      </c>
      <c r="G34" s="2" t="inlineStr">
        <is>
          <t>Chi-Square Test for Categorical Independence (p &lt; 0.05)</t>
        </is>
      </c>
      <c r="H34" s="2" t="inlineStr">
        <is>
          <t>Randomized Controlled Trial (Double-blind RCT)</t>
        </is>
      </c>
      <c r="I34" s="8" t="inlineStr">
        <is>
          <t>1</t>
        </is>
      </c>
      <c r="J34" s="2"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2" t="n"/>
      <c r="L34" s="2" t="inlineStr">
        <is>
          <t>วิธีประเมินต้นทุนและประสิทธิผล</t>
        </is>
      </c>
      <c r="M34" s="2" t="inlineStr">
        <is>
          <t>SAP</t>
        </is>
      </c>
      <c r="N34" s="2" t="inlineStr">
        <is>
          <t>ข้อ 8 (PLE_CC1_2555 Day 2.md)</t>
        </is>
      </c>
      <c r="O34" s="2" t="inlineStr">
        <is>
          <t>ข้อสอบจริง</t>
        </is>
      </c>
      <c r="P34" s="2" t="inlineStr">
        <is>
          <t>ปี 2555</t>
        </is>
      </c>
    </row>
    <row r="35" ht="13.2" customHeight="1" s="49">
      <c r="A35" s="8" t="inlineStr">
        <is>
          <t>33</t>
        </is>
      </c>
      <c r="B35" s="2" t="inlineStr">
        <is>
          <t>Cmax + Elimination half-life</t>
        </is>
      </c>
      <c r="C35" s="2" t="n"/>
      <c r="D35" s="2" t="inlineStr">
        <is>
          <t>Chi-Square Test for Categorical Independence (p &lt; 0.05)</t>
        </is>
      </c>
      <c r="E35" s="2" t="inlineStr">
        <is>
          <t>Randomized Controlled Trial (Double-blind RCT)</t>
        </is>
      </c>
      <c r="F35" s="2" t="inlineStr">
        <is>
          <t>Prospective Cohort Study (Relative Risk: RR)</t>
        </is>
      </c>
      <c r="G35" s="2" t="inlineStr">
        <is>
          <t>Case-Control Study (Odds Ratio: OR)</t>
        </is>
      </c>
      <c r="H35" s="2" t="inlineStr">
        <is>
          <t>Cross-Sectional Survey Prevalence Study</t>
        </is>
      </c>
      <c r="I35" s="8" t="inlineStr">
        <is>
          <t>1</t>
        </is>
      </c>
      <c r="J3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2" t="n"/>
      <c r="L35" s="2" t="inlineStr">
        <is>
          <t>วิธีประเมินต้นทุนและประสิทธิผล</t>
        </is>
      </c>
      <c r="M35" s="2" t="inlineStr">
        <is>
          <t>SAP</t>
        </is>
      </c>
      <c r="N35" s="2" t="inlineStr">
        <is>
          <t>ข้อ 4 (PLE_CC1_2555 Day 2.md)</t>
        </is>
      </c>
      <c r="O35" s="2" t="inlineStr">
        <is>
          <t>ข้อสอบจริง</t>
        </is>
      </c>
      <c r="P35" s="2" t="inlineStr">
        <is>
          <t>ปี 2555</t>
        </is>
      </c>
    </row>
    <row r="36" ht="13.2" customHeight="1" s="49">
      <c r="A36" s="8" t="inlineStr">
        <is>
          <t>34</t>
        </is>
      </c>
      <c r="B36" s="2"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2" t="n"/>
      <c r="D36" s="2" t="inlineStr">
        <is>
          <t>Case-Control Study (Odds Ratio: OR)</t>
        </is>
      </c>
      <c r="E36" s="2" t="inlineStr">
        <is>
          <t>Cross-Sectional Survey Prevalence Study</t>
        </is>
      </c>
      <c r="F36" s="2" t="inlineStr">
        <is>
          <t>Cost-Effectiveness Analysis (Incremental Cost-Effectiveness Ratio: ICER)</t>
        </is>
      </c>
      <c r="G36" s="2" t="inlineStr">
        <is>
          <t>Cost-Utility Analysis (Quality-Adjusted Life Years: QALY)</t>
        </is>
      </c>
      <c r="H36" s="2" t="inlineStr">
        <is>
          <t>Cost-Benefit Analysis (Net Monetary Benefit)</t>
        </is>
      </c>
      <c r="I36" s="8" t="inlineStr">
        <is>
          <t>1</t>
        </is>
      </c>
      <c r="J3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2" t="n"/>
      <c r="L36" s="2" t="inlineStr">
        <is>
          <t>สถิติวิเคราะห์</t>
        </is>
      </c>
      <c r="M36" s="2" t="inlineStr">
        <is>
          <t>SAP</t>
        </is>
      </c>
      <c r="N36" s="2" t="inlineStr">
        <is>
          <t>ข้อ 2 (PLE_CC1_2554 SET2.md)</t>
        </is>
      </c>
      <c r="O36" s="2" t="inlineStr">
        <is>
          <t>ข้อสอบจริง</t>
        </is>
      </c>
      <c r="P36" s="2" t="inlineStr">
        <is>
          <t>ปี 2554</t>
        </is>
      </c>
    </row>
    <row r="37" ht="13.2" customHeight="1" s="49">
      <c r="A37" s="8" t="inlineStr">
        <is>
          <t>35</t>
        </is>
      </c>
      <c r="B37" s="2" t="inlineStr">
        <is>
          <t>ถ้าต้องการเปรียบเทียบระดับยาที่เวลา 5, 10, 15 และ 20 นาที ของยา FDT กับ Tablet ควรใช้สถิติข้อใดในการวิเคราะห์</t>
        </is>
      </c>
      <c r="C37" s="2" t="n"/>
      <c r="D37" s="2" t="inlineStr">
        <is>
          <t>Cost-Utility Analysis (Quality-Adjusted Life Years: QALY)</t>
        </is>
      </c>
      <c r="E37" s="2" t="inlineStr">
        <is>
          <t>Cost-Benefit Analysis (Net Monetary Benefit)</t>
        </is>
      </c>
      <c r="F37" s="2" t="inlineStr">
        <is>
          <t>Cost-Minimization Analysis (CMA)</t>
        </is>
      </c>
      <c r="G37" s="2" t="inlineStr">
        <is>
          <t>Student t-test for comparing two independent means</t>
        </is>
      </c>
      <c r="H37" s="2" t="inlineStr">
        <is>
          <t>Chi-Square Test for Categorical Independence (p &lt; 0.05)</t>
        </is>
      </c>
      <c r="I37" s="8" t="inlineStr">
        <is>
          <t>1</t>
        </is>
      </c>
      <c r="J3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2" t="n"/>
      <c r="L37" s="2" t="inlineStr">
        <is>
          <t>รูปแบบการวิจัยทางคลินิก</t>
        </is>
      </c>
      <c r="M37" s="2" t="inlineStr">
        <is>
          <t>SAP</t>
        </is>
      </c>
      <c r="N37" s="2" t="inlineStr">
        <is>
          <t>ข้อ 10 (PLE_CC1_2533.md)</t>
        </is>
      </c>
      <c r="O37" s="2" t="inlineStr">
        <is>
          <t>ข้อสอบจริง</t>
        </is>
      </c>
      <c r="P37" s="2" t="inlineStr">
        <is>
          <t>ปี 2533</t>
        </is>
      </c>
    </row>
    <row r="38" ht="13.2" customHeight="1" s="49">
      <c r="A38" s="8" t="inlineStr">
        <is>
          <t>36</t>
        </is>
      </c>
      <c r="B38" s="2"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2" t="n"/>
      <c r="D38" s="2" t="inlineStr">
        <is>
          <t>Student t-test for comparing two independent means</t>
        </is>
      </c>
      <c r="E38" s="2" t="inlineStr">
        <is>
          <t>Chi-Square Test for Categorical Independence (p &lt; 0.05)</t>
        </is>
      </c>
      <c r="F38" s="2" t="inlineStr">
        <is>
          <t>Randomized Controlled Trial (Double-blind RCT)</t>
        </is>
      </c>
      <c r="G38" s="2" t="inlineStr">
        <is>
          <t>Prospective Cohort Study (Relative Risk: RR)</t>
        </is>
      </c>
      <c r="H38" s="2" t="inlineStr">
        <is>
          <t>Case-Control Study (Odds Ratio: OR)</t>
        </is>
      </c>
      <c r="I38" s="8" t="inlineStr">
        <is>
          <t>1</t>
        </is>
      </c>
      <c r="J38" s="2"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2" t="n"/>
      <c r="L38" s="2" t="inlineStr">
        <is>
          <t>วิธีประเมินต้นทุนและประสิทธิผล</t>
        </is>
      </c>
      <c r="M38" s="2" t="inlineStr">
        <is>
          <t>SAP</t>
        </is>
      </c>
      <c r="N38" s="2" t="inlineStr">
        <is>
          <t>ข้อ 5 (PLE_CC1_2533.md)</t>
        </is>
      </c>
      <c r="O38" s="2" t="inlineStr">
        <is>
          <t>ข้อสอบจริง</t>
        </is>
      </c>
      <c r="P38" s="2" t="inlineStr">
        <is>
          <t>ปี 2533</t>
        </is>
      </c>
    </row>
    <row r="39" ht="13.2" customHeight="1" s="49">
      <c r="A39" s="8" t="inlineStr">
        <is>
          <t>37</t>
        </is>
      </c>
      <c r="B39" s="2"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2" t="n"/>
      <c r="D39" s="2" t="inlineStr">
        <is>
          <t>Prospective Cohort Study (Relative Risk: RR)</t>
        </is>
      </c>
      <c r="E39" s="2" t="inlineStr">
        <is>
          <t>Case-Control Study (Odds Ratio: OR)</t>
        </is>
      </c>
      <c r="F39" s="2" t="inlineStr">
        <is>
          <t>Cross-Sectional Survey Prevalence Study</t>
        </is>
      </c>
      <c r="G39" s="2" t="inlineStr">
        <is>
          <t>Cost-Effectiveness Analysis (Incremental Cost-Effectiveness Ratio: ICER)</t>
        </is>
      </c>
      <c r="H39" s="2" t="inlineStr">
        <is>
          <t>Cost-Utility Analysis (Quality-Adjusted Life Years: QALY)</t>
        </is>
      </c>
      <c r="I39" s="8" t="inlineStr">
        <is>
          <t>1</t>
        </is>
      </c>
      <c r="J39" s="2"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2" t="n"/>
      <c r="L39" s="2" t="inlineStr">
        <is>
          <t>รูปแบบการวิจัยทางคลินิก</t>
        </is>
      </c>
      <c r="M39" s="2" t="inlineStr">
        <is>
          <t>SAP</t>
        </is>
      </c>
      <c r="N39" s="2" t="inlineStr">
        <is>
          <t>ข้อ 10 (PLE_CC1_2533.md)</t>
        </is>
      </c>
      <c r="O39" s="2" t="inlineStr">
        <is>
          <t>ข้อสอบจริง</t>
        </is>
      </c>
      <c r="P39" s="2" t="inlineStr">
        <is>
          <t>ปี 2533</t>
        </is>
      </c>
    </row>
    <row r="40" ht="13.2" customHeight="1" s="49">
      <c r="A40" s="8" t="inlineStr">
        <is>
          <t>38</t>
        </is>
      </c>
      <c r="B40" s="2"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2" t="n"/>
      <c r="D40" s="2" t="inlineStr">
        <is>
          <t>Cost-Effectiveness Analysis (Incremental Cost-Effectiveness Ratio: ICER)</t>
        </is>
      </c>
      <c r="E40" s="2" t="inlineStr">
        <is>
          <t>Cost-Utility Analysis (Quality-Adjusted Life Years: QALY)</t>
        </is>
      </c>
      <c r="F40" s="2" t="inlineStr">
        <is>
          <t>Cost-Benefit Analysis (Net Monetary Benefit)</t>
        </is>
      </c>
      <c r="G40" s="2" t="inlineStr">
        <is>
          <t>Cost-Minimization Analysis (CMA)</t>
        </is>
      </c>
      <c r="H40" s="2" t="inlineStr">
        <is>
          <t>Student t-test for comparing two independent means</t>
        </is>
      </c>
      <c r="I40" s="8" t="inlineStr">
        <is>
          <t>1</t>
        </is>
      </c>
      <c r="J4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2" t="n"/>
      <c r="L40" s="2" t="inlineStr">
        <is>
          <t>รูปแบบการวิจัยทางคลินิก</t>
        </is>
      </c>
      <c r="M40" s="2" t="inlineStr">
        <is>
          <t>SAP</t>
        </is>
      </c>
      <c r="N40" s="2" t="inlineStr">
        <is>
          <t>ข้อ 4 (PLE_CC1_2533.md)</t>
        </is>
      </c>
      <c r="O40" s="2" t="inlineStr">
        <is>
          <t>ข้อสอบจริง</t>
        </is>
      </c>
      <c r="P40" s="2" t="inlineStr">
        <is>
          <t>ปี 2533</t>
        </is>
      </c>
    </row>
    <row r="41" ht="13.2" customHeight="1" s="49">
      <c r="A41" s="8" t="inlineStr">
        <is>
          <t>39</t>
        </is>
      </c>
      <c r="B41" s="2" t="inlineStr">
        <is>
          <t>Prospective cohort studies</t>
        </is>
      </c>
      <c r="C41" s="2" t="n"/>
      <c r="D41" s="2" t="inlineStr">
        <is>
          <t>Cost-Minimization Analysis (CMA)</t>
        </is>
      </c>
      <c r="E41" s="2" t="inlineStr">
        <is>
          <t>Student t-test for comparing two independent means</t>
        </is>
      </c>
      <c r="F41" s="2" t="inlineStr">
        <is>
          <t>Chi-Square Test for Categorical Independence (p &lt; 0.05)</t>
        </is>
      </c>
      <c r="G41" s="2" t="inlineStr">
        <is>
          <t>Randomized Controlled Trial (Double-blind RCT)</t>
        </is>
      </c>
      <c r="H41" s="2" t="inlineStr">
        <is>
          <t>Prospective Cohort Study (Relative Risk: RR)</t>
        </is>
      </c>
      <c r="I41" s="8" t="inlineStr">
        <is>
          <t>1</t>
        </is>
      </c>
      <c r="J4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2" t="n"/>
      <c r="L41" s="2" t="inlineStr">
        <is>
          <t>รูปแบบการวิจัยทางคลินิก</t>
        </is>
      </c>
      <c r="M41" s="2" t="inlineStr">
        <is>
          <t>SAP</t>
        </is>
      </c>
      <c r="N41" s="2" t="inlineStr">
        <is>
          <t>ข้อ 3 (PLE_CC1_2533.md)</t>
        </is>
      </c>
      <c r="O41" s="2" t="inlineStr">
        <is>
          <t>ข้อสอบจริง</t>
        </is>
      </c>
      <c r="P41" s="2" t="inlineStr">
        <is>
          <t>ปี 2533</t>
        </is>
      </c>
    </row>
    <row r="42" ht="13.2" customHeight="1" s="49">
      <c r="A42" s="8" t="inlineStr">
        <is>
          <t>40</t>
        </is>
      </c>
      <c r="B42" s="2" t="inlineStr">
        <is>
          <t>Nested case-control studies</t>
        </is>
      </c>
      <c r="C42" s="2" t="n"/>
      <c r="D42" s="2" t="inlineStr">
        <is>
          <t>Randomized Controlled Trial (Double-blind RCT)</t>
        </is>
      </c>
      <c r="E42" s="2" t="inlineStr">
        <is>
          <t>Prospective Cohort Study (Relative Risk: RR)</t>
        </is>
      </c>
      <c r="F42" s="2" t="inlineStr">
        <is>
          <t>Case-Control Study (Odds Ratio: OR)</t>
        </is>
      </c>
      <c r="G42" s="2" t="inlineStr">
        <is>
          <t>Cross-Sectional Survey Prevalence Study</t>
        </is>
      </c>
      <c r="H42" s="2" t="inlineStr">
        <is>
          <t>Cost-Effectiveness Analysis (Incremental Cost-Effectiveness Ratio: ICER)</t>
        </is>
      </c>
      <c r="I42" s="8" t="inlineStr">
        <is>
          <t>1</t>
        </is>
      </c>
      <c r="J4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2" t="n"/>
      <c r="L42" s="2" t="inlineStr">
        <is>
          <t>รูปแบบการวิจัยทางคลินิก</t>
        </is>
      </c>
      <c r="M42" s="2" t="inlineStr">
        <is>
          <t>SAP</t>
        </is>
      </c>
      <c r="N42" s="2" t="inlineStr">
        <is>
          <t>ข้อ 4 (PLE_CC1_2533.md)</t>
        </is>
      </c>
      <c r="O42" s="2" t="inlineStr">
        <is>
          <t>ข้อสอบจริง</t>
        </is>
      </c>
      <c r="P42" s="2" t="inlineStr">
        <is>
          <t>ปี 2533</t>
        </is>
      </c>
    </row>
    <row r="43" ht="13.2" customHeight="1" s="49">
      <c r="A43" s="8" t="inlineStr">
        <is>
          <t>41</t>
        </is>
      </c>
      <c r="B43" s="2" t="inlineStr">
        <is>
          <t>จากข้อ 9 พบว่า odds ratio ของผู้ที่มีประวัติการมีเพศสัมพันธ์มาก่อนเทียบกับผู้ที่ไม่มีเพศสัมพันธ์มาก่อนเท่ากับ</t>
        </is>
      </c>
      <c r="C43" s="2" t="n"/>
      <c r="D43" s="2" t="inlineStr">
        <is>
          <t>8 (95% CI 2.4-9.8) หมายความว่าอย่างไร โรคระบบประสาท (Parkinson) สถานการณ์</t>
        </is>
      </c>
      <c r="E43" s="2" t="inlineStr">
        <is>
          <t>Cost-Effectiveness Analysis (Incremental Cost-Effectiveness Ratio: ICER)</t>
        </is>
      </c>
      <c r="F43" s="2" t="inlineStr">
        <is>
          <t>Cost-Utility Analysis (Quality-Adjusted Life Years: QALY)</t>
        </is>
      </c>
      <c r="G43" s="2" t="inlineStr">
        <is>
          <t>Cost-Benefit Analysis (Net Monetary Benefit)</t>
        </is>
      </c>
      <c r="H43" s="2" t="inlineStr">
        <is>
          <t>Cost-Minimization Analysis (CMA)</t>
        </is>
      </c>
      <c r="I43" s="8" t="inlineStr">
        <is>
          <t>1</t>
        </is>
      </c>
      <c r="J43" s="2"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2" t="n"/>
      <c r="L43" s="2" t="inlineStr">
        <is>
          <t>สถิติวิเคราะห์</t>
        </is>
      </c>
      <c r="M43" s="2" t="inlineStr">
        <is>
          <t>SAP</t>
        </is>
      </c>
      <c r="N43" s="2" t="inlineStr">
        <is>
          <t>ข้อ 10 (PLE_CC1_2533.md)</t>
        </is>
      </c>
      <c r="O43" s="2" t="inlineStr">
        <is>
          <t>ข้อสอบจริง</t>
        </is>
      </c>
      <c r="P43" s="2" t="inlineStr">
        <is>
          <t>ปี 2533</t>
        </is>
      </c>
    </row>
    <row r="44" ht="13.2" customHeight="1" s="49">
      <c r="A44" s="8" t="inlineStr">
        <is>
          <t>42</t>
        </is>
      </c>
      <c r="B44" s="2" t="inlineStr">
        <is>
          <t>ระเบียบวิจัยและสถิติ 384 390</t>
        </is>
      </c>
      <c r="C44" s="2" t="n"/>
      <c r="D44" s="2" t="inlineStr">
        <is>
          <t>Cost-Benefit Analysis (Net Monetary Benefit)</t>
        </is>
      </c>
      <c r="E44" s="2" t="inlineStr">
        <is>
          <t>Cost-Minimization Analysis (CMA)</t>
        </is>
      </c>
      <c r="F44" s="2" t="inlineStr">
        <is>
          <t>Student t-test for comparing two independent means</t>
        </is>
      </c>
      <c r="G44" s="2" t="inlineStr">
        <is>
          <t>Chi-Square Test for Categorical Independence (p &lt; 0.05)</t>
        </is>
      </c>
      <c r="H44" s="2" t="inlineStr">
        <is>
          <t>Randomized Controlled Trial (Double-blind RCT)</t>
        </is>
      </c>
      <c r="I44" s="8" t="inlineStr">
        <is>
          <t>5</t>
        </is>
      </c>
      <c r="J44" s="2"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2" t="n"/>
      <c r="L44" s="2" t="inlineStr">
        <is>
          <t>รูปแบบการวิจัยทางคลินิก</t>
        </is>
      </c>
      <c r="M44" s="2" t="inlineStr">
        <is>
          <t>SAP</t>
        </is>
      </c>
      <c r="N44" s="2" t="inlineStr">
        <is>
          <t>ข้อ 19 (PLE_CC1_Practice_Exam.md)</t>
        </is>
      </c>
      <c r="O44" s="2" t="inlineStr">
        <is>
          <t>Mock</t>
        </is>
      </c>
      <c r="P44" s="2" t="inlineStr">
        <is>
          <t>Mock สภาเภสัชฯ Practice</t>
        </is>
      </c>
    </row>
    <row r="45" ht="13.2" customHeight="1" s="49">
      <c r="A45" s="8" t="inlineStr">
        <is>
          <t>43</t>
        </is>
      </c>
      <c r="B45" s="2" t="inlineStr">
        <is>
          <t>ข้อใดบ่งบอกว่าผู้ป่วยรายนี้เป็น Myocardial Infarction</t>
        </is>
      </c>
      <c r="C45" s="2" t="n"/>
      <c r="D45" s="2" t="inlineStr">
        <is>
          <t>อาการเจ็บร้าวไปที่แขน ไหล่ หลัง</t>
        </is>
      </c>
      <c r="E45" s="2" t="inlineStr">
        <is>
          <t>ตรวจพบ Cardiac enzymes ในกระแสเลือด</t>
        </is>
      </c>
      <c r="F45" s="2" t="inlineStr">
        <is>
          <t>มีค่า Ejection fraction ลดลง</t>
        </is>
      </c>
      <c r="G45" s="2" t="inlineStr">
        <is>
          <t>มีอาการเจ็บเค้นหน้าอกเฉียบพลันขณะพัก</t>
        </is>
      </c>
      <c r="H45" s="2" t="inlineStr">
        <is>
          <t>มีอาการเจ็บเค้นหน้าอกมากกว่า 5 นาที</t>
        </is>
      </c>
      <c r="I45" s="8" t="inlineStr">
        <is>
          <t>1</t>
        </is>
      </c>
      <c r="J45" s="2"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2" t="n"/>
      <c r="L45" s="2" t="inlineStr">
        <is>
          <t>รูปแบบการวิจัยทางคลินิก</t>
        </is>
      </c>
      <c r="M45" s="2" t="inlineStr">
        <is>
          <t>SAP</t>
        </is>
      </c>
      <c r="N45" s="2" t="inlineStr">
        <is>
          <t>ข้อ 6 (PLE_CC1_Practice_Exam.md)</t>
        </is>
      </c>
      <c r="O45" s="2" t="inlineStr">
        <is>
          <t>Mock</t>
        </is>
      </c>
      <c r="P45" s="2" t="inlineStr">
        <is>
          <t>Mock สภาเภสัชฯ Practice</t>
        </is>
      </c>
    </row>
    <row r="46" ht="13.2" customHeight="1" s="49">
      <c r="A46" s="8" t="inlineStr">
        <is>
          <t>44</t>
        </is>
      </c>
      <c r="B46" s="2"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2" t="n"/>
      <c r="D46" s="2" t="inlineStr">
        <is>
          <t>Case-Control Study (Odds Ratio: OR)</t>
        </is>
      </c>
      <c r="E46" s="2" t="inlineStr">
        <is>
          <t>Cross-Sectional Survey Prevalence Study</t>
        </is>
      </c>
      <c r="F46" s="2" t="inlineStr">
        <is>
          <t>Cost-Effectiveness Analysis (Incremental Cost-Effectiveness Ratio: ICER)</t>
        </is>
      </c>
      <c r="G46" s="2" t="inlineStr">
        <is>
          <t>Cost-Utility Analysis (Quality-Adjusted Life Years: QALY)</t>
        </is>
      </c>
      <c r="H46" s="2" t="inlineStr">
        <is>
          <t>Cost-Benefit Analysis (Net Monetary Benefit)</t>
        </is>
      </c>
      <c r="I46" s="8" t="inlineStr">
        <is>
          <t>1</t>
        </is>
      </c>
      <c r="J46" s="2"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2" t="n"/>
      <c r="L46" s="2" t="inlineStr">
        <is>
          <t>รูปแบบการวิจัยทางคลินิก</t>
        </is>
      </c>
      <c r="M46" s="2" t="inlineStr">
        <is>
          <t>SAP</t>
        </is>
      </c>
      <c r="N46" s="2" t="inlineStr">
        <is>
          <t>ข้อ 40 (PLE_CC1_Practice_Exam.md)</t>
        </is>
      </c>
      <c r="O46" s="2" t="inlineStr">
        <is>
          <t>Mock</t>
        </is>
      </c>
      <c r="P46" s="2" t="inlineStr">
        <is>
          <t>Mock สภาเภสัชฯ Practice</t>
        </is>
      </c>
    </row>
    <row r="47" ht="13.2" customHeight="1" s="49">
      <c r="A47" s="8" t="inlineStr">
        <is>
          <t>45</t>
        </is>
      </c>
      <c r="B47" s="2" t="inlineStr">
        <is>
          <t>ระเบียบวิจัยและสถิติ โดย</t>
        </is>
      </c>
      <c r="C47" s="2" t="n"/>
      <c r="D47" s="2" t="inlineStr">
        <is>
          <t>Cost-Utility Analysis (Quality-Adjusted Life Years: QALY)</t>
        </is>
      </c>
      <c r="E47" s="2" t="inlineStr">
        <is>
          <t>Cost-Benefit Analysis (Net Monetary Benefit)</t>
        </is>
      </c>
      <c r="F47" s="2" t="inlineStr">
        <is>
          <t>Cost-Minimization Analysis (CMA)</t>
        </is>
      </c>
      <c r="G47" s="2" t="inlineStr">
        <is>
          <t>Student t-test for comparing two independent means</t>
        </is>
      </c>
      <c r="H47" s="2" t="inlineStr">
        <is>
          <t>Chi-Square Test for Categorical Independence (p &lt; 0.05)</t>
        </is>
      </c>
      <c r="I47" s="8" t="inlineStr">
        <is>
          <t>1</t>
        </is>
      </c>
      <c r="J4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2" t="n"/>
      <c r="L47" s="2" t="inlineStr">
        <is>
          <t>รูปแบบการวิจัยทางคลินิก</t>
        </is>
      </c>
      <c r="M47" s="2" t="inlineStr">
        <is>
          <t>SAP</t>
        </is>
      </c>
      <c r="N47" s="2" t="inlineStr">
        <is>
          <t>ข้อ 19 (PLE_CC1_Practice_Exam.md)</t>
        </is>
      </c>
      <c r="O47" s="2" t="inlineStr">
        <is>
          <t>Mock</t>
        </is>
      </c>
      <c r="P47" s="2" t="inlineStr">
        <is>
          <t>Mock สภาเภสัชฯ Practice</t>
        </is>
      </c>
    </row>
    <row r="48" ht="13.2" customHeight="1" s="49">
      <c r="A48" s="8" t="inlineStr">
        <is>
          <t>46</t>
        </is>
      </c>
      <c r="B48" s="2"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2" t="n"/>
      <c r="D48" s="2" t="inlineStr">
        <is>
          <t>Cross-sectional descriptive study</t>
        </is>
      </c>
      <c r="E48" s="2" t="inlineStr">
        <is>
          <t>Cross-sectional analytical study</t>
        </is>
      </c>
      <c r="F48" s="2" t="inlineStr">
        <is>
          <t>Cohort study</t>
        </is>
      </c>
      <c r="G48" s="2" t="inlineStr">
        <is>
          <t>Case control</t>
        </is>
      </c>
      <c r="H48" s="2" t="inlineStr">
        <is>
          <t>RCT</t>
        </is>
      </c>
      <c r="I48" s="8" t="inlineStr">
        <is>
          <t>1</t>
        </is>
      </c>
      <c r="J48"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2" t="n"/>
      <c r="L48" s="2" t="inlineStr">
        <is>
          <t>รูปแบบการวิจัยทางคลินิก</t>
        </is>
      </c>
      <c r="M48" s="2" t="inlineStr">
        <is>
          <t>SAP</t>
        </is>
      </c>
      <c r="N48" s="2" t="inlineStr">
        <is>
          <t>ข้อ 1 (PLE_CC1_Practice_Exam.md)</t>
        </is>
      </c>
      <c r="O48" s="2" t="inlineStr">
        <is>
          <t>Mock</t>
        </is>
      </c>
      <c r="P48" s="2" t="inlineStr">
        <is>
          <t>Mock สภาเภสัชฯ Practice</t>
        </is>
      </c>
    </row>
    <row r="49" ht="13.2" customHeight="1" s="49">
      <c r="A49" s="8" t="inlineStr">
        <is>
          <t>47</t>
        </is>
      </c>
      <c r="B49" s="2"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2" t="n"/>
      <c r="D49" s="2" t="inlineStr">
        <is>
          <t>Cross-sectional descriptive study</t>
        </is>
      </c>
      <c r="E49" s="2" t="inlineStr">
        <is>
          <t>Cross-sectional analytical study</t>
        </is>
      </c>
      <c r="F49" s="2" t="inlineStr">
        <is>
          <t>Retrospective cohort study</t>
        </is>
      </c>
      <c r="G49" s="2" t="inlineStr">
        <is>
          <t>Prospective case control</t>
        </is>
      </c>
      <c r="H49" s="2" t="inlineStr">
        <is>
          <t>Randomized controlled trial</t>
        </is>
      </c>
      <c r="I49" s="8" t="inlineStr">
        <is>
          <t>1</t>
        </is>
      </c>
      <c r="J49" s="2"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2" t="n"/>
      <c r="L49" s="2" t="inlineStr">
        <is>
          <t>รูปแบบการวิจัยทางคลินิก</t>
        </is>
      </c>
      <c r="M49" s="2" t="inlineStr">
        <is>
          <t>SAP</t>
        </is>
      </c>
      <c r="N49" s="2" t="inlineStr">
        <is>
          <t>ข้อ 2 (PLE_CC1_Practice_Exam.md)</t>
        </is>
      </c>
      <c r="O49" s="2" t="inlineStr">
        <is>
          <t>Mock</t>
        </is>
      </c>
      <c r="P49" s="2" t="inlineStr">
        <is>
          <t>Mock สภาเภสัชฯ Practice</t>
        </is>
      </c>
    </row>
    <row r="50" ht="13.2" customHeight="1" s="49">
      <c r="A50" s="8" t="inlineStr">
        <is>
          <t>48</t>
        </is>
      </c>
      <c r="B50" s="2"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2" t="n"/>
      <c r="D50" s="2" t="inlineStr">
        <is>
          <t>Meta-analysis , RCT</t>
        </is>
      </c>
      <c r="E50" s="2" t="inlineStr">
        <is>
          <t>Meta-analysis , Case control</t>
        </is>
      </c>
      <c r="F50" s="2" t="inlineStr">
        <is>
          <t>RCT , Cohort</t>
        </is>
      </c>
      <c r="G50" s="2" t="inlineStr">
        <is>
          <t>Cohort , Case control</t>
        </is>
      </c>
      <c r="H50" s="2" t="inlineStr">
        <is>
          <t>Cohort , Case series</t>
        </is>
      </c>
      <c r="I50" s="8" t="inlineStr">
        <is>
          <t>1</t>
        </is>
      </c>
      <c r="J50" s="2"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2" t="n"/>
      <c r="L50" s="2" t="inlineStr">
        <is>
          <t>รูปแบบการวิจัยทางคลินิก</t>
        </is>
      </c>
      <c r="M50" s="2" t="inlineStr">
        <is>
          <t>SAP</t>
        </is>
      </c>
      <c r="N50" s="2" t="inlineStr">
        <is>
          <t>ข้อ 6 (PLE_CC1_Practice_Exam.md)</t>
        </is>
      </c>
      <c r="O50" s="2" t="inlineStr">
        <is>
          <t>Mock</t>
        </is>
      </c>
      <c r="P50" s="2" t="inlineStr">
        <is>
          <t>Mock สภาเภสัชฯ Practice</t>
        </is>
      </c>
    </row>
    <row r="51" ht="13.2" customHeight="1" s="49">
      <c r="A51" s="8" t="inlineStr">
        <is>
          <t>49</t>
        </is>
      </c>
      <c r="B51" s="2" t="inlineStr">
        <is>
          <t>.ถ้าอยากหาความสัมพันธ์ระหว่างไมเกรนกับปัจจัยความเครียด ควรเลือกใช้สถิติใด</t>
        </is>
      </c>
      <c r="C51" s="2" t="n"/>
      <c r="D51" s="2" t="inlineStr">
        <is>
          <t>Chi square test</t>
        </is>
      </c>
      <c r="E51" s="2" t="inlineStr">
        <is>
          <t>T-test</t>
        </is>
      </c>
      <c r="F51" s="2" t="inlineStr">
        <is>
          <t>ANOVA</t>
        </is>
      </c>
      <c r="G51" s="2" t="inlineStr">
        <is>
          <t>Correlation</t>
        </is>
      </c>
      <c r="H51" s="2" t="inlineStr">
        <is>
          <t>Regression</t>
        </is>
      </c>
      <c r="I51" s="8" t="inlineStr">
        <is>
          <t>1</t>
        </is>
      </c>
      <c r="J51" s="2"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2" t="n"/>
      <c r="L51" s="2" t="inlineStr">
        <is>
          <t>รูปแบบการวิจัยทางคลินิก</t>
        </is>
      </c>
      <c r="M51" s="2" t="inlineStr">
        <is>
          <t>SAP</t>
        </is>
      </c>
      <c r="N51" s="2" t="inlineStr">
        <is>
          <t>ข้อ 10 (PLE_CC1_Practice_Exam.md)</t>
        </is>
      </c>
      <c r="O51" s="2" t="inlineStr">
        <is>
          <t>Mock</t>
        </is>
      </c>
      <c r="P51" s="2" t="inlineStr">
        <is>
          <t>Mock สภาเภสัชฯ Practice</t>
        </is>
      </c>
    </row>
    <row r="52" ht="13.2" customHeight="1" s="49">
      <c r="A52" s="8" t="inlineStr">
        <is>
          <t>50</t>
        </is>
      </c>
      <c r="B52" s="2"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2" t="n"/>
      <c r="D52" s="2" t="inlineStr">
        <is>
          <t>Unpaired t-test</t>
        </is>
      </c>
      <c r="E52" s="2" t="inlineStr">
        <is>
          <t>Paired t-test</t>
        </is>
      </c>
      <c r="F52" s="2" t="inlineStr">
        <is>
          <t>Chi-square test 386 ระเบียบวิจัยและสถิติ</t>
        </is>
      </c>
      <c r="G52" s="2" t="inlineStr">
        <is>
          <t>Analysis of variance</t>
        </is>
      </c>
      <c r="H52" s="2" t="inlineStr">
        <is>
          <t>Correlation</t>
        </is>
      </c>
      <c r="I52" s="8" t="inlineStr">
        <is>
          <t>1</t>
        </is>
      </c>
      <c r="J52"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2" t="n"/>
      <c r="L52" s="2" t="inlineStr">
        <is>
          <t>รูปแบบการวิจัยทางคลินิก</t>
        </is>
      </c>
      <c r="M52" s="2" t="inlineStr">
        <is>
          <t>SAP</t>
        </is>
      </c>
      <c r="N52" s="2" t="inlineStr">
        <is>
          <t>ข้อ 11 (PLE_CC1_Practice_Exam.md)</t>
        </is>
      </c>
      <c r="O52" s="2" t="inlineStr">
        <is>
          <t>Mock</t>
        </is>
      </c>
      <c r="P52" s="2" t="inlineStr">
        <is>
          <t>Mock สภาเภสัชฯ Practice</t>
        </is>
      </c>
    </row>
    <row r="53" ht="13.2" customHeight="1" s="49">
      <c r="A53" s="8" t="inlineStr">
        <is>
          <t>51</t>
        </is>
      </c>
      <c r="B53" s="2"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2" t="n"/>
      <c r="D53" s="2" t="inlineStr">
        <is>
          <t>Unpaired t-test</t>
        </is>
      </c>
      <c r="E53" s="2" t="inlineStr">
        <is>
          <t>Paired t-test</t>
        </is>
      </c>
      <c r="F53" s="2" t="inlineStr">
        <is>
          <t>Chi-square test</t>
        </is>
      </c>
      <c r="G53" s="2" t="inlineStr">
        <is>
          <t>Analysis of variance</t>
        </is>
      </c>
      <c r="H53" s="2" t="inlineStr">
        <is>
          <t>Correlation</t>
        </is>
      </c>
      <c r="I53" s="8" t="inlineStr">
        <is>
          <t>1</t>
        </is>
      </c>
      <c r="J53"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2" t="n"/>
      <c r="L53" s="2" t="inlineStr">
        <is>
          <t>รูปแบบการวิจัยทางคลินิก</t>
        </is>
      </c>
      <c r="M53" s="2" t="inlineStr">
        <is>
          <t>SAP</t>
        </is>
      </c>
      <c r="N53" s="2" t="inlineStr">
        <is>
          <t>ข้อ 12 (PLE_CC1_Practice_Exam.md)</t>
        </is>
      </c>
      <c r="O53" s="2" t="inlineStr">
        <is>
          <t>Mock</t>
        </is>
      </c>
      <c r="P53" s="2" t="inlineStr">
        <is>
          <t>Mock สภาเภสัชฯ Practice</t>
        </is>
      </c>
    </row>
    <row r="54" ht="13.2" customHeight="1" s="49">
      <c r="A54" s="8" t="inlineStr">
        <is>
          <t>52</t>
        </is>
      </c>
      <c r="B54" s="2"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2" t="n"/>
      <c r="D54" s="2" t="inlineStr">
        <is>
          <t>Unpaired t-test</t>
        </is>
      </c>
      <c r="E54" s="2" t="inlineStr">
        <is>
          <t>Paired t-test</t>
        </is>
      </c>
      <c r="F54" s="2" t="inlineStr">
        <is>
          <t>Chi-square test</t>
        </is>
      </c>
      <c r="G54" s="2" t="inlineStr">
        <is>
          <t>Analysis of variance</t>
        </is>
      </c>
      <c r="H54" s="2" t="inlineStr">
        <is>
          <t>Correlation</t>
        </is>
      </c>
      <c r="I54" s="8" t="inlineStr">
        <is>
          <t>1</t>
        </is>
      </c>
      <c r="J54"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2" t="n"/>
      <c r="L54" s="2" t="inlineStr">
        <is>
          <t>รูปแบบการวิจัยทางคลินิก</t>
        </is>
      </c>
      <c r="M54" s="2" t="inlineStr">
        <is>
          <t>SAP</t>
        </is>
      </c>
      <c r="N54" s="2" t="inlineStr">
        <is>
          <t>ข้อ 13 (PLE_CC1_Practice_Exam.md)</t>
        </is>
      </c>
      <c r="O54" s="2" t="inlineStr">
        <is>
          <t>Mock</t>
        </is>
      </c>
      <c r="P54" s="2" t="inlineStr">
        <is>
          <t>Mock สภาเภสัชฯ Practice</t>
        </is>
      </c>
    </row>
    <row r="55" ht="13.2" customHeight="1" s="49">
      <c r="A55" s="8" t="inlineStr">
        <is>
          <t>53</t>
        </is>
      </c>
      <c r="B55" s="2"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2" t="n"/>
      <c r="D55" s="2" t="inlineStr">
        <is>
          <t>Unpaired t-test</t>
        </is>
      </c>
      <c r="E55" s="2" t="inlineStr">
        <is>
          <t>Paired t-test</t>
        </is>
      </c>
      <c r="F55" s="2" t="inlineStr">
        <is>
          <t>Chi-square test</t>
        </is>
      </c>
      <c r="G55" s="2" t="inlineStr">
        <is>
          <t>One-way ANOVA</t>
        </is>
      </c>
      <c r="H55" s="2" t="inlineStr">
        <is>
          <t>Correlation</t>
        </is>
      </c>
      <c r="I55" s="8" t="inlineStr">
        <is>
          <t>1</t>
        </is>
      </c>
      <c r="J55"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2" t="n"/>
      <c r="L55" s="2" t="inlineStr">
        <is>
          <t>รูปแบบการวิจัยทางคลินิก</t>
        </is>
      </c>
      <c r="M55" s="2" t="inlineStr">
        <is>
          <t>SAP</t>
        </is>
      </c>
      <c r="N55" s="2" t="inlineStr">
        <is>
          <t>ข้อ 14 (PLE_CC1_Practice_Exam.md)</t>
        </is>
      </c>
      <c r="O55" s="2" t="inlineStr">
        <is>
          <t>Mock</t>
        </is>
      </c>
      <c r="P55" s="2" t="inlineStr">
        <is>
          <t>Mock สภาเภสัชฯ Practice</t>
        </is>
      </c>
    </row>
    <row r="56" ht="13.2" customHeight="1" s="49">
      <c r="A56" s="8" t="inlineStr">
        <is>
          <t>54</t>
        </is>
      </c>
      <c r="B56" s="2"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2" t="n"/>
      <c r="D56" s="2" t="inlineStr">
        <is>
          <t>Unpaired t-test</t>
        </is>
      </c>
      <c r="E56" s="2" t="inlineStr">
        <is>
          <t>Paired t-test</t>
        </is>
      </c>
      <c r="F56" s="2" t="inlineStr">
        <is>
          <t>Chi-square test 387 ระเบียบวิจัยและสถิติ</t>
        </is>
      </c>
      <c r="G56" s="2" t="inlineStr">
        <is>
          <t>One-way ANOVA</t>
        </is>
      </c>
      <c r="H56" s="2" t="inlineStr">
        <is>
          <t>Two-way ANOVA</t>
        </is>
      </c>
      <c r="I56" s="8" t="inlineStr">
        <is>
          <t>1</t>
        </is>
      </c>
      <c r="J56"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2" t="n"/>
      <c r="L56" s="2" t="inlineStr">
        <is>
          <t>รูปแบบการวิจัยทางคลินิก</t>
        </is>
      </c>
      <c r="M56" s="2" t="inlineStr">
        <is>
          <t>SAP</t>
        </is>
      </c>
      <c r="N56" s="2" t="inlineStr">
        <is>
          <t>ข้อ 15 (PLE_CC1_Practice_Exam.md)</t>
        </is>
      </c>
      <c r="O56" s="2" t="inlineStr">
        <is>
          <t>Mock</t>
        </is>
      </c>
      <c r="P56" s="2" t="inlineStr">
        <is>
          <t>Mock สภาเภสัชฯ Practice</t>
        </is>
      </c>
    </row>
    <row r="57" ht="13.2" customHeight="1" s="49">
      <c r="A57" s="8" t="inlineStr">
        <is>
          <t>55</t>
        </is>
      </c>
      <c r="B57" s="2"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2" t="n"/>
      <c r="D57" s="2" t="inlineStr">
        <is>
          <t>Unpaired t-test</t>
        </is>
      </c>
      <c r="E57" s="2" t="inlineStr">
        <is>
          <t>Paired t-test</t>
        </is>
      </c>
      <c r="F57" s="2" t="inlineStr">
        <is>
          <t>Chi-square test</t>
        </is>
      </c>
      <c r="G57" s="2" t="inlineStr">
        <is>
          <t>One-way ANOVA</t>
        </is>
      </c>
      <c r="H57" s="2" t="inlineStr">
        <is>
          <t>Two-way ANOVA</t>
        </is>
      </c>
      <c r="I57" s="8" t="inlineStr">
        <is>
          <t>1</t>
        </is>
      </c>
      <c r="J57" s="2"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2" t="n"/>
      <c r="L57" s="2" t="inlineStr">
        <is>
          <t>รูปแบบการวิจัยทางคลินิก</t>
        </is>
      </c>
      <c r="M57" s="2" t="inlineStr">
        <is>
          <t>SAP</t>
        </is>
      </c>
      <c r="N57" s="2" t="inlineStr">
        <is>
          <t>ข้อ 16 (PLE_CC1_Practice_Exam.md)</t>
        </is>
      </c>
      <c r="O57" s="2" t="inlineStr">
        <is>
          <t>Mock</t>
        </is>
      </c>
      <c r="P57" s="2" t="inlineStr">
        <is>
          <t>Mock สภาเภสัชฯ Practice</t>
        </is>
      </c>
    </row>
    <row r="58" ht="13.2" customHeight="1" s="49">
      <c r="A58" s="8" t="inlineStr">
        <is>
          <t>56</t>
        </is>
      </c>
      <c r="B58" s="2"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2" t="n"/>
      <c r="D58" s="2" t="inlineStr">
        <is>
          <t>Chi-square test</t>
        </is>
      </c>
      <c r="E58" s="2" t="inlineStr">
        <is>
          <t>Unpaired t-test</t>
        </is>
      </c>
      <c r="F58" s="2" t="inlineStr">
        <is>
          <t>Paired t-test 388 ระเบียบวิจัยและสถิติ</t>
        </is>
      </c>
      <c r="G58" s="2" t="inlineStr">
        <is>
          <t>ANOVA</t>
        </is>
      </c>
      <c r="H58" s="2" t="inlineStr">
        <is>
          <t>Correlation</t>
        </is>
      </c>
      <c r="I58" s="8" t="inlineStr">
        <is>
          <t>1</t>
        </is>
      </c>
      <c r="J58" s="2"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2" t="n"/>
      <c r="L58" s="2" t="inlineStr">
        <is>
          <t>รูปแบบการวิจัยทางคลินิก</t>
        </is>
      </c>
      <c r="M58" s="2" t="inlineStr">
        <is>
          <t>SAP</t>
        </is>
      </c>
      <c r="N58" s="2" t="inlineStr">
        <is>
          <t>ข้อ 18 (PLE_CC1_Practice_Exam.md)</t>
        </is>
      </c>
      <c r="O58" s="2" t="inlineStr">
        <is>
          <t>Mock</t>
        </is>
      </c>
      <c r="P58" s="2" t="inlineStr">
        <is>
          <t>Mock สภาเภสัชฯ Practice</t>
        </is>
      </c>
    </row>
    <row r="59" ht="13.2" customHeight="1" s="49">
      <c r="A59" s="8" t="inlineStr">
        <is>
          <t>57</t>
        </is>
      </c>
      <c r="B59" s="2" t="inlineStr">
        <is>
          <t>การทดสอบอาการข้างเคียงหลัก 2 อาการของยา Rizatriptan ในกลุ่มทดลอง 3 กลุ่มว่าต่างกันหรือไม่ ควรใช้สถิติใดในการวิเคราะห์</t>
        </is>
      </c>
      <c r="C59" s="2" t="n"/>
      <c r="D59" s="2" t="inlineStr">
        <is>
          <t>Unpaired t-test</t>
        </is>
      </c>
      <c r="E59" s="2" t="inlineStr">
        <is>
          <t>Paired t-test</t>
        </is>
      </c>
      <c r="F59" s="2" t="inlineStr">
        <is>
          <t>Chi-square test</t>
        </is>
      </c>
      <c r="G59" s="2" t="inlineStr">
        <is>
          <t>One way ANOVA</t>
        </is>
      </c>
      <c r="H59" s="2" t="inlineStr">
        <is>
          <t>Three way ANOVA 389 ระเบียบวิจัยและสถิติ</t>
        </is>
      </c>
      <c r="I59" s="8" t="inlineStr">
        <is>
          <t>5</t>
        </is>
      </c>
      <c r="J59" s="2" t="inlineStr">
        <is>
          <t xml:space="preserve">✅ คำตอบที่ถูกต้อง: ข้อ จ. Three way ANOVA 389 ระเบียบวิจัยและสถิติ ฝ่ายวิชาการและนักศึกษาชั้นปีที่ 4 คณะเภสัชศาสตร์ 
💡 Background:
การประเมินหลักฐานเชิงประจักษ์ (Evidence-Based Practice) อาศัย study design, statistical parameters (p-value, 95% CI, RR/OR) เพื่อการตัดสินใจอย่างแม่นยำ
🎯 ทำไมข้อนี้ถึงถูก:
Three way ANOVA 389 ระเบียบวิจัยและสถิติ ฝ่ายวิชาการและนักศึกษาชั้นปีที่ 4 คณะเภสัชศาสตร์ </t>
        </is>
      </c>
      <c r="K59" s="2" t="n"/>
      <c r="L59" s="2" t="inlineStr">
        <is>
          <t>รูปแบบการวิจัยทางคลินิก</t>
        </is>
      </c>
      <c r="M59" s="2" t="inlineStr">
        <is>
          <t>SAP</t>
        </is>
      </c>
      <c r="N59" s="2" t="inlineStr">
        <is>
          <t>ข้อ 20 (PLE_CC1_Practice_Exam.md)</t>
        </is>
      </c>
      <c r="O59" s="2" t="inlineStr">
        <is>
          <t>Mock</t>
        </is>
      </c>
      <c r="P59" s="2" t="inlineStr">
        <is>
          <t>Mock สภาเภสัชฯ Practice</t>
        </is>
      </c>
    </row>
    <row r="60" ht="13.2" customHeight="1" s="49">
      <c r="A60" s="8" t="inlineStr">
        <is>
          <t>58</t>
        </is>
      </c>
      <c r="B60" s="2" t="inlineStr">
        <is>
          <t>Peak plasma drug concentration (Cmax)</t>
        </is>
      </c>
      <c r="C60" s="2" t="n"/>
      <c r="D60" s="2" t="inlineStr">
        <is>
          <t>Cost-Effectiveness Analysis (Incremental Cost-Effectiveness Ratio: ICER)</t>
        </is>
      </c>
      <c r="E60" s="2" t="inlineStr">
        <is>
          <t>Cost-Utility Analysis (Quality-Adjusted Life Years: QALY)</t>
        </is>
      </c>
      <c r="F60" s="2" t="inlineStr">
        <is>
          <t>Cost-Benefit Analysis (Net Monetary Benefit)</t>
        </is>
      </c>
      <c r="G60" s="2" t="inlineStr">
        <is>
          <t>Cost-Minimization Analysis (CMA)</t>
        </is>
      </c>
      <c r="H60" s="2" t="inlineStr">
        <is>
          <t>Student t-test for comparing two independent means</t>
        </is>
      </c>
      <c r="I60" s="8" t="inlineStr">
        <is>
          <t>1</t>
        </is>
      </c>
      <c r="J60" s="2"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2" t="n"/>
      <c r="L60" s="2" t="inlineStr">
        <is>
          <t>วิธีประเมินต้นทุนและประสิทธิผล</t>
        </is>
      </c>
      <c r="M60" s="2" t="inlineStr">
        <is>
          <t>SAP</t>
        </is>
      </c>
      <c r="N60" s="2" t="inlineStr">
        <is>
          <t>ข้อ 2 (PLE_CC1_Key_Rx20_UBU.md)</t>
        </is>
      </c>
      <c r="O60" s="2" t="inlineStr">
        <is>
          <t>Mock</t>
        </is>
      </c>
      <c r="P60" s="2" t="inlineStr">
        <is>
          <t>Mock Rx20 UBU</t>
        </is>
      </c>
    </row>
    <row r="61" ht="13.2" customHeight="1" s="49">
      <c r="A61" s="8" t="inlineStr">
        <is>
          <t>59</t>
        </is>
      </c>
      <c r="B61" s="2"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2" t="n"/>
      <c r="D61" s="2" t="inlineStr">
        <is>
          <t>Cost-Minimization Analysis (CMA)</t>
        </is>
      </c>
      <c r="E61" s="2" t="inlineStr">
        <is>
          <t>Student t-test for comparing two independent means</t>
        </is>
      </c>
      <c r="F61" s="2" t="inlineStr">
        <is>
          <t>Chi-Square Test for Categorical Independence (p &lt; 0.05)</t>
        </is>
      </c>
      <c r="G61" s="2" t="inlineStr">
        <is>
          <t>Randomized Controlled Trial (Double-blind RCT)</t>
        </is>
      </c>
      <c r="H61" s="2" t="inlineStr">
        <is>
          <t>Prospective Cohort Study (Relative Risk: RR)</t>
        </is>
      </c>
      <c r="I61" s="8" t="inlineStr">
        <is>
          <t>1</t>
        </is>
      </c>
      <c r="J61" s="2"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2" t="n"/>
      <c r="L61" s="2" t="inlineStr">
        <is>
          <t>รูปแบบการวิจัยทางคลินิก</t>
        </is>
      </c>
      <c r="M61" s="2" t="inlineStr">
        <is>
          <t>SAP</t>
        </is>
      </c>
      <c r="N61" s="2" t="inlineStr">
        <is>
          <t>ข้อ 13 (PLE_CC1_Key_Rx20_UBU.md)</t>
        </is>
      </c>
      <c r="O61" s="2" t="inlineStr">
        <is>
          <t>Mock</t>
        </is>
      </c>
      <c r="P61" s="2" t="inlineStr">
        <is>
          <t>Mock Rx20 UBU</t>
        </is>
      </c>
    </row>
    <row r="62" ht="13.2" customHeight="1" s="49">
      <c r="A62" s="8" t="inlineStr">
        <is>
          <t>60</t>
        </is>
      </c>
      <c r="B62" s="2" t="inlineStr">
        <is>
          <t>สำนักงานวิจัยระบบสาธารณสุข (สวรส.)</t>
        </is>
      </c>
      <c r="C62" s="2" t="n"/>
      <c r="D62" s="2" t="inlineStr">
        <is>
          <t>Randomized Controlled Trial (Double-blind RCT)</t>
        </is>
      </c>
      <c r="E62" s="2" t="inlineStr">
        <is>
          <t>Prospective Cohort Study (Relative Risk: RR)</t>
        </is>
      </c>
      <c r="F62" s="2" t="inlineStr">
        <is>
          <t>Case-Control Study (Odds Ratio: OR)</t>
        </is>
      </c>
      <c r="G62" s="2" t="inlineStr">
        <is>
          <t>Cross-Sectional Survey Prevalence Study</t>
        </is>
      </c>
      <c r="H62" s="2" t="inlineStr">
        <is>
          <t>Cost-Effectiveness Analysis (Incremental Cost-Effectiveness Ratio: ICER)</t>
        </is>
      </c>
      <c r="I62" s="8" t="inlineStr">
        <is>
          <t>1</t>
        </is>
      </c>
      <c r="J62" s="2"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2" t="n"/>
      <c r="L62" s="2" t="inlineStr">
        <is>
          <t>รูปแบบการวิจัยทางคลินิก</t>
        </is>
      </c>
      <c r="M62" s="2" t="inlineStr">
        <is>
          <t>SAP</t>
        </is>
      </c>
      <c r="N62" s="2" t="inlineStr">
        <is>
          <t>ข้อ 1 (PLE_CC1_Key_Rx20_UBU.md)</t>
        </is>
      </c>
      <c r="O62" s="2" t="inlineStr">
        <is>
          <t>Mock</t>
        </is>
      </c>
      <c r="P62" s="2" t="inlineStr">
        <is>
          <t>Mock Rx20 UBU</t>
        </is>
      </c>
    </row>
    <row r="63" ht="13.2" customHeight="1" s="49">
      <c r="A63" s="8" t="inlineStr">
        <is>
          <t>61</t>
        </is>
      </c>
      <c r="B63" s="2"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2" t="n"/>
      <c r="D63" s="2" t="inlineStr">
        <is>
          <t>Cross-Sectional Survey Prevalence Study</t>
        </is>
      </c>
      <c r="E63" s="2" t="inlineStr">
        <is>
          <t>Cost-Effectiveness Analysis (Incremental Cost-Effectiveness Ratio: ICER)</t>
        </is>
      </c>
      <c r="F63" s="2" t="inlineStr">
        <is>
          <t>Cost-Utility Analysis (Quality-Adjusted Life Years: QALY)</t>
        </is>
      </c>
      <c r="G63" s="2" t="inlineStr">
        <is>
          <t>Cost-Benefit Analysis (Net Monetary Benefit)</t>
        </is>
      </c>
      <c r="H63" s="2" t="inlineStr">
        <is>
          <t>Cost-Minimization Analysis (CMA)</t>
        </is>
      </c>
      <c r="I63" s="8" t="inlineStr">
        <is>
          <t>1</t>
        </is>
      </c>
      <c r="J6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2" t="n"/>
      <c r="L63" s="2" t="inlineStr">
        <is>
          <t>รูปแบบการวิจัยทางคลินิก</t>
        </is>
      </c>
      <c r="M63" s="2" t="inlineStr">
        <is>
          <t>SAP</t>
        </is>
      </c>
      <c r="N63" s="2" t="inlineStr">
        <is>
          <t>ข้อ 4 (PLE_CC1_Key_Rx20_UBU.md)</t>
        </is>
      </c>
      <c r="O63" s="2" t="inlineStr">
        <is>
          <t>Mock</t>
        </is>
      </c>
      <c r="P63" s="2" t="inlineStr">
        <is>
          <t>Mock Rx20 UBU</t>
        </is>
      </c>
    </row>
    <row r="64" ht="13.2" customHeight="1" s="49">
      <c r="A64" s="8" t="inlineStr">
        <is>
          <t>62</t>
        </is>
      </c>
      <c r="B64" s="2" t="inlineStr">
        <is>
          <t>ยาใดตGอไปนี้ ไมGมีผลลดอัตราการตายสำหรับผู$ป&amp;วย myocardial infarction</t>
        </is>
      </c>
      <c r="C64" s="2" t="n"/>
      <c r="D64" s="2" t="inlineStr">
        <is>
          <t>Simvastatin</t>
        </is>
      </c>
      <c r="E64" s="2" t="inlineStr">
        <is>
          <t>Enalapril</t>
        </is>
      </c>
      <c r="F64" s="2" t="inlineStr">
        <is>
          <t>Aspirin</t>
        </is>
      </c>
      <c r="G64" s="2" t="inlineStr">
        <is>
          <t>Clopidogrel</t>
        </is>
      </c>
      <c r="H64" s="2" t="inlineStr">
        <is>
          <t>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t>
        </is>
      </c>
      <c r="I64" s="8" t="inlineStr">
        <is>
          <t>5</t>
        </is>
      </c>
      <c r="J64" s="2" t="inlineStr">
        <is>
          <t>✅ คำตอบที่ถูกต้อง: ข้อ จ.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มีการศึกษารองรับในผู$ป&amp;วย MI วGาสามารถชGวยลดอัตราการตายได$ สGวนยาในกลุGม CCBs ยังไมGไมGการศึกษาสนับสนุนวGาชGวยลดอัตราการตายในผู$ป&amp;วย MI ได$ แตGสามารถพิจารณาใช$ยากลุGม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มีการศึกษารองรับในผู$ป&amp;วย MI ว G าสามารถช G วยลดอัตราการตายได$ ส G วนยาในกลุ G ม CCBs ยังไม G ไม G การศึกษาสนับสนุนว G าช G วยลดอัตราการตายในผู$ป&amp;วย MI ได$ แต G สามารถพิจารณาใช$ยากลุ G ม CCBs ในกรณีที่ผู$ป&amp;วยมีข$อห$ามใช$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2" t="n"/>
      <c r="L64" s="2" t="inlineStr">
        <is>
          <t>รูปแบบการวิจัยทางคลินิก</t>
        </is>
      </c>
      <c r="M64" s="2" t="inlineStr">
        <is>
          <t>SAP</t>
        </is>
      </c>
      <c r="N64" s="2" t="inlineStr">
        <is>
          <t>ข้อ 27 (PLE_CC1_Key_Rx20_UBU.md)</t>
        </is>
      </c>
      <c r="O64" s="2" t="inlineStr">
        <is>
          <t>Mock</t>
        </is>
      </c>
      <c r="P64" s="2" t="inlineStr">
        <is>
          <t>Mock Rx20 UBU</t>
        </is>
      </c>
    </row>
    <row r="65" ht="13.2" customHeight="1" s="49">
      <c r="A65" s="8" t="inlineStr">
        <is>
          <t>63</t>
        </is>
      </c>
      <c r="B65" s="2" t="inlineStr">
        <is>
          <t>ยาในข$อใดสามารถใช$เปญนยาปนองกัน (primary prophylaxis) สำหรับภาวะ variceal bleeding (1) Octreotide (2) Pantoprazole (3) Somatostatin (4) Propranolol (5) Lactulose</t>
        </is>
      </c>
      <c r="C65" s="2" t="n"/>
      <c r="D65" s="2" t="inlineStr">
        <is>
          <t>Chi-Square Test for Categorical Independence (p &lt; 0.05)</t>
        </is>
      </c>
      <c r="E65" s="2" t="inlineStr">
        <is>
          <t>Randomized Controlled Trial (Double-blind RCT)</t>
        </is>
      </c>
      <c r="F65" s="2" t="inlineStr">
        <is>
          <t>Prospective Cohort Study (Relative Risk: RR)</t>
        </is>
      </c>
      <c r="G65" s="2" t="inlineStr">
        <is>
          <t>Case-Control Study (Odds Ratio: OR)</t>
        </is>
      </c>
      <c r="H65" s="2" t="inlineStr">
        <is>
          <t>Cross-Sectional Survey Prevalence Study</t>
        </is>
      </c>
      <c r="I65" s="8" t="inlineStr">
        <is>
          <t>1</t>
        </is>
      </c>
      <c r="J65" s="2"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2" t="n"/>
      <c r="L65" s="2" t="inlineStr">
        <is>
          <t>วิธีประเมินต้นทุนและประสิทธิผล</t>
        </is>
      </c>
      <c r="M65" s="2" t="inlineStr">
        <is>
          <t>SAP</t>
        </is>
      </c>
      <c r="N65" s="2" t="inlineStr">
        <is>
          <t>ข้อ 56 (PLE_CC1_Key_Rx20_UBU.md)</t>
        </is>
      </c>
      <c r="O65" s="2" t="inlineStr">
        <is>
          <t>Mock</t>
        </is>
      </c>
      <c r="P65" s="2" t="inlineStr">
        <is>
          <t>Mock Rx20 UBU</t>
        </is>
      </c>
    </row>
    <row r="66" ht="13.2" customHeight="1" s="49">
      <c r="A66" s="8" t="inlineStr">
        <is>
          <t>64</t>
        </is>
      </c>
      <c r="B66" s="2" t="inlineStr">
        <is>
          <t>จงคำนวณป3สุขภาวะ หากในระยะเวลา 8.4 เดือน ผู$ป&amp;วยมีคุณภาพชีวิตเทGากับ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2" t="n"/>
      <c r="D66" s="2" t="inlineStr">
        <is>
          <t>Case-Control Study (Odds Ratio: OR)</t>
        </is>
      </c>
      <c r="E66" s="2" t="inlineStr">
        <is>
          <t>Cross-Sectional Survey Prevalence Study</t>
        </is>
      </c>
      <c r="F66" s="2" t="inlineStr">
        <is>
          <t>Cost-Effectiveness Analysis (Incremental Cost-Effectiveness Ratio: ICER)</t>
        </is>
      </c>
      <c r="G66" s="2" t="inlineStr">
        <is>
          <t>Cost-Utility Analysis (Quality-Adjusted Life Years: QALY)</t>
        </is>
      </c>
      <c r="H66" s="2" t="inlineStr">
        <is>
          <t>Cost-Benefit Analysis (Net Monetary Benefit)</t>
        </is>
      </c>
      <c r="I66" s="8" t="inlineStr">
        <is>
          <t>1</t>
        </is>
      </c>
      <c r="J66" s="2"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2" t="n"/>
      <c r="L66" s="2" t="inlineStr">
        <is>
          <t>วิธีประเมินต้นทุนและประสิทธิผล</t>
        </is>
      </c>
      <c r="M66" s="2" t="inlineStr">
        <is>
          <t>SAP</t>
        </is>
      </c>
      <c r="N66" s="2" t="inlineStr">
        <is>
          <t>ข้อ 84 (PLE_CC1_Key_Rx20_UBU.md)</t>
        </is>
      </c>
      <c r="O66" s="2" t="inlineStr">
        <is>
          <t>Mock</t>
        </is>
      </c>
      <c r="P66" s="2" t="inlineStr">
        <is>
          <t>Mock Rx20 UBU</t>
        </is>
      </c>
    </row>
    <row r="67" ht="13.2" customHeight="1" s="49">
      <c r="A67" s="8" t="inlineStr">
        <is>
          <t>65</t>
        </is>
      </c>
      <c r="B67" s="2" t="inlineStr">
        <is>
          <t>(โจทย_ถามรูปแบบการทดลองที่ให$ข$อมูลที่นGาเชื่อถือที่สุด) RCT</t>
        </is>
      </c>
      <c r="C67" s="2" t="n"/>
      <c r="D67" s="2" t="inlineStr">
        <is>
          <t>Cost-Utility Analysis (Quality-Adjusted Life Years: QALY)</t>
        </is>
      </c>
      <c r="E67" s="2" t="inlineStr">
        <is>
          <t>Cost-Benefit Analysis (Net Monetary Benefit)</t>
        </is>
      </c>
      <c r="F67" s="2" t="inlineStr">
        <is>
          <t>Cost-Minimization Analysis (CMA)</t>
        </is>
      </c>
      <c r="G67" s="2" t="inlineStr">
        <is>
          <t>Student t-test for comparing two independent means</t>
        </is>
      </c>
      <c r="H67" s="2" t="inlineStr">
        <is>
          <t>Chi-Square Test for Categorical Independence (p &lt; 0.05)</t>
        </is>
      </c>
      <c r="I67" s="8" t="inlineStr">
        <is>
          <t>1</t>
        </is>
      </c>
      <c r="J67" s="2"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2" t="n"/>
      <c r="L67" s="2" t="inlineStr">
        <is>
          <t>รูปแบบการวิจัยทางคลินิก</t>
        </is>
      </c>
      <c r="M67" s="2" t="inlineStr">
        <is>
          <t>SAP</t>
        </is>
      </c>
      <c r="N67" s="2" t="inlineStr">
        <is>
          <t>ข้อ 39 (PLE_CC1_Key_Rx20_UBU.md)</t>
        </is>
      </c>
      <c r="O67" s="2" t="inlineStr">
        <is>
          <t>Mock</t>
        </is>
      </c>
      <c r="P67" s="2" t="inlineStr">
        <is>
          <t>Mock Rx20 UBU</t>
        </is>
      </c>
    </row>
    <row r="68" ht="13.2" customHeight="1" s="49">
      <c r="A68" s="8" t="inlineStr">
        <is>
          <t>66</t>
        </is>
      </c>
      <c r="B68" s="2" t="inlineStr">
        <is>
          <t>(โจทย_ให$แปลความหมายของ relative risk ให$คGา 0.88 95% CI ไมGครGอม 1) สถานการณ) 5</t>
        </is>
      </c>
      <c r="C68" s="2" t="n"/>
      <c r="D68" s="2" t="inlineStr">
        <is>
          <t>Student t-test for comparing two independent means</t>
        </is>
      </c>
      <c r="E68" s="2" t="inlineStr">
        <is>
          <t>Chi-Square Test for Categorical Independence (p &lt; 0.05)</t>
        </is>
      </c>
      <c r="F68" s="2" t="inlineStr">
        <is>
          <t>Randomized Controlled Trial (Double-blind RCT)</t>
        </is>
      </c>
      <c r="G68" s="2" t="inlineStr">
        <is>
          <t>Prospective Cohort Study (Relative Risk: RR)</t>
        </is>
      </c>
      <c r="H68" s="2" t="inlineStr">
        <is>
          <t>Case-Control Study (Odds Ratio: OR)</t>
        </is>
      </c>
      <c r="I68" s="8" t="inlineStr">
        <is>
          <t>1</t>
        </is>
      </c>
      <c r="J68" s="2"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2" t="n"/>
      <c r="L68" s="2" t="inlineStr">
        <is>
          <t>สถิติวิเคราะห์</t>
        </is>
      </c>
      <c r="M68" s="2" t="inlineStr">
        <is>
          <t>SAP</t>
        </is>
      </c>
      <c r="N68" s="2" t="inlineStr">
        <is>
          <t>ข้อ 40 (PLE_CC1_Key_Rx20_UBU.md)</t>
        </is>
      </c>
      <c r="O68" s="2" t="inlineStr">
        <is>
          <t>Mock</t>
        </is>
      </c>
      <c r="P68" s="2" t="inlineStr">
        <is>
          <t>Mock Rx20 UBU</t>
        </is>
      </c>
    </row>
    <row r="69" ht="13.2" customHeight="1" s="49">
      <c r="A69" s="8" t="inlineStr">
        <is>
          <t>67</t>
        </is>
      </c>
      <c r="B69" s="2" t="inlineStr">
        <is>
          <t>มีคGา ICER สูง cost/unit of efficacy ใช$เงินน$อยๆ เพื่อให$ได$ outcome ที่ต$องการ</t>
        </is>
      </c>
      <c r="C69" s="2" t="n"/>
      <c r="D69" s="2" t="inlineStr">
        <is>
          <t>Prospective Cohort Study (Relative Risk: RR)</t>
        </is>
      </c>
      <c r="E69" s="2" t="inlineStr">
        <is>
          <t>Case-Control Study (Odds Ratio: OR)</t>
        </is>
      </c>
      <c r="F69" s="2" t="inlineStr">
        <is>
          <t>Cross-Sectional Survey Prevalence Study</t>
        </is>
      </c>
      <c r="G69" s="2" t="inlineStr">
        <is>
          <t>Cost-Effectiveness Analysis (Incremental Cost-Effectiveness Ratio: ICER)</t>
        </is>
      </c>
      <c r="H69" s="2" t="inlineStr">
        <is>
          <t>Cost-Utility Analysis (Quality-Adjusted Life Years: QALY)</t>
        </is>
      </c>
      <c r="I69" s="8" t="inlineStr">
        <is>
          <t>2</t>
        </is>
      </c>
      <c r="J69" s="2"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2" t="n"/>
      <c r="L69" s="2" t="inlineStr">
        <is>
          <t>วิธีประเมินต้นทุนและประสิทธิผล</t>
        </is>
      </c>
      <c r="M69" s="2" t="inlineStr">
        <is>
          <t>SAP</t>
        </is>
      </c>
      <c r="N69" s="2" t="inlineStr">
        <is>
          <t>ข้อ 5 (PLE_CC1_Key_Rx20_UBU.md)</t>
        </is>
      </c>
      <c r="O69" s="2" t="inlineStr">
        <is>
          <t>Mock</t>
        </is>
      </c>
      <c r="P69" s="2" t="inlineStr">
        <is>
          <t>Mock Rx20 UBU</t>
        </is>
      </c>
    </row>
    <row r="70" ht="13.2" customHeight="1" s="49">
      <c r="A70" s="8" t="inlineStr">
        <is>
          <t>68</t>
        </is>
      </c>
      <c r="B70" s="2" t="inlineStr">
        <is>
          <t>จากสถิติพบวGาในป3 2556 มีผู$ป&amp;วยด$วยภาวะ..........22885 รายตGอประชากรหนึ่งแสนคน จำนวนดังกลGาวเรียกวGาอะไร</t>
        </is>
      </c>
      <c r="C70" s="2" t="n"/>
      <c r="D70" s="2" t="inlineStr">
        <is>
          <t>Cost-Effectiveness Analysis (Incremental Cost-Effectiveness Ratio: ICER)</t>
        </is>
      </c>
      <c r="E70" s="2" t="inlineStr">
        <is>
          <t>Cost-Utility Analysis (Quality-Adjusted Life Years: QALY)</t>
        </is>
      </c>
      <c r="F70" s="2" t="inlineStr">
        <is>
          <t>Cost-Benefit Analysis (Net Monetary Benefit)</t>
        </is>
      </c>
      <c r="G70" s="2" t="inlineStr">
        <is>
          <t>Cost-Minimization Analysis (CMA)</t>
        </is>
      </c>
      <c r="H70" s="2" t="inlineStr">
        <is>
          <t>Student t-test for comparing two independent means</t>
        </is>
      </c>
      <c r="I70" s="8" t="inlineStr">
        <is>
          <t>1</t>
        </is>
      </c>
      <c r="J70" s="2"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2" t="n"/>
      <c r="L70" s="2" t="inlineStr">
        <is>
          <t>รูปแบบการวิจัยทางคลินิก</t>
        </is>
      </c>
      <c r="M70" s="2" t="inlineStr">
        <is>
          <t>SAP</t>
        </is>
      </c>
      <c r="N70" s="2" t="inlineStr">
        <is>
          <t>ข้อ 105 (PLE_CC1_Key_Rx20_UBU.md)</t>
        </is>
      </c>
      <c r="O70" s="2" t="inlineStr">
        <is>
          <t>Mock</t>
        </is>
      </c>
      <c r="P70" s="2" t="inlineStr">
        <is>
          <t>Mock Rx20 UBU</t>
        </is>
      </c>
    </row>
    <row r="71" ht="13.2" customHeight="1" s="49">
      <c r="A71" s="8" t="inlineStr">
        <is>
          <t>69</t>
        </is>
      </c>
      <c r="B71" s="2"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2" t="n"/>
      <c r="D71" s="2" t="inlineStr">
        <is>
          <t>Cost-Minimization Analysis (CMA)</t>
        </is>
      </c>
      <c r="E71" s="2" t="inlineStr">
        <is>
          <t>Student t-test for comparing two independent means</t>
        </is>
      </c>
      <c r="F71" s="2" t="inlineStr">
        <is>
          <t>Chi-Square Test for Categorical Independence (p &lt; 0.05)</t>
        </is>
      </c>
      <c r="G71" s="2" t="inlineStr">
        <is>
          <t>Randomized Controlled Trial (Double-blind RCT)</t>
        </is>
      </c>
      <c r="H71" s="2" t="inlineStr">
        <is>
          <t>Prospective Cohort Study (Relative Risk: RR)</t>
        </is>
      </c>
      <c r="I71" s="8" t="inlineStr">
        <is>
          <t>2</t>
        </is>
      </c>
      <c r="J71" s="2"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2" t="n"/>
      <c r="L71" s="2" t="inlineStr">
        <is>
          <t>สถิติวิเคราะห์</t>
        </is>
      </c>
      <c r="M71" s="2" t="inlineStr">
        <is>
          <t>SAP</t>
        </is>
      </c>
      <c r="N71" s="2" t="inlineStr">
        <is>
          <t>ข้อ 5 (PLE_CC1_Key_Rx20_UBU.md)</t>
        </is>
      </c>
      <c r="O71" s="2" t="inlineStr">
        <is>
          <t>Mock</t>
        </is>
      </c>
      <c r="P71" s="2" t="inlineStr">
        <is>
          <t>Mock Rx20 UBU</t>
        </is>
      </c>
    </row>
    <row r="72" ht="13.2" customHeight="1" s="49">
      <c r="A72" s="8" t="inlineStr">
        <is>
          <t>70</t>
        </is>
      </c>
      <c r="B72" s="2"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2" t="n"/>
      <c r="D72" s="2" t="inlineStr">
        <is>
          <t>Randomized Controlled Trial (Double-blind RCT)</t>
        </is>
      </c>
      <c r="E72" s="2" t="inlineStr">
        <is>
          <t>Prospective Cohort Study (Relative Risk: RR)</t>
        </is>
      </c>
      <c r="F72" s="2" t="inlineStr">
        <is>
          <t>Case-Control Study (Odds Ratio: OR)</t>
        </is>
      </c>
      <c r="G72" s="2" t="inlineStr">
        <is>
          <t>Cross-Sectional Survey Prevalence Study</t>
        </is>
      </c>
      <c r="H72" s="2" t="inlineStr">
        <is>
          <t>Cost-Effectiveness Analysis (Incremental Cost-Effectiveness Ratio: ICER)</t>
        </is>
      </c>
      <c r="I72" s="8" t="inlineStr">
        <is>
          <t>4</t>
        </is>
      </c>
      <c r="J72" s="2"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2" t="n"/>
      <c r="L72" s="2" t="inlineStr">
        <is>
          <t>วิธีประเมินต้นทุนและประสิทธิผล</t>
        </is>
      </c>
      <c r="M72" s="2" t="inlineStr">
        <is>
          <t>SAP</t>
        </is>
      </c>
      <c r="N72" s="2" t="inlineStr">
        <is>
          <t>ข้อ 2 (PLE_CC1_Key_Rx20_UBU.md)</t>
        </is>
      </c>
      <c r="O72" s="2" t="inlineStr">
        <is>
          <t>Mock</t>
        </is>
      </c>
      <c r="P72" s="2" t="inlineStr">
        <is>
          <t>Mock Rx20 UBU</t>
        </is>
      </c>
    </row>
    <row r="73" ht="13.2" customHeight="1" s="49">
      <c r="A73" s="8" t="inlineStr">
        <is>
          <t>71</t>
        </is>
      </c>
      <c r="B73" s="2" t="inlineStr">
        <is>
          <t>Prospective Cohort study</t>
        </is>
      </c>
      <c r="C73" s="2" t="n"/>
      <c r="D73" s="2" t="inlineStr">
        <is>
          <t>Cross-Sectional Survey Prevalence Study</t>
        </is>
      </c>
      <c r="E73" s="2" t="inlineStr">
        <is>
          <t>Cost-Effectiveness Analysis (Incremental Cost-Effectiveness Ratio: ICER)</t>
        </is>
      </c>
      <c r="F73" s="2" t="inlineStr">
        <is>
          <t>Cost-Utility Analysis (Quality-Adjusted Life Years: QALY)</t>
        </is>
      </c>
      <c r="G73" s="2" t="inlineStr">
        <is>
          <t>Cost-Benefit Analysis (Net Monetary Benefit)</t>
        </is>
      </c>
      <c r="H73" s="2" t="inlineStr">
        <is>
          <t>Cost-Minimization Analysis (CMA)</t>
        </is>
      </c>
      <c r="I73" s="8" t="inlineStr">
        <is>
          <t>1</t>
        </is>
      </c>
      <c r="J73" s="2"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2" t="n"/>
      <c r="L73" s="2" t="inlineStr">
        <is>
          <t>รูปแบบการวิจัยทางคลินิก</t>
        </is>
      </c>
      <c r="M73" s="2" t="inlineStr">
        <is>
          <t>SAP</t>
        </is>
      </c>
      <c r="N73" s="2" t="inlineStr">
        <is>
          <t>ข้อ 5 (PLE_CC1_Key_Rx20_UBU.md)</t>
        </is>
      </c>
      <c r="O73" s="2" t="inlineStr">
        <is>
          <t>Mock</t>
        </is>
      </c>
      <c r="P73" s="2" t="inlineStr">
        <is>
          <t>Mock Rx20 UBU</t>
        </is>
      </c>
    </row>
    <row r="74" ht="13.2" customHeight="1" s="49">
      <c r="A74" s="8" t="inlineStr">
        <is>
          <t>72</t>
        </is>
      </c>
      <c r="B74" s="2"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2" t="n"/>
      <c r="D74" s="2" t="inlineStr">
        <is>
          <t>Cost-Benefit Analysis (Net Monetary Benefit)</t>
        </is>
      </c>
      <c r="E74" s="2" t="inlineStr">
        <is>
          <t>Cost-Minimization Analysis (CMA)</t>
        </is>
      </c>
      <c r="F74" s="2" t="inlineStr">
        <is>
          <t>Student t-test for comparing two independent means</t>
        </is>
      </c>
      <c r="G74" s="2" t="inlineStr">
        <is>
          <t>Chi-Square Test for Categorical Independence (p &lt; 0.05)</t>
        </is>
      </c>
      <c r="H74" s="2" t="inlineStr">
        <is>
          <t>Randomized Controlled Trial (Double-blind RCT)</t>
        </is>
      </c>
      <c r="I74" s="8" t="inlineStr">
        <is>
          <t>3</t>
        </is>
      </c>
      <c r="J74" s="2"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2" t="n"/>
      <c r="L74" s="2" t="inlineStr">
        <is>
          <t>วิธีประเมินต้นทุนและประสิทธิผล</t>
        </is>
      </c>
      <c r="M74" s="2" t="inlineStr">
        <is>
          <t>SAP</t>
        </is>
      </c>
      <c r="N74" s="2" t="inlineStr">
        <is>
          <t>ข้อ 4 (PLE_CC1_Key_Rx20_UBU.md)</t>
        </is>
      </c>
      <c r="O74" s="2" t="inlineStr">
        <is>
          <t>Mock</t>
        </is>
      </c>
      <c r="P74" s="2" t="inlineStr">
        <is>
          <t>Mock Rx20 UBU</t>
        </is>
      </c>
    </row>
    <row r="75" ht="13.2" customHeight="1" s="49">
      <c r="A75" s="8" t="inlineStr">
        <is>
          <t>73</t>
        </is>
      </c>
      <c r="B75" s="2" t="inlineStr">
        <is>
          <t>โรงพยาบาลพิจารณาเลือกยา โดยดูความคุ้มค่าของยาพ่น A และ ยาพ่น B ข้อใดถูกต้อง (Threshold ของ โรงพยาบาล = 160,000/QALYs)</t>
        </is>
      </c>
      <c r="C75" s="2" t="n"/>
      <c r="D75" s="2" t="inlineStr">
        <is>
          <t>ยา A คุ้มค่ามากกว่า เนื่องจากมีปีสุขภาวะมากกว่า</t>
        </is>
      </c>
      <c r="E75" s="2" t="inlineStr">
        <is>
          <t>ยา A คุ้มค่ามากกว่ายา B เนื่องจากมีค่า ICER ติดลบ 8,000/QALYs</t>
        </is>
      </c>
      <c r="F75" s="2" t="inlineStr">
        <is>
          <t>ยา B คุ้มค่ามากกว่ายา A เนื่องจากต้นทุนถูกกว่า</t>
        </is>
      </c>
      <c r="G75" s="2" t="inlineStr">
        <is>
          <t>ยา B คุ้มค่ามากกว่ายา A เนื่องจากมีค่า ICER บวก 8,000/QALYs</t>
        </is>
      </c>
      <c r="H75" s="2"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t>
        </is>
      </c>
      <c r="I75" s="8" t="inlineStr">
        <is>
          <t>4</t>
        </is>
      </c>
      <c r="J75" s="2"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2" t="n"/>
      <c r="L75" s="2" t="inlineStr">
        <is>
          <t>วิธีประเมินต้นทุนและประสิทธิผล</t>
        </is>
      </c>
      <c r="M75" s="2" t="inlineStr">
        <is>
          <t>SAP</t>
        </is>
      </c>
      <c r="N75" s="2" t="inlineStr">
        <is>
          <t>ข้อ 63 (PLE_CC1_Key_Rx20_UBU.md)</t>
        </is>
      </c>
      <c r="O75" s="2" t="inlineStr">
        <is>
          <t>Mock</t>
        </is>
      </c>
      <c r="P75" s="2" t="inlineStr">
        <is>
          <t>Mock Rx20 UBU</t>
        </is>
      </c>
    </row>
    <row r="76" ht="13.2" customHeight="1" s="49">
      <c r="A76" s="2" t="n">
        <v>130</v>
      </c>
      <c r="B76" s="2"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2" t="n"/>
      <c r="D76" s="2" t="inlineStr">
        <is>
          <t>Indirect cost (ต้นทุนทางอ้อม)</t>
        </is>
      </c>
      <c r="E76" s="2" t="inlineStr">
        <is>
          <t>Intangible cost (ต้นทุนที่ไม่สามารถวัดเป็นตัวเงินได้)</t>
        </is>
      </c>
      <c r="F76" s="2" t="inlineStr">
        <is>
          <t>Direct medical cost (ต้นทุนทางตรงทางการแพทย์)</t>
        </is>
      </c>
      <c r="G76" s="2" t="inlineStr">
        <is>
          <t>Direct non-medical cost (ต้นทุนทางตรงที่ไม่ใช่ทางการแพทย์)</t>
        </is>
      </c>
      <c r="H76" s="2" t="inlineStr">
        <is>
          <t>Opportunity cost (ต้นทุนค่าเสียโอกาสเชิงนโยบาย)</t>
        </is>
      </c>
      <c r="I76" s="8" t="inlineStr">
        <is>
          <t>1</t>
        </is>
      </c>
      <c r="J76" s="2"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2" t="n"/>
      <c r="L76" s="2" t="inlineStr">
        <is>
          <t>Research &amp; Biostats</t>
        </is>
      </c>
      <c r="M76" s="2" t="inlineStr">
        <is>
          <t>SAP</t>
        </is>
      </c>
      <c r="N76" s="2" t="inlineStr">
        <is>
          <t>PLE_CC1_2567_Key ข้อ 10</t>
        </is>
      </c>
      <c r="O76" s="2" t="inlineStr">
        <is>
          <t>ข้อสอบจริง</t>
        </is>
      </c>
      <c r="P76" s="2" t="inlineStr">
        <is>
          <t>ปี 2567</t>
        </is>
      </c>
    </row>
    <row r="77" ht="13.2" customHeight="1" s="49">
      <c r="A77" t="n">
        <v>131</v>
      </c>
      <c r="B77"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D77" t="inlineStr">
        <is>
          <t>การใช้ยา Lamivudine มีประสิทธิภาพป้องกันการเกิดภาวะตับอักเสบได้มากกว่า Tenofovir/Lamivudine</t>
        </is>
      </c>
      <c r="E77" t="inlineStr">
        <is>
          <t>ผลการศึกษาดังกล่าวแสดงถึง significance level ที่ 0.05 เนื่องจากค่า 95%CI ไม่คร่อม 1</t>
        </is>
      </c>
      <c r="F77" t="inlineStr">
        <is>
          <t>ควรทำการศึกษาเพิ่มเติม เนื่องจากผลของการศึกษา RR เข้าใกล้ 0.5</t>
        </is>
      </c>
      <c r="G77" t="inlineStr">
        <is>
          <t>จำนวนอาสาสมัครที่เข้าร่วมการศึกษามีจำนวนมากจนเกินไป ผลอาจทำให้คลาดเคลื่อนได้</t>
        </is>
      </c>
      <c r="H77" t="inlineStr">
        <is>
          <t>ถูกทุกข้อ</t>
        </is>
      </c>
      <c r="I77" t="inlineStr">
        <is>
          <t>1</t>
        </is>
      </c>
      <c r="J77"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7" t="inlineStr">
        <is>
          <t>Hypertension</t>
        </is>
      </c>
      <c r="M77" t="inlineStr">
        <is>
          <t>Clinic</t>
        </is>
      </c>
      <c r="N77" t="inlineStr">
        <is>
          <t>ข้อ 116 (Pharmtutor_2024_Set1.md)</t>
        </is>
      </c>
    </row>
    <row r="78" ht="13.2" customHeight="1" s="49">
      <c r="A78" t="n">
        <v>132</v>
      </c>
      <c r="B78"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D78" t="inlineStr">
        <is>
          <t>4 9.5</t>
        </is>
      </c>
      <c r="E78" t="inlineStr">
        <is>
          <t>9 Cough</t>
        </is>
      </c>
      <c r="F78" t="inlineStr">
        <is>
          <t>Empagliflozin 10 mg OD</t>
        </is>
      </c>
      <c r="G78" t="inlineStr">
        <is>
          <t>Diltiazem 30 mg TID</t>
        </is>
      </c>
      <c r="H78" t="inlineStr">
        <is>
          <t>0 ควรใช้สถิติใดสำหรับการวิเคราะห์ดังกล่าว</t>
        </is>
      </c>
      <c r="I78" t="inlineStr">
        <is>
          <t>1</t>
        </is>
      </c>
      <c r="J78"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L78" t="inlineStr">
        <is>
          <t>Hypertension</t>
        </is>
      </c>
      <c r="M78" t="inlineStr">
        <is>
          <t>Clinic</t>
        </is>
      </c>
      <c r="N78" t="inlineStr">
        <is>
          <t>ข้อ 17 (PLE_CC1_Practice_Exam.md)</t>
        </is>
      </c>
    </row>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48">
        <f>HYPERLINK("#gid=0", "🏠 กลับสู่หน้าแรก (Go to Home Page)")</f>
        <v/>
      </c>
    </row>
    <row r="2" ht="21.6" customHeight="1" s="49">
      <c r="A2" s="3" t="inlineStr">
        <is>
          <t>Username</t>
        </is>
      </c>
      <c r="B2" s="3" t="inlineStr">
        <is>
          <t>Display Name</t>
        </is>
      </c>
      <c r="C2" s="3" t="inlineStr">
        <is>
          <t>Total Answered</t>
        </is>
      </c>
      <c r="D2" s="3" t="inlineStr">
        <is>
          <t>Total Correct</t>
        </is>
      </c>
      <c r="E2" s="3" t="inlineStr">
        <is>
          <t>Accuracy (%)</t>
        </is>
      </c>
      <c r="F2" s="3" t="inlineStr">
        <is>
          <t>Current Streak (Days)</t>
        </is>
      </c>
      <c r="G2" s="3" t="inlineStr">
        <is>
          <t>Last Active</t>
        </is>
      </c>
    </row>
    <row r="3" ht="13.2" customHeight="1" s="49">
      <c r="A3" s="2" t="inlineStr">
        <is>
          <t>maxnum</t>
        </is>
      </c>
      <c r="B3" s="2" t="inlineStr">
        <is>
          <t>Maxnum</t>
        </is>
      </c>
      <c r="C3" s="2" t="n">
        <v>17</v>
      </c>
      <c r="D3" s="2" t="n">
        <v>5</v>
      </c>
      <c r="E3" s="4" t="n">
        <v>0.29</v>
      </c>
      <c r="F3" s="2" t="n">
        <v>1</v>
      </c>
      <c r="G3" s="2" t="inlineStr">
        <is>
          <t>2026-09-24T14:17:16.289Z</t>
        </is>
      </c>
    </row>
    <row r="4" ht="13.2" customHeight="1" s="49">
      <c r="A4" s="2" t="inlineStr">
        <is>
          <t>chayanit</t>
        </is>
      </c>
      <c r="B4" s="2" t="inlineStr">
        <is>
          <t>idea</t>
        </is>
      </c>
      <c r="C4" s="2" t="n">
        <v>33</v>
      </c>
      <c r="D4" s="2" t="n">
        <v>26</v>
      </c>
      <c r="E4" s="4" t="n">
        <v>0.79</v>
      </c>
      <c r="F4" s="2" t="n">
        <v>1</v>
      </c>
      <c r="G4" s="2" t="inlineStr">
        <is>
          <t>2026-09-24T13:36:51.013Z</t>
        </is>
      </c>
    </row>
    <row r="5" ht="13.2" customHeight="1" s="49">
      <c r="A5" s="2" t="inlineStr">
        <is>
          <t>supichaya</t>
        </is>
      </c>
      <c r="B5" s="2" t="inlineStr">
        <is>
          <t>bt</t>
        </is>
      </c>
      <c r="C5" s="2" t="n">
        <v>0</v>
      </c>
      <c r="D5" s="2" t="n">
        <v>0</v>
      </c>
      <c r="E5" s="4" t="n">
        <v>0</v>
      </c>
      <c r="F5" s="2" t="n">
        <v>1</v>
      </c>
      <c r="G5" s="2" t="inlineStr">
        <is>
          <t>2026-09-24T13:18:00.422Z</t>
        </is>
      </c>
    </row>
    <row r="6" ht="13.2" customHeight="1" s="49">
      <c r="A6" s="2" t="n">
        <v>6531014833</v>
      </c>
      <c r="B6" s="2" t="inlineStr">
        <is>
          <t>JN</t>
        </is>
      </c>
      <c r="C6" s="2" t="n">
        <v>0</v>
      </c>
      <c r="D6" s="2" t="n">
        <v>0</v>
      </c>
      <c r="E6" s="4" t="n">
        <v>0</v>
      </c>
      <c r="F6" s="2" t="n">
        <v>1</v>
      </c>
      <c r="G6" s="2" t="inlineStr">
        <is>
          <t>2026-09-24T13:18:27.158Z</t>
        </is>
      </c>
    </row>
    <row r="7" ht="13.2" customHeight="1" s="49">
      <c r="A7" s="2" t="inlineStr">
        <is>
          <t>j.natthida</t>
        </is>
      </c>
      <c r="B7" s="2" t="inlineStr">
        <is>
          <t>jn.</t>
        </is>
      </c>
      <c r="C7" s="2" t="n">
        <v>0</v>
      </c>
      <c r="D7" s="2" t="n">
        <v>0</v>
      </c>
      <c r="E7" s="4" t="n">
        <v>0</v>
      </c>
      <c r="F7" s="2" t="n">
        <v>1</v>
      </c>
      <c r="G7" s="2" t="inlineStr">
        <is>
          <t>2026-09-24T13:20:39.625Z</t>
        </is>
      </c>
    </row>
    <row r="8" ht="13.2" customHeight="1" s="49">
      <c r="A8" s="2" t="n">
        <v>6531024033</v>
      </c>
      <c r="B8" s="2" t="n">
        <v>6531024033</v>
      </c>
      <c r="C8" s="2" t="n">
        <v>9</v>
      </c>
      <c r="D8" s="2" t="n">
        <v>5</v>
      </c>
      <c r="E8" s="4" t="n">
        <v>0.5600000000000001</v>
      </c>
      <c r="F8" s="2" t="n">
        <v>1</v>
      </c>
      <c r="G8" s="2" t="inlineStr">
        <is>
          <t>2026-09-24T13:27:04.553Z</t>
        </is>
      </c>
    </row>
    <row r="9" ht="13.2" customHeight="1" s="49">
      <c r="E9" s="4" t="n"/>
    </row>
    <row r="10" ht="13.2" customHeight="1" s="49">
      <c r="E10" s="4" t="n"/>
    </row>
    <row r="11" ht="13.2" customHeight="1" s="49">
      <c r="E11" s="4" t="n"/>
    </row>
    <row r="12" ht="13.2" customHeight="1" s="49">
      <c r="E12" s="4" t="n"/>
    </row>
    <row r="13" ht="13.2" customHeight="1" s="49">
      <c r="E13" s="4" t="n"/>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53">
        <f>HYPERLINK("#gid=0", "🏠 กลับสู่หน้าแรก (Go to Home Page)")</f>
        <v/>
      </c>
    </row>
    <row r="2" ht="21.6" customHeight="1" s="49">
      <c r="A2" s="26" t="inlineStr">
        <is>
          <t>MessageId</t>
        </is>
      </c>
      <c r="B2" s="26" t="inlineStr">
        <is>
          <t>Timestamp</t>
        </is>
      </c>
      <c r="C2" s="26" t="inlineStr">
        <is>
          <t>Username</t>
        </is>
      </c>
      <c r="D2" s="26" t="inlineStr">
        <is>
          <t>Display Name</t>
        </is>
      </c>
      <c r="E2" s="26" t="inlineStr">
        <is>
          <t>Message Text</t>
        </is>
      </c>
      <c r="F2" s="26" t="inlineStr">
        <is>
          <t>ReplyToId</t>
        </is>
      </c>
      <c r="G2" s="26" t="inlineStr">
        <is>
          <t>Topic Tag</t>
        </is>
      </c>
    </row>
    <row r="3" ht="13.2" customHeight="1" s="49">
      <c r="A3" s="2" t="inlineStr">
        <is>
          <t>msg_1790163390739</t>
        </is>
      </c>
      <c r="B3" s="2" t="inlineStr">
        <is>
          <t>2026-09-23T11:36:30.739Z</t>
        </is>
      </c>
      <c r="C3" s="2" t="inlineStr">
        <is>
          <t>maxnum</t>
        </is>
      </c>
      <c r="D3" s="2" t="inlineStr">
        <is>
          <t>Maxnum</t>
        </is>
      </c>
      <c r="E3" s="2" t="inlineStr">
        <is>
          <t>สวัสดีงับชาวบ้านทดสอบระบบ</t>
        </is>
      </c>
      <c r="G3" s="2" t="inlineStr">
        <is>
          <t>Clinic</t>
        </is>
      </c>
    </row>
    <row r="4" ht="13.2" customHeight="1" s="49">
      <c r="A4" s="2" t="inlineStr">
        <is>
          <t>msg_1790167308559</t>
        </is>
      </c>
      <c r="B4" s="2" t="inlineStr">
        <is>
          <t>2026-09-23T12:41:48.559Z</t>
        </is>
      </c>
      <c r="C4" s="2" t="inlineStr">
        <is>
          <t>maxnum</t>
        </is>
      </c>
      <c r="D4" s="2" t="inlineStr">
        <is>
          <t>Maxnum</t>
        </is>
      </c>
      <c r="E4" s="2" t="inlineStr">
        <is>
          <t>ยัยบ๊องตื้น</t>
        </is>
      </c>
      <c r="F4" s="2" t="inlineStr">
        <is>
          <t>msg_1790163390739</t>
        </is>
      </c>
      <c r="G4" s="2" t="inlineStr">
        <is>
          <t>1. Musculoskeleton</t>
        </is>
      </c>
    </row>
    <row r="5" ht="13.2" customHeight="1" s="49">
      <c r="A5" s="2" t="inlineStr">
        <is>
          <t>msg_1790255957466</t>
        </is>
      </c>
      <c r="B5" s="2" t="inlineStr">
        <is>
          <t>2026-09-24T13:19:17.466Z</t>
        </is>
      </c>
      <c r="C5" s="2" t="inlineStr">
        <is>
          <t>anonymous</t>
        </is>
      </c>
      <c r="D5" s="2" t="inlineStr">
        <is>
          <t>บุคคลทั่วไป</t>
        </is>
      </c>
      <c r="E5" s="2" t="inlineStr">
        <is>
          <t>☆*: .｡. o(≧▽≦)o .｡.:*☆</t>
        </is>
      </c>
      <c r="F5" s="2" t="inlineStr">
        <is>
          <t>msg_1790167308559</t>
        </is>
      </c>
      <c r="G5" s="2" t="inlineStr">
        <is>
          <t>Clinic</t>
        </is>
      </c>
    </row>
    <row r="6" ht="13.2" customHeight="1" s="49">
      <c r="A6" s="2" t="inlineStr">
        <is>
          <t>msg_1790256395477</t>
        </is>
      </c>
      <c r="B6" s="2" t="inlineStr">
        <is>
          <t>2026-09-24T13:26:35.477Z</t>
        </is>
      </c>
      <c r="C6" s="2" t="inlineStr">
        <is>
          <t>maxnum</t>
        </is>
      </c>
      <c r="D6" s="2" t="inlineStr">
        <is>
          <t>Maxnum</t>
        </is>
      </c>
      <c r="E6" s="2" t="inlineStr">
        <is>
          <t>ข้อไหนเอ๋อมันน้องเอไอกำลังทยอยแก้อยู่นะงับ กด  Report บอกน้องเอไอมันจะตามแก้ให้เอง</t>
        </is>
      </c>
      <c r="G6" s="2" t="inlineStr">
        <is>
          <t>Clinic</t>
        </is>
      </c>
    </row>
    <row r="7" ht="13.2" customHeight="1" s="49">
      <c r="A7" s="2" t="inlineStr">
        <is>
          <t>msg_1790256597256</t>
        </is>
      </c>
      <c r="B7" s="2" t="inlineStr">
        <is>
          <t>2026-09-24T13:29:57.256Z</t>
        </is>
      </c>
      <c r="C7" s="2" t="inlineStr">
        <is>
          <t>maxnum</t>
        </is>
      </c>
      <c r="D7" s="2" t="inlineStr">
        <is>
          <t>Maxnum</t>
        </is>
      </c>
      <c r="E7" s="2" t="inlineStr">
        <is>
          <t>กด Filter เล่มม่วง Pharma Plus นะครับส่วนใหญ่มันถูก</t>
        </is>
      </c>
      <c r="G7" s="2" t="inlineStr">
        <is>
          <t>1. Musculoskeleton</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26.25" customHeight="1" s="49">
      <c r="A1" s="54" t="inlineStr">
        <is>
          <t>🏠 กลับสู่หน้าแรก (Go to Home Page)</t>
        </is>
      </c>
    </row>
    <row r="2" ht="21.6" customHeight="1" s="49">
      <c r="A2" s="27" t="inlineStr">
        <is>
          <t>Timestamp (วัน-เวลา)</t>
        </is>
      </c>
      <c r="B2" s="27" t="inlineStr">
        <is>
          <t>User (ผู้แจ้ง)</t>
        </is>
      </c>
      <c r="C2" s="27" t="inlineStr">
        <is>
          <t>Category (หมวดหมู่วิชา)</t>
        </is>
      </c>
      <c r="D2" s="27" t="inlineStr">
        <is>
          <t>Question ID / Ref</t>
        </is>
      </c>
      <c r="E2" s="27" t="inlineStr">
        <is>
          <t>โจทย์คำถาม (ย่อ)</t>
        </is>
      </c>
      <c r="F2" s="27" t="inlineStr">
        <is>
          <t>ประเภทปัญหาที่พบ</t>
        </is>
      </c>
      <c r="G2" s="27" t="inlineStr">
        <is>
          <t>รายละเอียดข้อผิดพลาดที่แจ้ง</t>
        </is>
      </c>
      <c r="H2" s="27" t="inlineStr">
        <is>
          <t>สถานะการแก้ไข (Status)</t>
        </is>
      </c>
    </row>
    <row r="3" ht="21.6" customHeight="1" s="49">
      <c r="A3" s="2" t="inlineStr">
        <is>
          <t>2026-09-24T13:24:45.393Z</t>
        </is>
      </c>
      <c r="B3" s="2" t="inlineStr">
        <is>
          <t>บุคคลทั่วไป</t>
        </is>
      </c>
      <c r="C3" s="2" t="inlineStr">
        <is>
          <t>4. Endocrine</t>
        </is>
      </c>
      <c r="D3" s="2" t="inlineStr">
        <is>
          <t>4. Endocrine::164</t>
        </is>
      </c>
      <c r="E3" s="2" t="inlineStr">
        <is>
          <t>จำนวนผู$ป&amp;วยโรคเบาหวานรายใหมGตGอจำนวนประชากรที่มีความเสี่ยงที่จะเกิดโรคเบาห วาน</t>
        </is>
      </c>
      <c r="F3" s="2" t="inlineStr">
        <is>
          <t>โจทย์กำกวม / พิมพ์ตกหล่น</t>
        </is>
      </c>
      <c r="G3" s="2" t="inlineStr">
        <is>
          <t>โจทย์พิมตกหล่น</t>
        </is>
      </c>
      <c r="H3" s="28" t="inlineStr">
        <is>
          <t>Resolved (แก้ไขเรียบร้อยแล้ว)</t>
        </is>
      </c>
    </row>
    <row r="4" ht="21.6" customHeight="1" s="49">
      <c r="A4" s="2" t="inlineStr">
        <is>
          <t>2026-09-24T13:25:06.755Z</t>
        </is>
      </c>
      <c r="B4" s="2" t="inlineStr">
        <is>
          <t>บุคคลทั่วไป</t>
        </is>
      </c>
      <c r="C4" s="2" t="inlineStr">
        <is>
          <t>4. Endocrine</t>
        </is>
      </c>
      <c r="D4" s="2" t="inlineStr">
        <is>
          <t>16. Others &amp; Toxic::1752</t>
        </is>
      </c>
      <c r="E4" s="2" t="inlineStr">
        <is>
          <t>Pioglitazone</t>
        </is>
      </c>
      <c r="F4" s="2" t="inlineStr">
        <is>
          <t>โจทย์กำกวม / พิมพ์ตกหล่น</t>
        </is>
      </c>
      <c r="G4" s="2" t="inlineStr">
        <is>
          <t>ไม่มีโจทย์</t>
        </is>
      </c>
      <c r="H4" s="28" t="inlineStr">
        <is>
          <t>Resolved (แก้ไขเรียบร้อยแล้ว)</t>
        </is>
      </c>
    </row>
    <row r="5" ht="21.6" customHeight="1" s="49">
      <c r="A5" s="2" t="inlineStr">
        <is>
          <t>2026-09-24T13:33:03.933Z</t>
        </is>
      </c>
      <c r="B5" s="2" t="inlineStr">
        <is>
          <t>บุคคลทั่วไป</t>
        </is>
      </c>
      <c r="C5" s="2" t="inlineStr">
        <is>
          <t>1. Titrations</t>
        </is>
      </c>
      <c r="D5" s="2" t="inlineStr">
        <is>
          <t>1. Titrations::46</t>
        </is>
      </c>
      <c r="E5" s="2" t="inlineStr">
        <is>
          <t>การวิเคราะห_ FeSO4 ด$วยสารละลาย potassium permanganate (KMnO4) ใช$วิธีวิเคราะห_ใด (1) Acid-base titration (2) Non-aqueous acid-base titration (3) Oxid</t>
        </is>
      </c>
      <c r="F5" s="2" t="inlineStr">
        <is>
          <t>โจทย์กำกวม / พิมพ์ตกหล่น</t>
        </is>
      </c>
      <c r="G5" s="2" t="inlineStr">
        <is>
          <t>พิมพ์โจทย์ผิด เฉลยแปลกๆ</t>
        </is>
      </c>
      <c r="H5" s="28" t="inlineStr">
        <is>
          <t>Resolved (แก้ไขเรียบร้อยแล้ว)</t>
        </is>
      </c>
    </row>
    <row r="6" ht="21.6" customHeight="1" s="49">
      <c r="A6" s="2" t="inlineStr">
        <is>
          <t>2026-09-24T13:35:29.057Z</t>
        </is>
      </c>
      <c r="B6" s="2" t="inlineStr">
        <is>
          <t>idea</t>
        </is>
      </c>
      <c r="C6" s="2" t="inlineStr">
        <is>
          <t>18. Clinical Nutrition</t>
        </is>
      </c>
      <c r="D6" s="2" t="inlineStr">
        <is>
          <t>18. Clinical Nutrition::23</t>
        </is>
      </c>
      <c r="E6" s="2" t="inlineStr">
        <is>
          <t>รูปแบบของวิตามินดี ที_x001E_พร้อมออกฤทธิAคือข้อใด (1) 1,25-dihydroxycholecalciferol (2) 1-hydroxycholecalciferol (3) 25-hydroxycholecalciferol (4) Cholecalc</t>
        </is>
      </c>
      <c r="F6" s="2" t="inlineStr">
        <is>
          <t>โจทย์กำกวม / พิมพ์ตกหล่น</t>
        </is>
      </c>
      <c r="G6" s="2" t="inlineStr">
        <is>
          <t>แปกๆ</t>
        </is>
      </c>
      <c r="H6" s="28" t="inlineStr">
        <is>
          <t>Resolved (แก้ไขเรียบร้อยแล้ว)</t>
        </is>
      </c>
    </row>
    <row r="7" ht="21.6" customHeight="1" s="49">
      <c r="A7" s="2" t="inlineStr">
        <is>
          <t>2026-09-24T13:35:53.592Z</t>
        </is>
      </c>
      <c r="B7" s="2" t="inlineStr">
        <is>
          <t>idea</t>
        </is>
      </c>
      <c r="C7" s="2" t="inlineStr">
        <is>
          <t>18. Clinical Nutrition</t>
        </is>
      </c>
      <c r="D7" s="2" t="inlineStr">
        <is>
          <t>18. Clinical Nutrition::24</t>
        </is>
      </c>
      <c r="E7" s="2" t="inlineStr">
        <is>
          <t>การจ่ายยาชุดวิตามินรวม ให้เจ้าของสุนัขโดยผู้ช่วยสัตวแพทย์</t>
        </is>
      </c>
      <c r="F7" s="2" t="inlineStr">
        <is>
          <t>โจทย์กำกวม / พิมพ์ตกหล่น</t>
        </is>
      </c>
      <c r="G7" s="2" t="inlineStr">
        <is>
          <t>มะเข้าใจ</t>
        </is>
      </c>
      <c r="H7" s="28" t="inlineStr">
        <is>
          <t>Resolved (แก้ไขเรียบร้อยแล้ว)</t>
        </is>
      </c>
    </row>
    <row r="8" ht="21.6" customHeight="1" s="49">
      <c r="A8" s="2" t="inlineStr">
        <is>
          <t>2026-09-24T13:36:40.555Z</t>
        </is>
      </c>
      <c r="B8" s="2" t="inlineStr">
        <is>
          <t>idea</t>
        </is>
      </c>
      <c r="C8" s="2" t="inlineStr">
        <is>
          <t>18. Clinical Nutrition</t>
        </is>
      </c>
      <c r="D8" s="2" t="inlineStr">
        <is>
          <t>18. Clinical Nutrition::25</t>
        </is>
      </c>
      <c r="E8" s="2" t="inlineStr">
        <is>
          <t>วิตามินใดที่ใช$ในการปนองกันอาการชาของผู$ป&amp;วย</t>
        </is>
      </c>
      <c r="F8" s="2" t="inlineStr">
        <is>
          <t>โจทย์กำกวม / พิมพ์ตกหล่น</t>
        </is>
      </c>
      <c r="G8" s="2" t="inlineStr">
        <is>
          <t>พิมพ์ผิด</t>
        </is>
      </c>
      <c r="H8" s="28" t="inlineStr">
        <is>
          <t>Resolved (แก้ไขเรียบร้อยแล้ว)</t>
        </is>
      </c>
    </row>
    <row r="9" ht="21.6" customHeight="1" s="49">
      <c r="A9" s="2" t="inlineStr">
        <is>
          <t>2026-09-24T13:41:24.660Z</t>
        </is>
      </c>
      <c r="B9" s="2" t="inlineStr">
        <is>
          <t>Maxnum</t>
        </is>
      </c>
      <c r="C9" s="2" t="inlineStr">
        <is>
          <t>2. Cardiovascular</t>
        </is>
      </c>
      <c r="D9" s="2" t="inlineStr">
        <is>
          <t>2. Cardiovascular::3</t>
        </is>
      </c>
      <c r="E9"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2" t="inlineStr">
        <is>
          <t>เฉลยไม่ถูกต้อง / ขัดแย้งกับ Guideline</t>
        </is>
      </c>
      <c r="G9" s="2" t="inlineStr">
        <is>
          <t>เฉลยควรบอกเกณฑ์ BP มาเลย</t>
        </is>
      </c>
      <c r="H9" s="28" t="inlineStr">
        <is>
          <t>Resolved (แก้ไขเรียบร้อยแล้ว)</t>
        </is>
      </c>
    </row>
    <row r="10" ht="21.6" customHeight="1" s="49">
      <c r="A10" s="2" t="inlineStr">
        <is>
          <t>2026-09-24T13:42:18.204Z</t>
        </is>
      </c>
      <c r="B10" s="2" t="inlineStr">
        <is>
          <t>บุคคลทั่วไป</t>
        </is>
      </c>
      <c r="C10" s="2" t="inlineStr">
        <is>
          <t>11. Herbal Products</t>
        </is>
      </c>
      <c r="D10" s="2" t="inlineStr">
        <is>
          <t>11. Herbal Products::3</t>
        </is>
      </c>
      <c r="E10" s="2" t="inlineStr">
        <is>
          <t>แบบทดสอบความรู้ทางเภสัชกรรม ข้อที่ 1</t>
        </is>
      </c>
      <c r="F10" s="2" t="inlineStr">
        <is>
          <t>อื่นๆ</t>
        </is>
      </c>
      <c r="G10" s="2" t="inlineStr">
        <is>
          <t>ไม่มีโจทย์</t>
        </is>
      </c>
      <c r="H10" s="28" t="inlineStr">
        <is>
          <t>Resolved (แก้ไขเรียบร้อยแล้ว)</t>
        </is>
      </c>
    </row>
    <row r="11" ht="21.6" customHeight="1" s="49">
      <c r="A11" s="2" t="inlineStr">
        <is>
          <t>2026-09-24T13:43:06.372Z</t>
        </is>
      </c>
      <c r="B11" s="2" t="inlineStr">
        <is>
          <t>บุคคลทั่วไป</t>
        </is>
      </c>
      <c r="C11" s="2" t="inlineStr">
        <is>
          <t>3. Dermatologic</t>
        </is>
      </c>
      <c r="D11" s="2" t="inlineStr">
        <is>
          <t>3. Dermatologic::167</t>
        </is>
      </c>
      <c r="E11" s="2"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2" t="inlineStr">
        <is>
          <t>เฉลยไม่ถูกต้อง / ขัดแย้งกับ Guideline</t>
        </is>
      </c>
      <c r="G11" s="2" t="inlineStr">
        <is>
          <t>โจทย์เป็น allergy</t>
        </is>
      </c>
      <c r="H11" s="28" t="inlineStr">
        <is>
          <t>Resolved (แก้ไขเรียบร้อยแล้ว)</t>
        </is>
      </c>
    </row>
    <row r="12" ht="21.6" customHeight="1" s="49">
      <c r="A12" s="2" t="inlineStr">
        <is>
          <t>2026-09-24T13:43:19.108Z</t>
        </is>
      </c>
      <c r="B12" s="2" t="inlineStr">
        <is>
          <t>Maxnum</t>
        </is>
      </c>
      <c r="C12" s="2" t="inlineStr">
        <is>
          <t>2. Cardiovascular</t>
        </is>
      </c>
      <c r="D12" s="2" t="inlineStr">
        <is>
          <t>2. Cardiovascular::4</t>
        </is>
      </c>
      <c r="E12" s="2"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2" t="inlineStr">
        <is>
          <t>เฉลยไม่ถูกต้อง / ขัดแย้งกับ Guideline</t>
        </is>
      </c>
      <c r="G12" s="2" t="inlineStr">
        <is>
          <t>เฉลยควรบอกว่ามันควรงดกินอะไร HtN</t>
        </is>
      </c>
      <c r="H12" s="28" t="inlineStr">
        <is>
          <t>Resolved (แก้ไขเรียบร้อยแล้ว)</t>
        </is>
      </c>
    </row>
    <row r="13" ht="21.6" customHeight="1" s="49">
      <c r="A13" s="2" t="inlineStr">
        <is>
          <t>2026-09-24T13:44:39.585Z</t>
        </is>
      </c>
      <c r="B13" s="2" t="inlineStr">
        <is>
          <t>บุคคลทั่วไป</t>
        </is>
      </c>
      <c r="C13" s="2" t="inlineStr">
        <is>
          <t>1. Musculoskeleton</t>
        </is>
      </c>
      <c r="D13" s="2" t="inlineStr">
        <is>
          <t>16. Others &amp; Toxic::1692</t>
        </is>
      </c>
      <c r="E13" s="2" t="inlineStr">
        <is>
          <t>ยาต้านอักเสบตัวใดที่ไม่ควรใช้ในโรคเกาต์</t>
        </is>
      </c>
      <c r="F13" s="2" t="inlineStr">
        <is>
          <t>เฉลยไม่ถูกต้อง / ขัดแย้งกับ Guideline</t>
        </is>
      </c>
      <c r="G13" s="2" t="inlineStr">
        <is>
          <t>choice มีเฉลย แต่ไม่ตรงกับชื่อยา</t>
        </is>
      </c>
      <c r="H13" s="28" t="inlineStr">
        <is>
          <t>Resolved (แก้ไขเรียบร้อยแล้ว)</t>
        </is>
      </c>
    </row>
    <row r="14" ht="21.6" customHeight="1" s="49">
      <c r="A14" s="2" t="inlineStr">
        <is>
          <t>2026-09-24T13:44:51.287Z</t>
        </is>
      </c>
      <c r="B14" s="2" t="inlineStr">
        <is>
          <t>Maxnum</t>
        </is>
      </c>
      <c r="C14" s="2" t="inlineStr">
        <is>
          <t>5. Pharmaceutical Calc</t>
        </is>
      </c>
      <c r="D14" s="2" t="inlineStr">
        <is>
          <t>16. Others &amp; Toxic::90</t>
        </is>
      </c>
      <c r="E14" s="2" t="inlineStr">
        <is>
          <t>ให้ข้อมูลมาคำนวณ%assay ตัวเลือก</t>
        </is>
      </c>
      <c r="F14" s="2" t="inlineStr">
        <is>
          <t>เฉลยไม่ถูกต้อง / ขัดแย้งกับ Guideline</t>
        </is>
      </c>
      <c r="G14" s="2" t="inlineStr">
        <is>
          <t>โจทย์ไมาตรว</t>
        </is>
      </c>
      <c r="H14" s="28" t="inlineStr">
        <is>
          <t>Resolved (แก้ไขเรียบร้อยแล้ว)</t>
        </is>
      </c>
    </row>
    <row r="15" ht="21.6" customHeight="1" s="49">
      <c r="A15" s="2" t="inlineStr">
        <is>
          <t>2026-09-24T13:45:09.913Z</t>
        </is>
      </c>
      <c r="B15" s="2" t="inlineStr">
        <is>
          <t>Maxnum</t>
        </is>
      </c>
      <c r="C15" s="2" t="inlineStr">
        <is>
          <t>5. Pharmaceutical Calc</t>
        </is>
      </c>
      <c r="D15" s="2" t="inlineStr">
        <is>
          <t>16. Others &amp; Toxic::90</t>
        </is>
      </c>
      <c r="E15" s="2" t="inlineStr">
        <is>
          <t>ให้ข้อมูลมาคำนวณ%assay ตัวเลือก</t>
        </is>
      </c>
      <c r="F15" s="2" t="inlineStr">
        <is>
          <t>โจทย์กำกวม / พิมพ์ตกหล่น</t>
        </is>
      </c>
      <c r="G15" s="2" t="inlineStr">
        <is>
          <t>โจทย์ตัวเลือดไม่ตรงกัน</t>
        </is>
      </c>
      <c r="H15" s="28" t="inlineStr">
        <is>
          <t>Resolved (แก้ไขเรียบร้อยแล้ว)</t>
        </is>
      </c>
    </row>
    <row r="16" ht="21.6" customHeight="1" s="49">
      <c r="A16" s="2" t="inlineStr">
        <is>
          <t>2026-09-24T13:47:03.540Z</t>
        </is>
      </c>
      <c r="B16" s="2" t="inlineStr">
        <is>
          <t>บุคคลทั่วไป</t>
        </is>
      </c>
      <c r="C16" s="2" t="inlineStr">
        <is>
          <t>2. Cardiovascular</t>
        </is>
      </c>
      <c r="D16" s="2" t="inlineStr">
        <is>
          <t>2. Cardiovascular::343</t>
        </is>
      </c>
      <c r="E16" s="2" t="inlineStr">
        <is>
          <t>Amitriptyline ใช้ได้ แต่เนื่องจากยามีหลาย mechanism จึงทำให้เกิดอาการไม่พึงประสงค์มาก จึงไม่เหมาะสม</t>
        </is>
      </c>
      <c r="F16" s="2" t="inlineStr">
        <is>
          <t>โจทย์กำกวม / พิมพ์ตกหล่น</t>
        </is>
      </c>
      <c r="G16" s="2" t="inlineStr">
        <is>
          <t>ไม่ระบุคำถาม</t>
        </is>
      </c>
      <c r="H16" s="28" t="inlineStr">
        <is>
          <t>Resolved (แก้ไขเรียบร้อยแล้ว)</t>
        </is>
      </c>
    </row>
    <row r="17" ht="21.6" customHeight="1" s="49">
      <c r="A17" s="2" t="inlineStr">
        <is>
          <t>2026-09-24T14:03:13.737Z</t>
        </is>
      </c>
      <c r="B17" s="2" t="inlineStr">
        <is>
          <t>บุคคลทั่วไป</t>
        </is>
      </c>
      <c r="C17" s="2" t="inlineStr">
        <is>
          <t>13. Medicinal Chemistry</t>
        </is>
      </c>
      <c r="D17" s="2" t="inlineStr">
        <is>
          <t>13. Medicinal Chemistry::45</t>
        </is>
      </c>
      <c r="E17" s="2" t="inlineStr">
        <is>
          <t>ความเข$มข$น adrenaline 0.01% คืออะไร</t>
        </is>
      </c>
      <c r="F17" s="2" t="inlineStr">
        <is>
          <t>โจทย์กำกวม / พิมพ์ตกหล่น</t>
        </is>
      </c>
      <c r="G17" s="2" t="inlineStr">
        <is>
          <t>ผิดไปหมดเลย555555</t>
        </is>
      </c>
      <c r="H17" s="28" t="inlineStr">
        <is>
          <t>Resolved (แก้ไขเรียบร้อยแล้ว)</t>
        </is>
      </c>
    </row>
    <row r="18" ht="21.6" customHeight="1" s="49">
      <c r="H18" s="28" t="n"/>
    </row>
    <row r="19" ht="21.6" customHeight="1" s="49">
      <c r="H19" s="28" t="n"/>
    </row>
    <row r="20" ht="21.6" customHeight="1" s="49">
      <c r="H20" s="28" t="n"/>
    </row>
    <row r="21" ht="21.6" customHeight="1" s="49">
      <c r="H21" s="28" t="n"/>
    </row>
    <row r="22" ht="21.6" customHeight="1" s="49">
      <c r="H22" s="28" t="n"/>
    </row>
    <row r="23" ht="21.6" customHeight="1" s="49">
      <c r="H23" s="28" t="n"/>
    </row>
    <row r="24" ht="21.6" customHeight="1" s="49">
      <c r="H24" s="28" t="n"/>
    </row>
    <row r="25" ht="21.6" customHeight="1" s="49">
      <c r="H25" s="28" t="n"/>
    </row>
    <row r="26" ht="21.6" customHeight="1" s="49">
      <c r="H26" s="28" t="n"/>
    </row>
    <row r="27" ht="21.6" customHeight="1" s="49">
      <c r="H27" s="28" t="n"/>
    </row>
    <row r="28" ht="21.6" customHeight="1" s="49">
      <c r="H28" s="28" t="n"/>
    </row>
    <row r="29" ht="21.6" customHeight="1" s="49">
      <c r="H29" s="28" t="n"/>
    </row>
    <row r="30" ht="21.6" customHeight="1" s="49">
      <c r="H30" s="28" t="n"/>
    </row>
    <row r="31" ht="21.6" customHeight="1" s="49">
      <c r="H31" s="28" t="n"/>
    </row>
    <row r="32" ht="21.6" customHeight="1" s="49">
      <c r="H32" s="28" t="n"/>
    </row>
    <row r="33" ht="21.6" customHeight="1" s="49">
      <c r="H33" s="28" t="n"/>
    </row>
    <row r="34" ht="21.6" customHeight="1" s="49">
      <c r="H34" s="28" t="n"/>
    </row>
    <row r="35" ht="21.6" customHeight="1" s="49">
      <c r="H35" s="28" t="n"/>
    </row>
    <row r="36" ht="21.6" customHeight="1" s="49">
      <c r="H36" s="28" t="n"/>
    </row>
    <row r="37" ht="21.6" customHeight="1" s="49">
      <c r="H37" s="28" t="n"/>
    </row>
    <row r="38" ht="21.6" customHeight="1" s="49">
      <c r="H38" s="28" t="n"/>
    </row>
    <row r="39" ht="21.6" customHeight="1" s="49">
      <c r="H39" s="28" t="n"/>
    </row>
    <row r="40" ht="21.6" customHeight="1" s="49">
      <c r="H40" s="28" t="n"/>
    </row>
    <row r="41" ht="21.6" customHeight="1" s="49">
      <c r="H41" s="28" t="n"/>
    </row>
    <row r="42" ht="21.6" customHeight="1" s="49">
      <c r="H42" s="28" t="n"/>
    </row>
    <row r="43" ht="21.6" customHeight="1" s="49">
      <c r="H43" s="28" t="n"/>
    </row>
    <row r="44" ht="21.6" customHeight="1" s="49">
      <c r="H44" s="28" t="n"/>
    </row>
    <row r="45" ht="21.6" customHeight="1" s="49">
      <c r="H45" s="28" t="n"/>
    </row>
    <row r="46" ht="21.6" customHeight="1" s="49">
      <c r="H46" s="28" t="n"/>
    </row>
    <row r="47" ht="21.6" customHeight="1" s="49">
      <c r="H47" s="28" t="n"/>
    </row>
    <row r="48" ht="21.6" customHeight="1" s="49">
      <c r="H48" s="28" t="n"/>
    </row>
    <row r="49" ht="21.6" customHeight="1" s="49">
      <c r="H49" s="28" t="n"/>
    </row>
    <row r="50" ht="21.6" customHeight="1" s="49">
      <c r="H50" s="28" t="n"/>
    </row>
    <row r="51" ht="21.6" customHeight="1" s="49">
      <c r="H51" s="28" t="n"/>
    </row>
    <row r="52" ht="21.6" customHeight="1" s="49">
      <c r="H52" s="28" t="n"/>
    </row>
    <row r="53" ht="21.6" customHeight="1" s="49">
      <c r="H53" s="28" t="n"/>
    </row>
    <row r="54" ht="21.6" customHeight="1" s="49">
      <c r="H54" s="28" t="n"/>
    </row>
    <row r="55" ht="21.6" customHeight="1" s="49">
      <c r="H55" s="28" t="n"/>
    </row>
    <row r="56" ht="21.6" customHeight="1" s="49">
      <c r="H56" s="28" t="n"/>
    </row>
    <row r="57" ht="21.6" customHeight="1" s="49">
      <c r="H57" s="28" t="n"/>
    </row>
    <row r="58" ht="21.6" customHeight="1" s="49">
      <c r="H58" s="28" t="n"/>
    </row>
    <row r="59" ht="21.6" customHeight="1" s="49">
      <c r="H59" s="28" t="n"/>
    </row>
    <row r="60" ht="21.6" customHeight="1" s="49">
      <c r="H60" s="28" t="n"/>
    </row>
    <row r="61" ht="21.6" customHeight="1" s="49">
      <c r="H61" s="28" t="n"/>
    </row>
    <row r="62" ht="21.6" customHeight="1" s="49">
      <c r="H62" s="28" t="n"/>
    </row>
    <row r="63" ht="21.6" customHeight="1" s="49">
      <c r="H63" s="28" t="n"/>
    </row>
    <row r="64" ht="21.6" customHeight="1" s="49">
      <c r="H64" s="28" t="n"/>
    </row>
    <row r="65" ht="21.6" customHeight="1" s="49">
      <c r="H65" s="28" t="n"/>
    </row>
    <row r="66" ht="21.6" customHeight="1" s="49">
      <c r="H66" s="28" t="n"/>
    </row>
    <row r="67" ht="21.6" customHeight="1" s="49">
      <c r="H67" s="28" t="n"/>
    </row>
    <row r="68" ht="21.6" customHeight="1" s="49">
      <c r="H68" s="28" t="n"/>
    </row>
    <row r="69" ht="21.6" customHeight="1" s="49">
      <c r="H69" s="28" t="n"/>
    </row>
    <row r="70" ht="21.6" customHeight="1" s="49">
      <c r="H70" s="28" t="n"/>
    </row>
    <row r="71" ht="21.6" customHeight="1" s="49">
      <c r="H71" s="28" t="n"/>
    </row>
    <row r="72" ht="21.6" customHeight="1" s="49">
      <c r="H72" s="28" t="n"/>
    </row>
    <row r="73" ht="21.6" customHeight="1" s="49">
      <c r="H73" s="28" t="n"/>
    </row>
    <row r="74" ht="21.6" customHeight="1" s="49">
      <c r="H74" s="28" t="n"/>
    </row>
    <row r="75" ht="21.6" customHeight="1" s="49">
      <c r="H75" s="28" t="n"/>
    </row>
    <row r="76" ht="21.6" customHeight="1" s="49">
      <c r="H76" s="28" t="n"/>
    </row>
    <row r="77" ht="21.6" customHeight="1" s="49">
      <c r="H77" s="28" t="n"/>
    </row>
    <row r="78" ht="21.6" customHeight="1" s="49">
      <c r="H78" s="28" t="n"/>
    </row>
    <row r="79" ht="21.6" customHeight="1" s="49">
      <c r="H79" s="28" t="n"/>
    </row>
    <row r="80" ht="21.6" customHeight="1" s="49">
      <c r="H80" s="28" t="n"/>
    </row>
    <row r="81" ht="21.6" customHeight="1" s="49">
      <c r="H81" s="28" t="n"/>
    </row>
    <row r="82" ht="21.6" customHeight="1" s="49">
      <c r="H82" s="28" t="n"/>
    </row>
    <row r="83" ht="21.6" customHeight="1" s="49">
      <c r="H83" s="28" t="n"/>
    </row>
    <row r="84" ht="21.6" customHeight="1" s="49">
      <c r="H84" s="28" t="n"/>
    </row>
    <row r="85" ht="21.6" customHeight="1" s="49">
      <c r="H85" s="28" t="n"/>
    </row>
    <row r="86" ht="21.6" customHeight="1" s="49">
      <c r="H86" s="28" t="n"/>
    </row>
    <row r="87" ht="21.6" customHeight="1" s="49">
      <c r="H87" s="28" t="n"/>
    </row>
    <row r="88" ht="21.6" customHeight="1" s="49">
      <c r="H88" s="28" t="n"/>
    </row>
    <row r="89" ht="21.6" customHeight="1" s="49">
      <c r="H89" s="28" t="n"/>
    </row>
    <row r="90" ht="21.6" customHeight="1" s="49">
      <c r="H90" s="28" t="n"/>
    </row>
    <row r="91" ht="21.6" customHeight="1" s="49">
      <c r="H91" s="28" t="n"/>
    </row>
    <row r="92" ht="21.6" customHeight="1" s="49">
      <c r="H92" s="28" t="n"/>
    </row>
    <row r="93" ht="21.6" customHeight="1" s="49">
      <c r="H93" s="28" t="n"/>
    </row>
    <row r="94" ht="21.6" customHeight="1" s="49">
      <c r="H94" s="28" t="n"/>
    </row>
    <row r="95" ht="21.6" customHeight="1" s="49">
      <c r="H95" s="28" t="n"/>
    </row>
    <row r="96" ht="21.6" customHeight="1" s="49">
      <c r="H96" s="28" t="n"/>
    </row>
    <row r="97" ht="21.6" customHeight="1" s="49">
      <c r="H97" s="28" t="n"/>
    </row>
    <row r="98" ht="21.6" customHeight="1" s="49">
      <c r="H98" s="28" t="n"/>
    </row>
    <row r="99" ht="21.6" customHeight="1" s="49">
      <c r="H99" s="28" t="n"/>
    </row>
    <row r="100" ht="21.6" customHeight="1" s="49">
      <c r="H100" s="28" t="n"/>
    </row>
    <row r="101" ht="21.6" customHeight="1" s="49">
      <c r="H101" s="28" t="n"/>
    </row>
    <row r="102" ht="21.6" customHeight="1" s="49">
      <c r="H102" s="28" t="n"/>
    </row>
    <row r="103" ht="21.6" customHeight="1" s="49">
      <c r="H103" s="28" t="n"/>
    </row>
    <row r="104" ht="21.6" customHeight="1" s="49">
      <c r="H104" s="28" t="n"/>
    </row>
    <row r="105" ht="21.6" customHeight="1" s="49">
      <c r="H105" s="28" t="n"/>
    </row>
    <row r="106" ht="21.6" customHeight="1" s="49">
      <c r="H106" s="28" t="n"/>
    </row>
    <row r="107" ht="21.6" customHeight="1" s="49">
      <c r="H107" s="28" t="n"/>
    </row>
    <row r="108" ht="21.6" customHeight="1" s="49">
      <c r="H108" s="28" t="n"/>
    </row>
    <row r="109" ht="21.6" customHeight="1" s="49">
      <c r="H109" s="28" t="n"/>
    </row>
    <row r="110" ht="21.6" customHeight="1" s="49">
      <c r="H110" s="28" t="n"/>
    </row>
    <row r="111" ht="21.6" customHeight="1" s="49">
      <c r="H111" s="28" t="n"/>
    </row>
    <row r="112" ht="21.6" customHeight="1" s="49">
      <c r="H112" s="28" t="n"/>
    </row>
    <row r="113" ht="21.6" customHeight="1" s="49">
      <c r="H113" s="28" t="n"/>
    </row>
    <row r="114" ht="21.6" customHeight="1" s="49">
      <c r="H114" s="28" t="n"/>
    </row>
    <row r="115" ht="21.6" customHeight="1" s="49">
      <c r="H115" s="28" t="n"/>
    </row>
    <row r="116" ht="21.6" customHeight="1" s="49">
      <c r="H116" s="28" t="n"/>
    </row>
    <row r="117" ht="21.6" customHeight="1" s="49">
      <c r="H117" s="28" t="n"/>
    </row>
    <row r="118" ht="21.6" customHeight="1" s="49">
      <c r="H118" s="28" t="n"/>
    </row>
    <row r="119" ht="21.6" customHeight="1" s="49">
      <c r="H119" s="28" t="n"/>
    </row>
    <row r="120" ht="21.6" customHeight="1" s="49">
      <c r="H120" s="28" t="n"/>
    </row>
    <row r="121" ht="21.6" customHeight="1" s="49">
      <c r="H121" s="28" t="n"/>
    </row>
    <row r="122" ht="21.6" customHeight="1" s="49">
      <c r="H122" s="28" t="n"/>
    </row>
    <row r="123" ht="21.6" customHeight="1" s="49">
      <c r="H123" s="28" t="n"/>
    </row>
    <row r="124" ht="21.6" customHeight="1" s="49">
      <c r="H124" s="28" t="n"/>
    </row>
    <row r="125" ht="21.6" customHeight="1" s="49">
      <c r="H125" s="28" t="n"/>
    </row>
    <row r="126" ht="21.6" customHeight="1" s="49">
      <c r="H126" s="28" t="n"/>
    </row>
    <row r="127" ht="21.6" customHeight="1" s="49">
      <c r="H127" s="28" t="n"/>
    </row>
    <row r="128" ht="21.6" customHeight="1" s="49">
      <c r="H128" s="28" t="n"/>
    </row>
    <row r="129" ht="21.6" customHeight="1" s="49">
      <c r="H129" s="28" t="n"/>
    </row>
    <row r="130" ht="21.6" customHeight="1" s="49">
      <c r="H130" s="28" t="n"/>
    </row>
    <row r="131" ht="21.6" customHeight="1" s="49">
      <c r="H131" s="28" t="n"/>
    </row>
    <row r="132" ht="21.6" customHeight="1" s="49">
      <c r="H132" s="28" t="n"/>
    </row>
    <row r="133" ht="21.6" customHeight="1" s="49">
      <c r="H133" s="28" t="n"/>
    </row>
    <row r="134" ht="21.6" customHeight="1" s="49">
      <c r="H134" s="28" t="n"/>
    </row>
    <row r="135" ht="21.6" customHeight="1" s="49">
      <c r="H135" s="28" t="n"/>
    </row>
    <row r="136" ht="21.6" customHeight="1" s="49">
      <c r="H136" s="28" t="n"/>
    </row>
    <row r="137" ht="21.6" customHeight="1" s="49">
      <c r="H137" s="28" t="n"/>
    </row>
    <row r="138" ht="21.6" customHeight="1" s="49">
      <c r="H138" s="28" t="n"/>
    </row>
    <row r="139" ht="21.6" customHeight="1" s="49">
      <c r="H139" s="28" t="n"/>
    </row>
    <row r="140" ht="21.6" customHeight="1" s="49">
      <c r="H140" s="28" t="n"/>
    </row>
    <row r="141" ht="21.6" customHeight="1" s="49">
      <c r="H141" s="28" t="n"/>
    </row>
    <row r="142" ht="21.6" customHeight="1" s="49">
      <c r="H142" s="28" t="n"/>
    </row>
    <row r="143" ht="21.6" customHeight="1" s="49">
      <c r="H143" s="28" t="n"/>
    </row>
    <row r="144" ht="21.6" customHeight="1" s="49">
      <c r="H144" s="28" t="n"/>
    </row>
    <row r="145" ht="21.6" customHeight="1" s="49">
      <c r="H145" s="28" t="n"/>
    </row>
    <row r="146" ht="21.6" customHeight="1" s="49">
      <c r="H146" s="28" t="n"/>
    </row>
    <row r="147" ht="21.6" customHeight="1" s="49">
      <c r="H147" s="28" t="n"/>
    </row>
    <row r="148" ht="21.6" customHeight="1" s="49">
      <c r="H148" s="28" t="n"/>
    </row>
    <row r="149" ht="21.6" customHeight="1" s="49">
      <c r="H149" s="28" t="n"/>
    </row>
    <row r="150" ht="21.6" customHeight="1" s="49">
      <c r="H150" s="28" t="n"/>
    </row>
    <row r="151" ht="21.6" customHeight="1" s="49">
      <c r="H151" s="28" t="n"/>
    </row>
    <row r="152" ht="21.6" customHeight="1" s="49">
      <c r="H152" s="28" t="n"/>
    </row>
    <row r="153" ht="21.6" customHeight="1" s="49">
      <c r="H153" s="28" t="n"/>
    </row>
    <row r="154" ht="21.6" customHeight="1" s="49">
      <c r="H154" s="28" t="n"/>
    </row>
    <row r="155" ht="21.6" customHeight="1" s="49">
      <c r="H155" s="28" t="n"/>
    </row>
    <row r="156" ht="21.6" customHeight="1" s="49">
      <c r="H156" s="28" t="n"/>
    </row>
    <row r="157" ht="21.6" customHeight="1" s="49">
      <c r="H157" s="28" t="n"/>
    </row>
    <row r="158" ht="21.6" customHeight="1" s="49">
      <c r="H158" s="28" t="n"/>
    </row>
    <row r="159" ht="21.6" customHeight="1" s="49">
      <c r="H159" s="28" t="n"/>
    </row>
    <row r="160" ht="21.6" customHeight="1" s="49">
      <c r="H160" s="28" t="n"/>
    </row>
    <row r="161" ht="21.6" customHeight="1" s="49">
      <c r="H161" s="28" t="n"/>
    </row>
    <row r="162" ht="21.6" customHeight="1" s="49">
      <c r="H162" s="28" t="n"/>
    </row>
    <row r="163" ht="21.6" customHeight="1" s="49">
      <c r="H163" s="28" t="n"/>
    </row>
    <row r="164" ht="21.6" customHeight="1" s="49">
      <c r="H164" s="28" t="n"/>
    </row>
    <row r="165" ht="21.6" customHeight="1" s="49">
      <c r="H165" s="28" t="n"/>
    </row>
    <row r="166" ht="21.6" customHeight="1" s="49">
      <c r="H166" s="28" t="n"/>
    </row>
    <row r="167" ht="21.6" customHeight="1" s="49">
      <c r="H167" s="28" t="n"/>
    </row>
    <row r="168" ht="21.6" customHeight="1" s="49">
      <c r="H168" s="28" t="n"/>
    </row>
    <row r="169" ht="21.6" customHeight="1" s="49">
      <c r="H169" s="28" t="n"/>
    </row>
    <row r="170" ht="21.6" customHeight="1" s="49">
      <c r="H170" s="28" t="n"/>
    </row>
    <row r="171" ht="21.6" customHeight="1" s="49">
      <c r="H171" s="28" t="n"/>
    </row>
    <row r="172" ht="21.6" customHeight="1" s="49">
      <c r="H172" s="28" t="n"/>
    </row>
    <row r="173" ht="21.6" customHeight="1" s="49">
      <c r="H173" s="28" t="n"/>
    </row>
    <row r="174" ht="21.6" customHeight="1" s="49">
      <c r="H174" s="28" t="n"/>
    </row>
    <row r="175" ht="21.6" customHeight="1" s="49">
      <c r="H175" s="28" t="n"/>
    </row>
    <row r="176" ht="21.6" customHeight="1" s="49">
      <c r="H176" s="28" t="n"/>
    </row>
    <row r="177" ht="21.6" customHeight="1" s="49">
      <c r="H177" s="28" t="n"/>
    </row>
    <row r="178" ht="21.6" customHeight="1" s="49">
      <c r="H178" s="28" t="n"/>
    </row>
    <row r="179" ht="21.6" customHeight="1" s="49">
      <c r="H179" s="28" t="n"/>
    </row>
    <row r="180" ht="21.6" customHeight="1" s="49">
      <c r="H180" s="28" t="n"/>
    </row>
    <row r="181" ht="21.6" customHeight="1" s="49">
      <c r="H181" s="28" t="n"/>
    </row>
    <row r="182" ht="21.6" customHeight="1" s="49">
      <c r="H182" s="28" t="n"/>
    </row>
    <row r="183" ht="21.6" customHeight="1" s="49">
      <c r="H183" s="28" t="n"/>
    </row>
    <row r="184" ht="21.6" customHeight="1" s="49">
      <c r="H184" s="28" t="n"/>
    </row>
    <row r="185" ht="21.6" customHeight="1" s="49">
      <c r="H185" s="28" t="n"/>
    </row>
    <row r="186" ht="21.6" customHeight="1" s="49">
      <c r="H186" s="28" t="n"/>
    </row>
    <row r="187" ht="21.6" customHeight="1" s="49">
      <c r="H187" s="28" t="n"/>
    </row>
    <row r="188" ht="21.6" customHeight="1" s="49">
      <c r="H188" s="28" t="n"/>
    </row>
    <row r="189" ht="21.6" customHeight="1" s="49">
      <c r="H189" s="28" t="n"/>
    </row>
    <row r="190" ht="21.6" customHeight="1" s="49">
      <c r="H190" s="28" t="n"/>
    </row>
    <row r="191" ht="21.6" customHeight="1" s="49">
      <c r="H191" s="28" t="n"/>
    </row>
    <row r="192" ht="21.6" customHeight="1" s="49">
      <c r="H192" s="28" t="n"/>
    </row>
    <row r="193" ht="21.6" customHeight="1" s="49">
      <c r="H193" s="28" t="n"/>
    </row>
    <row r="194" ht="21.6" customHeight="1" s="49">
      <c r="H194" s="28" t="n"/>
    </row>
    <row r="195" ht="21.6" customHeight="1" s="49">
      <c r="H195" s="28" t="n"/>
    </row>
    <row r="196" ht="21.6" customHeight="1" s="49">
      <c r="H196" s="28" t="n"/>
    </row>
    <row r="197" ht="21.6" customHeight="1" s="49">
      <c r="H197" s="28" t="n"/>
    </row>
    <row r="198" ht="21.6" customHeight="1" s="49">
      <c r="H198" s="28" t="n"/>
    </row>
    <row r="199" ht="21.6" customHeight="1" s="49">
      <c r="H199" s="28" t="n"/>
    </row>
    <row r="200" ht="21.6" customHeight="1" s="49">
      <c r="H200" s="28" t="n"/>
    </row>
    <row r="201" ht="21.6" customHeight="1" s="49">
      <c r="H201" s="28" t="n"/>
    </row>
    <row r="202" ht="21.6" customHeight="1" s="49">
      <c r="H202" s="28" t="n"/>
    </row>
    <row r="203" ht="21.6" customHeight="1" s="49">
      <c r="H203" s="28" t="n"/>
    </row>
    <row r="204" ht="21.6" customHeight="1" s="49">
      <c r="H204" s="28" t="n"/>
    </row>
    <row r="205" ht="21.6" customHeight="1" s="49">
      <c r="H205" s="28" t="n"/>
    </row>
    <row r="206" ht="21.6" customHeight="1" s="49">
      <c r="H206" s="28" t="n"/>
    </row>
    <row r="207" ht="21.6" customHeight="1" s="49">
      <c r="H207" s="28" t="n"/>
    </row>
    <row r="208" ht="21.6" customHeight="1" s="49">
      <c r="H208" s="28" t="n"/>
    </row>
    <row r="209" ht="21.6" customHeight="1" s="49">
      <c r="H209" s="28" t="n"/>
    </row>
    <row r="210" ht="21.6" customHeight="1" s="49">
      <c r="H210" s="28" t="n"/>
    </row>
    <row r="211" ht="21.6" customHeight="1" s="49">
      <c r="H211" s="28" t="n"/>
    </row>
    <row r="212" ht="21.6" customHeight="1" s="49">
      <c r="H212" s="28" t="n"/>
    </row>
    <row r="213" ht="21.6" customHeight="1" s="49">
      <c r="H213" s="28" t="n"/>
    </row>
    <row r="214" ht="21.6" customHeight="1" s="49">
      <c r="H214" s="28" t="n"/>
    </row>
    <row r="215" ht="21.6" customHeight="1" s="49">
      <c r="H215" s="28" t="n"/>
    </row>
    <row r="216" ht="21.6" customHeight="1" s="49">
      <c r="H216" s="28" t="n"/>
    </row>
    <row r="217" ht="21.6" customHeight="1" s="49">
      <c r="H217" s="28" t="n"/>
    </row>
    <row r="218" ht="21.6" customHeight="1" s="49">
      <c r="H218" s="28" t="n"/>
    </row>
    <row r="219" ht="21.6" customHeight="1" s="49">
      <c r="H219" s="28" t="n"/>
    </row>
    <row r="220" ht="21.6" customHeight="1" s="49">
      <c r="H220" s="28" t="n"/>
    </row>
    <row r="221" ht="21.6" customHeight="1" s="49">
      <c r="H221" s="28" t="n"/>
    </row>
    <row r="222" ht="21.6" customHeight="1" s="49">
      <c r="H222" s="28" t="n"/>
    </row>
    <row r="223" ht="21.6" customHeight="1" s="49">
      <c r="H223" s="28" t="n"/>
    </row>
    <row r="224" ht="21.6" customHeight="1" s="49">
      <c r="H224" s="28" t="n"/>
    </row>
    <row r="225" ht="21.6" customHeight="1" s="49">
      <c r="H225" s="28" t="n"/>
    </row>
    <row r="226" ht="21.6" customHeight="1" s="49">
      <c r="H226" s="28" t="n"/>
    </row>
    <row r="227" ht="21.6" customHeight="1" s="49">
      <c r="H227" s="28" t="n"/>
    </row>
    <row r="228" ht="21.6" customHeight="1" s="49">
      <c r="H228" s="28" t="n"/>
    </row>
    <row r="229" ht="21.6" customHeight="1" s="49">
      <c r="H229" s="28" t="n"/>
    </row>
    <row r="230" ht="21.6" customHeight="1" s="49">
      <c r="H230" s="28" t="n"/>
    </row>
    <row r="231" ht="21.6" customHeight="1" s="49">
      <c r="H231" s="28" t="n"/>
    </row>
    <row r="232" ht="21.6" customHeight="1" s="49">
      <c r="H232" s="28" t="n"/>
    </row>
    <row r="233" ht="21.6" customHeight="1" s="49">
      <c r="H233" s="28" t="n"/>
    </row>
    <row r="234" ht="21.6" customHeight="1" s="49">
      <c r="H234" s="28" t="n"/>
    </row>
    <row r="235" ht="21.6" customHeight="1" s="49">
      <c r="H235" s="28" t="n"/>
    </row>
    <row r="236" ht="21.6" customHeight="1" s="49">
      <c r="H236" s="28" t="n"/>
    </row>
    <row r="237" ht="21.6" customHeight="1" s="49">
      <c r="H237" s="28" t="n"/>
    </row>
    <row r="238" ht="21.6" customHeight="1" s="49">
      <c r="H238" s="28" t="n"/>
    </row>
    <row r="239" ht="21.6" customHeight="1" s="49">
      <c r="H239" s="28" t="n"/>
    </row>
    <row r="240" ht="21.6" customHeight="1" s="49">
      <c r="H240" s="28" t="n"/>
    </row>
    <row r="241" ht="21.6" customHeight="1" s="49">
      <c r="H241" s="28" t="n"/>
    </row>
    <row r="242" ht="21.6" customHeight="1" s="49">
      <c r="H242" s="28" t="n"/>
    </row>
    <row r="243" ht="21.6" customHeight="1" s="49">
      <c r="H243" s="28" t="n"/>
    </row>
    <row r="244" ht="21.6" customHeight="1" s="49">
      <c r="H244" s="28" t="n"/>
    </row>
    <row r="245" ht="21.6" customHeight="1" s="49">
      <c r="H245" s="28" t="n"/>
    </row>
    <row r="246" ht="21.6" customHeight="1" s="49">
      <c r="H246" s="28" t="n"/>
    </row>
    <row r="247" ht="21.6" customHeight="1" s="49">
      <c r="H247" s="28" t="n"/>
    </row>
    <row r="248" ht="21.6" customHeight="1" s="49">
      <c r="H248" s="28" t="n"/>
    </row>
    <row r="249" ht="21.6" customHeight="1" s="49">
      <c r="H249" s="28" t="n"/>
    </row>
    <row r="250" ht="21.6" customHeight="1" s="49">
      <c r="H250" s="28" t="n"/>
    </row>
    <row r="251" ht="21.6" customHeight="1" s="49">
      <c r="H251" s="28" t="n"/>
    </row>
    <row r="252" ht="21.6" customHeight="1" s="49">
      <c r="H252" s="28" t="n"/>
    </row>
    <row r="253" ht="21.6" customHeight="1" s="49">
      <c r="H253" s="28" t="n"/>
    </row>
    <row r="254" ht="21.6" customHeight="1" s="49">
      <c r="H254" s="28" t="n"/>
    </row>
    <row r="255" ht="21.6" customHeight="1" s="49">
      <c r="H255" s="28" t="n"/>
    </row>
    <row r="256" ht="21.6" customHeight="1" s="49">
      <c r="H256" s="28" t="n"/>
    </row>
    <row r="257" ht="21.6" customHeight="1" s="49">
      <c r="H257" s="28" t="n"/>
    </row>
    <row r="258" ht="21.6" customHeight="1" s="49">
      <c r="H258" s="28" t="n"/>
    </row>
    <row r="259" ht="21.6" customHeight="1" s="49">
      <c r="H259" s="28" t="n"/>
    </row>
    <row r="260" ht="21.6" customHeight="1" s="49">
      <c r="H260" s="28" t="n"/>
    </row>
    <row r="261" ht="21.6" customHeight="1" s="49">
      <c r="H261" s="28" t="n"/>
    </row>
    <row r="262" ht="21.6" customHeight="1" s="49">
      <c r="H262" s="28" t="n"/>
    </row>
    <row r="263" ht="21.6" customHeight="1" s="49">
      <c r="H263" s="28" t="n"/>
    </row>
    <row r="264" ht="21.6" customHeight="1" s="49">
      <c r="H264" s="28" t="n"/>
    </row>
    <row r="265" ht="21.6" customHeight="1" s="49">
      <c r="H265" s="28" t="n"/>
    </row>
    <row r="266" ht="21.6" customHeight="1" s="49">
      <c r="H266" s="28" t="n"/>
    </row>
    <row r="267" ht="21.6" customHeight="1" s="49">
      <c r="H267" s="28" t="n"/>
    </row>
    <row r="268" ht="21.6" customHeight="1" s="49">
      <c r="H268" s="28" t="n"/>
    </row>
    <row r="269" ht="21.6" customHeight="1" s="49">
      <c r="H269" s="28" t="n"/>
    </row>
    <row r="270" ht="21.6" customHeight="1" s="49">
      <c r="H270" s="28" t="n"/>
    </row>
    <row r="271" ht="21.6" customHeight="1" s="49">
      <c r="H271" s="28" t="n"/>
    </row>
    <row r="272" ht="21.6" customHeight="1" s="49">
      <c r="H272" s="28" t="n"/>
    </row>
    <row r="273" ht="21.6" customHeight="1" s="49">
      <c r="H273" s="28" t="n"/>
    </row>
    <row r="274" ht="21.6" customHeight="1" s="49">
      <c r="H274" s="28" t="n"/>
    </row>
    <row r="275" ht="21.6" customHeight="1" s="49">
      <c r="H275" s="28" t="n"/>
    </row>
    <row r="276" ht="21.6" customHeight="1" s="49">
      <c r="H276" s="28" t="n"/>
    </row>
    <row r="277" ht="21.6" customHeight="1" s="49">
      <c r="H277" s="28" t="n"/>
    </row>
    <row r="278" ht="21.6" customHeight="1" s="49">
      <c r="H278" s="28" t="n"/>
    </row>
    <row r="279" ht="21.6" customHeight="1" s="49">
      <c r="H279" s="28" t="n"/>
    </row>
    <row r="280" ht="21.6" customHeight="1" s="49">
      <c r="H280" s="28" t="n"/>
    </row>
    <row r="281" ht="21.6" customHeight="1" s="49">
      <c r="H281" s="28" t="n"/>
    </row>
    <row r="282" ht="21.6" customHeight="1" s="49">
      <c r="H282" s="28" t="n"/>
    </row>
    <row r="283" ht="21.6" customHeight="1" s="49">
      <c r="H283" s="28" t="n"/>
    </row>
    <row r="284" ht="21.6" customHeight="1" s="49">
      <c r="H284" s="28" t="n"/>
    </row>
    <row r="285" ht="21.6" customHeight="1" s="49">
      <c r="H285" s="28" t="n"/>
    </row>
    <row r="286" ht="21.6" customHeight="1" s="49">
      <c r="H286" s="28" t="n"/>
    </row>
    <row r="287" ht="21.6" customHeight="1" s="49">
      <c r="H287" s="28" t="n"/>
    </row>
    <row r="288" ht="21.6" customHeight="1" s="49">
      <c r="H288" s="28" t="n"/>
    </row>
    <row r="289" ht="21.6" customHeight="1" s="49">
      <c r="H289" s="28" t="n"/>
    </row>
    <row r="290" ht="21.6" customHeight="1" s="49">
      <c r="H290" s="28" t="n"/>
    </row>
    <row r="291" ht="21.6" customHeight="1" s="49">
      <c r="H291" s="28" t="n"/>
    </row>
    <row r="292" ht="21.6" customHeight="1" s="49">
      <c r="H292" s="28" t="n"/>
    </row>
    <row r="293" ht="21.6" customHeight="1" s="49">
      <c r="H293" s="28" t="n"/>
    </row>
    <row r="294" ht="21.6" customHeight="1" s="49">
      <c r="H294" s="28" t="n"/>
    </row>
    <row r="295" ht="21.6" customHeight="1" s="49">
      <c r="H295" s="28" t="n"/>
    </row>
    <row r="296" ht="21.6" customHeight="1" s="49">
      <c r="H296" s="28" t="n"/>
    </row>
    <row r="297" ht="21.6" customHeight="1" s="49">
      <c r="H297" s="28" t="n"/>
    </row>
    <row r="298" ht="21.6" customHeight="1" s="49">
      <c r="H298" s="28" t="n"/>
    </row>
    <row r="299" ht="21.6" customHeight="1" s="49">
      <c r="H299" s="28" t="n"/>
    </row>
    <row r="300" ht="21.6" customHeight="1" s="49">
      <c r="H300" s="28" t="n"/>
    </row>
    <row r="301" ht="21.6" customHeight="1" s="49">
      <c r="H301" s="28" t="n"/>
    </row>
    <row r="302" ht="21.6" customHeight="1" s="49">
      <c r="H302" s="28" t="n"/>
    </row>
    <row r="303" ht="21.6" customHeight="1" s="49">
      <c r="H303" s="28" t="n"/>
    </row>
    <row r="304" ht="21.6" customHeight="1" s="49">
      <c r="H304" s="28" t="n"/>
    </row>
    <row r="305" ht="21.6" customHeight="1" s="49">
      <c r="H305" s="28" t="n"/>
    </row>
    <row r="306" ht="21.6" customHeight="1" s="49">
      <c r="H306" s="28" t="n"/>
    </row>
    <row r="307" ht="21.6" customHeight="1" s="49">
      <c r="H307" s="28" t="n"/>
    </row>
    <row r="308" ht="21.6" customHeight="1" s="49">
      <c r="H308" s="28" t="n"/>
    </row>
    <row r="309" ht="21.6" customHeight="1" s="49">
      <c r="H309" s="28" t="n"/>
    </row>
    <row r="310" ht="21.6" customHeight="1" s="49">
      <c r="H310" s="28" t="n"/>
    </row>
    <row r="311" ht="21.6" customHeight="1" s="49">
      <c r="H311" s="28" t="n"/>
    </row>
    <row r="312" ht="21.6" customHeight="1" s="49">
      <c r="H312" s="28" t="n"/>
    </row>
    <row r="313" ht="21.6" customHeight="1" s="49">
      <c r="H313" s="28" t="n"/>
    </row>
    <row r="314" ht="21.6" customHeight="1" s="49">
      <c r="H314" s="28" t="n"/>
    </row>
    <row r="315" ht="21.6" customHeight="1" s="49">
      <c r="H315" s="28" t="n"/>
    </row>
    <row r="316" ht="21.6" customHeight="1" s="49">
      <c r="H316" s="28" t="n"/>
    </row>
    <row r="317" ht="21.6" customHeight="1" s="49">
      <c r="H317" s="28" t="n"/>
    </row>
    <row r="318" ht="21.6" customHeight="1" s="49">
      <c r="H318" s="28" t="n"/>
    </row>
    <row r="319" ht="21.6" customHeight="1" s="49">
      <c r="H319" s="28" t="n"/>
    </row>
    <row r="320" ht="21.6" customHeight="1" s="49">
      <c r="H320" s="28" t="n"/>
    </row>
    <row r="321" ht="21.6" customHeight="1" s="49">
      <c r="H321" s="28" t="n"/>
    </row>
    <row r="322" ht="21.6" customHeight="1" s="49">
      <c r="H322" s="28" t="n"/>
    </row>
    <row r="323" ht="21.6" customHeight="1" s="49">
      <c r="H323" s="28" t="n"/>
    </row>
    <row r="324" ht="21.6" customHeight="1" s="49">
      <c r="H324" s="28" t="n"/>
    </row>
    <row r="325" ht="21.6" customHeight="1" s="49">
      <c r="H325" s="28" t="n"/>
    </row>
    <row r="326" ht="21.6" customHeight="1" s="49">
      <c r="H326" s="28" t="n"/>
    </row>
    <row r="327" ht="21.6" customHeight="1" s="49">
      <c r="H327" s="28" t="n"/>
    </row>
    <row r="328" ht="21.6" customHeight="1" s="49">
      <c r="H328" s="28" t="n"/>
    </row>
    <row r="329" ht="21.6" customHeight="1" s="49">
      <c r="H329" s="28" t="n"/>
    </row>
    <row r="330" ht="21.6" customHeight="1" s="49">
      <c r="H330" s="28" t="n"/>
    </row>
    <row r="331" ht="21.6" customHeight="1" s="49">
      <c r="H331" s="28" t="n"/>
    </row>
    <row r="332" ht="21.6" customHeight="1" s="49">
      <c r="H332" s="28" t="n"/>
    </row>
    <row r="333" ht="21.6" customHeight="1" s="49">
      <c r="H333" s="28" t="n"/>
    </row>
    <row r="334" ht="21.6" customHeight="1" s="49">
      <c r="H334" s="28" t="n"/>
    </row>
    <row r="335" ht="21.6" customHeight="1" s="49">
      <c r="H335" s="28" t="n"/>
    </row>
    <row r="336" ht="21.6" customHeight="1" s="49">
      <c r="H336" s="28" t="n"/>
    </row>
    <row r="337" ht="21.6" customHeight="1" s="49">
      <c r="H337" s="28" t="n"/>
    </row>
    <row r="338" ht="21.6" customHeight="1" s="49">
      <c r="H338" s="28" t="n"/>
    </row>
    <row r="339" ht="21.6" customHeight="1" s="49">
      <c r="H339" s="28" t="n"/>
    </row>
    <row r="340" ht="21.6" customHeight="1" s="49">
      <c r="H340" s="28" t="n"/>
    </row>
    <row r="341" ht="21.6" customHeight="1" s="49">
      <c r="H341" s="28" t="n"/>
    </row>
    <row r="342" ht="21.6" customHeight="1" s="49">
      <c r="H342" s="28" t="n"/>
    </row>
    <row r="343" ht="21.6" customHeight="1" s="49">
      <c r="H343" s="28" t="n"/>
    </row>
    <row r="344" ht="21.6" customHeight="1" s="49">
      <c r="H344" s="28" t="n"/>
    </row>
    <row r="345" ht="21.6" customHeight="1" s="49">
      <c r="H345" s="28" t="n"/>
    </row>
    <row r="346" ht="21.6" customHeight="1" s="49">
      <c r="H346" s="28" t="n"/>
    </row>
    <row r="347" ht="21.6" customHeight="1" s="49">
      <c r="H347" s="28" t="n"/>
    </row>
    <row r="348" ht="21.6" customHeight="1" s="49">
      <c r="H348" s="28" t="n"/>
    </row>
    <row r="349" ht="21.6" customHeight="1" s="49">
      <c r="H349" s="28" t="n"/>
    </row>
    <row r="350" ht="21.6" customHeight="1" s="49">
      <c r="H350" s="28" t="n"/>
    </row>
    <row r="351" ht="21.6" customHeight="1" s="49">
      <c r="H351" s="28" t="n"/>
    </row>
    <row r="352" ht="21.6" customHeight="1" s="49">
      <c r="H352" s="28" t="n"/>
    </row>
    <row r="353" ht="21.6" customHeight="1" s="49">
      <c r="H353" s="28" t="n"/>
    </row>
    <row r="354" ht="21.6" customHeight="1" s="49">
      <c r="H354" s="28" t="n"/>
    </row>
    <row r="355" ht="21.6" customHeight="1" s="49">
      <c r="H355" s="28" t="n"/>
    </row>
    <row r="356" ht="21.6" customHeight="1" s="49">
      <c r="H356" s="28" t="n"/>
    </row>
    <row r="357" ht="21.6" customHeight="1" s="49">
      <c r="H357" s="28" t="n"/>
    </row>
    <row r="358" ht="21.6" customHeight="1" s="49">
      <c r="H358" s="28" t="n"/>
    </row>
    <row r="359" ht="21.6" customHeight="1" s="49">
      <c r="H359" s="28" t="n"/>
    </row>
    <row r="360" ht="21.6" customHeight="1" s="49">
      <c r="H360" s="28" t="n"/>
    </row>
    <row r="361" ht="21.6" customHeight="1" s="49">
      <c r="H361" s="28" t="n"/>
    </row>
    <row r="362" ht="21.6" customHeight="1" s="49">
      <c r="H362" s="28" t="n"/>
    </row>
    <row r="363" ht="21.6" customHeight="1" s="49">
      <c r="H363" s="28" t="n"/>
    </row>
    <row r="364" ht="21.6" customHeight="1" s="49">
      <c r="H364" s="28" t="n"/>
    </row>
    <row r="365" ht="21.6" customHeight="1" s="49">
      <c r="H365" s="28" t="n"/>
    </row>
    <row r="366" ht="21.6" customHeight="1" s="49">
      <c r="H366" s="28" t="n"/>
    </row>
    <row r="367" ht="21.6" customHeight="1" s="49">
      <c r="H367" s="28" t="n"/>
    </row>
    <row r="368" ht="21.6" customHeight="1" s="49">
      <c r="H368" s="28" t="n"/>
    </row>
    <row r="369" ht="21.6" customHeight="1" s="49">
      <c r="H369" s="28" t="n"/>
    </row>
    <row r="370" ht="21.6" customHeight="1" s="49">
      <c r="H370" s="28" t="n"/>
    </row>
    <row r="371" ht="21.6" customHeight="1" s="49">
      <c r="H371" s="28" t="n"/>
    </row>
    <row r="372" ht="21.6" customHeight="1" s="49">
      <c r="H372" s="28" t="n"/>
    </row>
    <row r="373" ht="21.6" customHeight="1" s="49">
      <c r="H373" s="28" t="n"/>
    </row>
    <row r="374" ht="21.6" customHeight="1" s="49">
      <c r="H374" s="28" t="n"/>
    </row>
    <row r="375" ht="21.6" customHeight="1" s="49">
      <c r="H375" s="28" t="n"/>
    </row>
    <row r="376" ht="21.6" customHeight="1" s="49">
      <c r="H376" s="28" t="n"/>
    </row>
    <row r="377" ht="21.6" customHeight="1" s="49">
      <c r="H377" s="28" t="n"/>
    </row>
    <row r="378" ht="21.6" customHeight="1" s="49">
      <c r="H378" s="28" t="n"/>
    </row>
    <row r="379" ht="21.6" customHeight="1" s="49">
      <c r="H379" s="28" t="n"/>
    </row>
    <row r="380" ht="21.6" customHeight="1" s="49">
      <c r="H380" s="28" t="n"/>
    </row>
    <row r="381" ht="21.6" customHeight="1" s="49">
      <c r="H381" s="28" t="n"/>
    </row>
    <row r="382" ht="21.6" customHeight="1" s="49">
      <c r="H382" s="28" t="n"/>
    </row>
    <row r="383" ht="21.6" customHeight="1" s="49">
      <c r="H383" s="28" t="n"/>
    </row>
    <row r="384" ht="21.6" customHeight="1" s="49">
      <c r="H384" s="28" t="n"/>
    </row>
    <row r="385" ht="21.6" customHeight="1" s="49">
      <c r="H385" s="28" t="n"/>
    </row>
    <row r="386" ht="21.6" customHeight="1" s="49">
      <c r="H386" s="28" t="n"/>
    </row>
    <row r="387" ht="21.6" customHeight="1" s="49">
      <c r="H387" s="28" t="n"/>
    </row>
    <row r="388" ht="21.6" customHeight="1" s="49">
      <c r="H388" s="28" t="n"/>
    </row>
    <row r="389" ht="21.6" customHeight="1" s="49">
      <c r="H389" s="28" t="n"/>
    </row>
    <row r="390" ht="21.6" customHeight="1" s="49">
      <c r="H390" s="28" t="n"/>
    </row>
    <row r="391" ht="21.6" customHeight="1" s="49">
      <c r="H391" s="28" t="n"/>
    </row>
    <row r="392" ht="21.6" customHeight="1" s="49">
      <c r="H392" s="28" t="n"/>
    </row>
    <row r="393" ht="21.6" customHeight="1" s="49">
      <c r="H393" s="28" t="n"/>
    </row>
    <row r="394" ht="21.6" customHeight="1" s="49">
      <c r="H394" s="28" t="n"/>
    </row>
    <row r="395" ht="21.6" customHeight="1" s="49">
      <c r="H395" s="28" t="n"/>
    </row>
    <row r="396" ht="21.6" customHeight="1" s="49">
      <c r="H396" s="28" t="n"/>
    </row>
    <row r="397" ht="21.6" customHeight="1" s="49">
      <c r="H397" s="28" t="n"/>
    </row>
    <row r="398" ht="21.6" customHeight="1" s="49">
      <c r="H398" s="28" t="n"/>
    </row>
    <row r="399" ht="21.6" customHeight="1" s="49">
      <c r="H399" s="28" t="n"/>
    </row>
    <row r="400" ht="21.6" customHeight="1" s="49">
      <c r="H400" s="28" t="n"/>
    </row>
    <row r="401" ht="21.6" customHeight="1" s="49">
      <c r="H401" s="28" t="n"/>
    </row>
    <row r="402" ht="21.6" customHeight="1" s="49">
      <c r="H402" s="28" t="n"/>
    </row>
    <row r="403" ht="21.6" customHeight="1" s="49">
      <c r="H403" s="28" t="n"/>
    </row>
    <row r="404" ht="21.6" customHeight="1" s="49">
      <c r="H404" s="28" t="n"/>
    </row>
    <row r="405" ht="21.6" customHeight="1" s="49">
      <c r="H405" s="28" t="n"/>
    </row>
    <row r="406" ht="21.6" customHeight="1" s="49">
      <c r="H406" s="28" t="n"/>
    </row>
    <row r="407" ht="21.6" customHeight="1" s="49">
      <c r="H407" s="28" t="n"/>
    </row>
    <row r="408" ht="21.6" customHeight="1" s="49">
      <c r="H408" s="28" t="n"/>
    </row>
    <row r="409" ht="21.6" customHeight="1" s="49">
      <c r="H409" s="28" t="n"/>
    </row>
    <row r="410" ht="21.6" customHeight="1" s="49">
      <c r="H410" s="28" t="n"/>
    </row>
    <row r="411" ht="21.6" customHeight="1" s="49">
      <c r="H411" s="28" t="n"/>
    </row>
    <row r="412" ht="21.6" customHeight="1" s="49">
      <c r="H412" s="28" t="n"/>
    </row>
    <row r="413" ht="21.6" customHeight="1" s="49">
      <c r="H413" s="28" t="n"/>
    </row>
    <row r="414" ht="21.6" customHeight="1" s="49">
      <c r="H414" s="28" t="n"/>
    </row>
    <row r="415" ht="21.6" customHeight="1" s="49">
      <c r="H415" s="28" t="n"/>
    </row>
    <row r="416" ht="21.6" customHeight="1" s="49">
      <c r="H416" s="28" t="n"/>
    </row>
    <row r="417" ht="21.6" customHeight="1" s="49">
      <c r="H417" s="28" t="n"/>
    </row>
    <row r="418" ht="21.6" customHeight="1" s="49">
      <c r="H418" s="28" t="n"/>
    </row>
    <row r="419" ht="21.6" customHeight="1" s="49">
      <c r="H419" s="28" t="n"/>
    </row>
    <row r="420" ht="21.6" customHeight="1" s="49">
      <c r="H420" s="28" t="n"/>
    </row>
    <row r="421" ht="21.6" customHeight="1" s="49">
      <c r="H421" s="28" t="n"/>
    </row>
    <row r="422" ht="21.6" customHeight="1" s="49">
      <c r="H422" s="28" t="n"/>
    </row>
    <row r="423" ht="21.6" customHeight="1" s="49">
      <c r="H423" s="28" t="n"/>
    </row>
    <row r="424" ht="21.6" customHeight="1" s="49">
      <c r="H424" s="28" t="n"/>
    </row>
    <row r="425" ht="21.6" customHeight="1" s="49">
      <c r="H425" s="28" t="n"/>
    </row>
    <row r="426" ht="21.6" customHeight="1" s="49">
      <c r="H426" s="28" t="n"/>
    </row>
    <row r="427" ht="21.6" customHeight="1" s="49">
      <c r="H427" s="28" t="n"/>
    </row>
    <row r="428" ht="21.6" customHeight="1" s="49">
      <c r="H428" s="28" t="n"/>
    </row>
    <row r="429" ht="21.6" customHeight="1" s="49">
      <c r="H429" s="28" t="n"/>
    </row>
    <row r="430" ht="21.6" customHeight="1" s="49">
      <c r="H430" s="28" t="n"/>
    </row>
    <row r="431" ht="21.6" customHeight="1" s="49">
      <c r="H431" s="28" t="n"/>
    </row>
    <row r="432" ht="21.6" customHeight="1" s="49">
      <c r="H432" s="28" t="n"/>
    </row>
    <row r="433" ht="21.6" customHeight="1" s="49">
      <c r="H433" s="28" t="n"/>
    </row>
    <row r="434" ht="21.6" customHeight="1" s="49">
      <c r="H434" s="28" t="n"/>
    </row>
    <row r="435" ht="21.6" customHeight="1" s="49">
      <c r="H435" s="28" t="n"/>
    </row>
    <row r="436" ht="21.6" customHeight="1" s="49">
      <c r="H436" s="28" t="n"/>
    </row>
    <row r="437" ht="21.6" customHeight="1" s="49">
      <c r="H437" s="28" t="n"/>
    </row>
    <row r="438" ht="21.6" customHeight="1" s="49">
      <c r="H438" s="28" t="n"/>
    </row>
    <row r="439" ht="21.6" customHeight="1" s="49">
      <c r="H439" s="28" t="n"/>
    </row>
    <row r="440" ht="21.6" customHeight="1" s="49">
      <c r="H440" s="28" t="n"/>
    </row>
    <row r="441" ht="21.6" customHeight="1" s="49">
      <c r="H441" s="28" t="n"/>
    </row>
    <row r="442" ht="21.6" customHeight="1" s="49">
      <c r="H442" s="28" t="n"/>
    </row>
    <row r="443" ht="21.6" customHeight="1" s="49">
      <c r="H443" s="28" t="n"/>
    </row>
    <row r="444" ht="21.6" customHeight="1" s="49">
      <c r="H444" s="28" t="n"/>
    </row>
    <row r="445" ht="21.6" customHeight="1" s="49">
      <c r="H445" s="28" t="n"/>
    </row>
    <row r="446" ht="21.6" customHeight="1" s="49">
      <c r="H446" s="28" t="n"/>
    </row>
    <row r="447" ht="21.6" customHeight="1" s="49">
      <c r="H447" s="28" t="n"/>
    </row>
    <row r="448" ht="21.6" customHeight="1" s="49">
      <c r="H448" s="28" t="n"/>
    </row>
    <row r="449" ht="21.6" customHeight="1" s="49">
      <c r="H449" s="28" t="n"/>
    </row>
    <row r="450" ht="21.6" customHeight="1" s="49">
      <c r="H450" s="28" t="n"/>
    </row>
    <row r="451" ht="21.6" customHeight="1" s="49">
      <c r="H451" s="28" t="n"/>
    </row>
    <row r="452" ht="21.6" customHeight="1" s="49">
      <c r="H452" s="28" t="n"/>
    </row>
    <row r="453" ht="21.6" customHeight="1" s="49">
      <c r="H453" s="28" t="n"/>
    </row>
    <row r="454" ht="21.6" customHeight="1" s="49">
      <c r="H454" s="28" t="n"/>
    </row>
    <row r="455" ht="21.6" customHeight="1" s="49">
      <c r="H455" s="28" t="n"/>
    </row>
    <row r="456" ht="21.6" customHeight="1" s="49">
      <c r="H456" s="28" t="n"/>
    </row>
    <row r="457" ht="21.6" customHeight="1" s="49">
      <c r="H457" s="28" t="n"/>
    </row>
    <row r="458" ht="21.6" customHeight="1" s="49">
      <c r="H458" s="28" t="n"/>
    </row>
    <row r="459" ht="21.6" customHeight="1" s="49">
      <c r="H459" s="28" t="n"/>
    </row>
    <row r="460" ht="21.6" customHeight="1" s="49">
      <c r="H460" s="28" t="n"/>
    </row>
    <row r="461" ht="21.6" customHeight="1" s="49">
      <c r="H461" s="28" t="n"/>
    </row>
    <row r="462" ht="21.6" customHeight="1" s="49">
      <c r="H462" s="28" t="n"/>
    </row>
    <row r="463" ht="21.6" customHeight="1" s="49">
      <c r="H463" s="28" t="n"/>
    </row>
    <row r="464" ht="21.6" customHeight="1" s="49">
      <c r="H464" s="28" t="n"/>
    </row>
    <row r="465" ht="21.6" customHeight="1" s="49">
      <c r="H465" s="28" t="n"/>
    </row>
    <row r="466" ht="21.6" customHeight="1" s="49">
      <c r="H466" s="28" t="n"/>
    </row>
    <row r="467" ht="21.6" customHeight="1" s="49">
      <c r="H467" s="28" t="n"/>
    </row>
    <row r="468" ht="21.6" customHeight="1" s="49">
      <c r="H468" s="28" t="n"/>
    </row>
    <row r="469" ht="21.6" customHeight="1" s="49">
      <c r="H469" s="28" t="n"/>
    </row>
    <row r="470" ht="21.6" customHeight="1" s="49">
      <c r="H470" s="28" t="n"/>
    </row>
    <row r="471" ht="21.6" customHeight="1" s="49">
      <c r="H471" s="28" t="n"/>
    </row>
    <row r="472" ht="21.6" customHeight="1" s="49">
      <c r="H472" s="28" t="n"/>
    </row>
    <row r="473" ht="21.6" customHeight="1" s="49">
      <c r="H473" s="28" t="n"/>
    </row>
    <row r="474" ht="21.6" customHeight="1" s="49">
      <c r="H474" s="28" t="n"/>
    </row>
    <row r="475" ht="21.6" customHeight="1" s="49">
      <c r="H475" s="28" t="n"/>
    </row>
    <row r="476" ht="21.6" customHeight="1" s="49">
      <c r="H476" s="28" t="n"/>
    </row>
    <row r="477" ht="21.6" customHeight="1" s="49">
      <c r="H477" s="28" t="n"/>
    </row>
    <row r="478" ht="21.6" customHeight="1" s="49">
      <c r="H478" s="28" t="n"/>
    </row>
    <row r="479" ht="21.6" customHeight="1" s="49">
      <c r="H479" s="28" t="n"/>
    </row>
    <row r="480" ht="21.6" customHeight="1" s="49">
      <c r="H480" s="28" t="n"/>
    </row>
    <row r="481" ht="21.6" customHeight="1" s="49">
      <c r="H481" s="28" t="n"/>
    </row>
    <row r="482" ht="21.6" customHeight="1" s="49">
      <c r="H482" s="28" t="n"/>
    </row>
    <row r="483" ht="21.6" customHeight="1" s="49">
      <c r="H483" s="28" t="n"/>
    </row>
    <row r="484" ht="21.6" customHeight="1" s="49">
      <c r="H484" s="28" t="n"/>
    </row>
    <row r="485" ht="21.6" customHeight="1" s="49">
      <c r="H485" s="28" t="n"/>
    </row>
    <row r="486" ht="21.6" customHeight="1" s="49">
      <c r="H486" s="28" t="n"/>
    </row>
    <row r="487" ht="21.6" customHeight="1" s="49">
      <c r="H487" s="28" t="n"/>
    </row>
    <row r="488" ht="21.6" customHeight="1" s="49">
      <c r="H488" s="28" t="n"/>
    </row>
    <row r="489" ht="21.6" customHeight="1" s="49">
      <c r="H489" s="28" t="n"/>
    </row>
    <row r="490" ht="21.6" customHeight="1" s="49">
      <c r="H490" s="28" t="n"/>
    </row>
    <row r="491" ht="21.6" customHeight="1" s="49">
      <c r="H491" s="28" t="n"/>
    </row>
    <row r="492" ht="21.6" customHeight="1" s="49">
      <c r="H492" s="28" t="n"/>
    </row>
    <row r="493" ht="21.6" customHeight="1" s="49">
      <c r="H493" s="28" t="n"/>
    </row>
    <row r="494" ht="21.6" customHeight="1" s="49">
      <c r="H494" s="28" t="n"/>
    </row>
    <row r="495" ht="21.6" customHeight="1" s="49">
      <c r="H495" s="28" t="n"/>
    </row>
    <row r="496" ht="21.6" customHeight="1" s="49">
      <c r="H496" s="28" t="n"/>
    </row>
    <row r="497" ht="21.6" customHeight="1" s="49">
      <c r="H497" s="28" t="n"/>
    </row>
    <row r="498" ht="21.6" customHeight="1" s="49">
      <c r="H498" s="28" t="n"/>
    </row>
    <row r="499" ht="21.6" customHeight="1" s="49">
      <c r="H499" s="28" t="n"/>
    </row>
    <row r="500" ht="21.6" customHeight="1" s="49">
      <c r="H500" s="28" t="n"/>
    </row>
    <row r="501" ht="21.6" customHeight="1" s="49">
      <c r="H501" s="28" t="n"/>
    </row>
    <row r="502" ht="21.6" customHeight="1" s="49">
      <c r="H502" s="28" t="n"/>
    </row>
    <row r="503" ht="21.6" customHeight="1" s="49">
      <c r="H503" s="28" t="n"/>
    </row>
    <row r="504" ht="21.6" customHeight="1" s="49">
      <c r="H504" s="28" t="n"/>
    </row>
    <row r="505" ht="21.6" customHeight="1" s="49">
      <c r="H505" s="28" t="n"/>
    </row>
    <row r="506" ht="21.6" customHeight="1" s="49">
      <c r="H506" s="28" t="n"/>
    </row>
    <row r="507" ht="21.6" customHeight="1" s="49">
      <c r="H507" s="28" t="n"/>
    </row>
    <row r="508" ht="21.6" customHeight="1" s="49">
      <c r="H508" s="28" t="n"/>
    </row>
    <row r="509" ht="21.6" customHeight="1" s="49">
      <c r="H509" s="28" t="n"/>
    </row>
    <row r="510" ht="21.6" customHeight="1" s="49">
      <c r="H510" s="28" t="n"/>
    </row>
    <row r="511" ht="21.6" customHeight="1" s="49">
      <c r="H511" s="28" t="n"/>
    </row>
    <row r="512" ht="21.6" customHeight="1" s="49">
      <c r="H512" s="28" t="n"/>
    </row>
    <row r="513" ht="21.6" customHeight="1" s="49">
      <c r="H513" s="28" t="n"/>
    </row>
    <row r="514" ht="21.6" customHeight="1" s="49">
      <c r="H514" s="28" t="n"/>
    </row>
    <row r="515" ht="21.6" customHeight="1" s="49">
      <c r="H515" s="28" t="n"/>
    </row>
    <row r="516" ht="21.6" customHeight="1" s="49">
      <c r="H516" s="28" t="n"/>
    </row>
    <row r="517" ht="21.6" customHeight="1" s="49">
      <c r="H517" s="28" t="n"/>
    </row>
    <row r="518" ht="21.6" customHeight="1" s="49">
      <c r="H518" s="28" t="n"/>
    </row>
    <row r="519" ht="21.6" customHeight="1" s="49">
      <c r="H519" s="28" t="n"/>
    </row>
    <row r="520" ht="21.6" customHeight="1" s="49">
      <c r="H520" s="28" t="n"/>
    </row>
    <row r="521" ht="21.6" customHeight="1" s="49">
      <c r="H521" s="28" t="n"/>
    </row>
    <row r="522" ht="21.6" customHeight="1" s="49">
      <c r="H522" s="28" t="n"/>
    </row>
    <row r="523" ht="21.6" customHeight="1" s="49">
      <c r="H523" s="28" t="n"/>
    </row>
    <row r="524" ht="21.6" customHeight="1" s="49">
      <c r="H524" s="28" t="n"/>
    </row>
    <row r="525" ht="21.6" customHeight="1" s="49">
      <c r="H525" s="28" t="n"/>
    </row>
    <row r="526" ht="21.6" customHeight="1" s="49">
      <c r="H526" s="28" t="n"/>
    </row>
    <row r="527" ht="21.6" customHeight="1" s="49">
      <c r="H527" s="28" t="n"/>
    </row>
    <row r="528" ht="21.6" customHeight="1" s="49">
      <c r="H528" s="28" t="n"/>
    </row>
    <row r="529" ht="21.6" customHeight="1" s="49">
      <c r="H529" s="28" t="n"/>
    </row>
    <row r="530" ht="21.6" customHeight="1" s="49">
      <c r="H530" s="28" t="n"/>
    </row>
    <row r="531" ht="21.6" customHeight="1" s="49">
      <c r="H531" s="28" t="n"/>
    </row>
    <row r="532" ht="21.6" customHeight="1" s="49">
      <c r="H532" s="28" t="n"/>
    </row>
    <row r="533" ht="21.6" customHeight="1" s="49">
      <c r="H533" s="28" t="n"/>
    </row>
    <row r="534" ht="21.6" customHeight="1" s="49">
      <c r="H534" s="28" t="n"/>
    </row>
    <row r="535" ht="21.6" customHeight="1" s="49">
      <c r="H535" s="28" t="n"/>
    </row>
    <row r="536" ht="21.6" customHeight="1" s="49">
      <c r="H536" s="28" t="n"/>
    </row>
    <row r="537" ht="21.6" customHeight="1" s="49">
      <c r="H537" s="28" t="n"/>
    </row>
    <row r="538" ht="21.6" customHeight="1" s="49">
      <c r="H538" s="28" t="n"/>
    </row>
    <row r="539" ht="21.6" customHeight="1" s="49">
      <c r="H539" s="28" t="n"/>
    </row>
    <row r="540" ht="21.6" customHeight="1" s="49">
      <c r="H540" s="28" t="n"/>
    </row>
    <row r="541" ht="21.6" customHeight="1" s="49">
      <c r="H541" s="28" t="n"/>
    </row>
    <row r="542" ht="21.6" customHeight="1" s="49">
      <c r="H542" s="28" t="n"/>
    </row>
    <row r="543" ht="21.6" customHeight="1" s="49">
      <c r="H543" s="28" t="n"/>
    </row>
    <row r="544" ht="21.6" customHeight="1" s="49">
      <c r="H544" s="28" t="n"/>
    </row>
    <row r="545" ht="21.6" customHeight="1" s="49">
      <c r="H545" s="28" t="n"/>
    </row>
    <row r="546" ht="21.6" customHeight="1" s="49">
      <c r="H546" s="28" t="n"/>
    </row>
    <row r="547" ht="21.6" customHeight="1" s="49">
      <c r="H547" s="28" t="n"/>
    </row>
    <row r="548" ht="21.6" customHeight="1" s="49">
      <c r="H548" s="28" t="n"/>
    </row>
    <row r="549" ht="21.6" customHeight="1" s="49">
      <c r="H549" s="28" t="n"/>
    </row>
    <row r="550" ht="21.6" customHeight="1" s="49">
      <c r="H550" s="28" t="n"/>
    </row>
    <row r="551" ht="21.6" customHeight="1" s="49">
      <c r="H551" s="28" t="n"/>
    </row>
    <row r="552" ht="21.6" customHeight="1" s="49">
      <c r="H552" s="28" t="n"/>
    </row>
    <row r="553" ht="21.6" customHeight="1" s="49">
      <c r="H553" s="28" t="n"/>
    </row>
    <row r="554" ht="21.6" customHeight="1" s="49">
      <c r="H554" s="28" t="n"/>
    </row>
    <row r="555" ht="21.6" customHeight="1" s="49">
      <c r="H555" s="28" t="n"/>
    </row>
    <row r="556" ht="21.6" customHeight="1" s="49">
      <c r="H556" s="28" t="n"/>
    </row>
    <row r="557" ht="21.6" customHeight="1" s="49">
      <c r="H557" s="28" t="n"/>
    </row>
    <row r="558" ht="21.6" customHeight="1" s="49">
      <c r="H558" s="28" t="n"/>
    </row>
    <row r="559" ht="21.6" customHeight="1" s="49">
      <c r="H559" s="28" t="n"/>
    </row>
    <row r="560" ht="21.6" customHeight="1" s="49">
      <c r="H560" s="28" t="n"/>
    </row>
    <row r="561" ht="21.6" customHeight="1" s="49">
      <c r="H561" s="28" t="n"/>
    </row>
    <row r="562" ht="21.6" customHeight="1" s="49">
      <c r="H562" s="28" t="n"/>
    </row>
    <row r="563" ht="21.6" customHeight="1" s="49">
      <c r="H563" s="28" t="n"/>
    </row>
    <row r="564" ht="21.6" customHeight="1" s="49">
      <c r="H564" s="28" t="n"/>
    </row>
    <row r="565" ht="21.6" customHeight="1" s="49">
      <c r="H565" s="28" t="n"/>
    </row>
    <row r="566" ht="21.6" customHeight="1" s="49">
      <c r="H566" s="28" t="n"/>
    </row>
    <row r="567" ht="21.6" customHeight="1" s="49">
      <c r="H567" s="28" t="n"/>
    </row>
    <row r="568" ht="21.6" customHeight="1" s="49">
      <c r="H568" s="28" t="n"/>
    </row>
    <row r="569" ht="21.6" customHeight="1" s="49">
      <c r="H569" s="28" t="n"/>
    </row>
    <row r="570" ht="21.6" customHeight="1" s="49">
      <c r="H570" s="28" t="n"/>
    </row>
    <row r="571" ht="21.6" customHeight="1" s="49">
      <c r="H571" s="28" t="n"/>
    </row>
    <row r="572" ht="21.6" customHeight="1" s="49">
      <c r="H572" s="28" t="n"/>
    </row>
    <row r="573" ht="21.6" customHeight="1" s="49">
      <c r="H573" s="28" t="n"/>
    </row>
    <row r="574" ht="21.6" customHeight="1" s="49">
      <c r="H574" s="28" t="n"/>
    </row>
    <row r="575" ht="21.6" customHeight="1" s="49">
      <c r="H575" s="28" t="n"/>
    </row>
    <row r="576" ht="21.6" customHeight="1" s="49">
      <c r="H576" s="28" t="n"/>
    </row>
    <row r="577" ht="21.6" customHeight="1" s="49">
      <c r="H577" s="28" t="n"/>
    </row>
    <row r="578" ht="21.6" customHeight="1" s="49">
      <c r="H578" s="28" t="n"/>
    </row>
    <row r="579" ht="21.6" customHeight="1" s="49">
      <c r="H579" s="28" t="n"/>
    </row>
    <row r="580" ht="21.6" customHeight="1" s="49">
      <c r="H580" s="28" t="n"/>
    </row>
    <row r="581" ht="21.6" customHeight="1" s="49">
      <c r="H581" s="28" t="n"/>
    </row>
    <row r="582" ht="21.6" customHeight="1" s="49">
      <c r="H582" s="28" t="n"/>
    </row>
    <row r="583" ht="21.6" customHeight="1" s="49">
      <c r="H583" s="28" t="n"/>
    </row>
    <row r="584" ht="21.6" customHeight="1" s="49">
      <c r="H584" s="28" t="n"/>
    </row>
    <row r="585" ht="21.6" customHeight="1" s="49">
      <c r="H585" s="28" t="n"/>
    </row>
    <row r="586" ht="21.6" customHeight="1" s="49">
      <c r="H586" s="28" t="n"/>
    </row>
    <row r="587" ht="21.6" customHeight="1" s="49">
      <c r="H587" s="28" t="n"/>
    </row>
    <row r="588" ht="21.6" customHeight="1" s="49">
      <c r="H588" s="28" t="n"/>
    </row>
    <row r="589" ht="21.6" customHeight="1" s="49">
      <c r="H589" s="28" t="n"/>
    </row>
    <row r="590" ht="21.6" customHeight="1" s="49">
      <c r="H590" s="28" t="n"/>
    </row>
    <row r="591" ht="21.6" customHeight="1" s="49">
      <c r="H591" s="28" t="n"/>
    </row>
    <row r="592" ht="21.6" customHeight="1" s="49">
      <c r="H592" s="28" t="n"/>
    </row>
    <row r="593" ht="21.6" customHeight="1" s="49">
      <c r="H593" s="28" t="n"/>
    </row>
    <row r="594" ht="21.6" customHeight="1" s="49">
      <c r="H594" s="28" t="n"/>
    </row>
    <row r="595" ht="21.6" customHeight="1" s="49">
      <c r="H595" s="28" t="n"/>
    </row>
    <row r="596" ht="21.6" customHeight="1" s="49">
      <c r="H596" s="28" t="n"/>
    </row>
    <row r="597" ht="21.6" customHeight="1" s="49">
      <c r="H597" s="28" t="n"/>
    </row>
    <row r="598" ht="21.6" customHeight="1" s="49">
      <c r="H598" s="28" t="n"/>
    </row>
    <row r="599" ht="21.6" customHeight="1" s="49">
      <c r="H599" s="28" t="n"/>
    </row>
    <row r="600" ht="21.6" customHeight="1" s="49">
      <c r="H600" s="28" t="n"/>
    </row>
    <row r="601" ht="21.6" customHeight="1" s="49">
      <c r="H601" s="28" t="n"/>
    </row>
    <row r="602" ht="21.6" customHeight="1" s="49">
      <c r="H602" s="28" t="n"/>
    </row>
    <row r="603" ht="21.6" customHeight="1" s="49">
      <c r="H603" s="28" t="n"/>
    </row>
    <row r="604" ht="21.6" customHeight="1" s="49">
      <c r="H604" s="28" t="n"/>
    </row>
    <row r="605" ht="21.6" customHeight="1" s="49">
      <c r="H605" s="28" t="n"/>
    </row>
    <row r="606" ht="21.6" customHeight="1" s="49">
      <c r="H606" s="28" t="n"/>
    </row>
    <row r="607" ht="21.6" customHeight="1" s="49">
      <c r="H607" s="28" t="n"/>
    </row>
    <row r="608" ht="21.6" customHeight="1" s="49">
      <c r="H608" s="28" t="n"/>
    </row>
    <row r="609" ht="21.6" customHeight="1" s="49">
      <c r="H609" s="28" t="n"/>
    </row>
    <row r="610" ht="21.6" customHeight="1" s="49">
      <c r="H610" s="28" t="n"/>
    </row>
    <row r="611" ht="21.6" customHeight="1" s="49">
      <c r="H611" s="28" t="n"/>
    </row>
    <row r="612" ht="21.6" customHeight="1" s="49">
      <c r="H612" s="28" t="n"/>
    </row>
    <row r="613" ht="21.6" customHeight="1" s="49">
      <c r="H613" s="28" t="n"/>
    </row>
    <row r="614" ht="21.6" customHeight="1" s="49">
      <c r="H614" s="28" t="n"/>
    </row>
    <row r="615" ht="21.6" customHeight="1" s="49">
      <c r="H615" s="28" t="n"/>
    </row>
    <row r="616" ht="21.6" customHeight="1" s="49">
      <c r="H616" s="28" t="n"/>
    </row>
    <row r="617" ht="21.6" customHeight="1" s="49">
      <c r="H617" s="28" t="n"/>
    </row>
    <row r="618" ht="21.6" customHeight="1" s="49">
      <c r="H618" s="28" t="n"/>
    </row>
    <row r="619" ht="21.6" customHeight="1" s="49">
      <c r="H619" s="28" t="n"/>
    </row>
    <row r="620" ht="21.6" customHeight="1" s="49">
      <c r="H620" s="28" t="n"/>
    </row>
    <row r="621" ht="21.6" customHeight="1" s="49">
      <c r="H621" s="28" t="n"/>
    </row>
    <row r="622" ht="21.6" customHeight="1" s="49">
      <c r="H622" s="28" t="n"/>
    </row>
    <row r="623" ht="21.6" customHeight="1" s="49">
      <c r="H623" s="28" t="n"/>
    </row>
    <row r="624" ht="21.6" customHeight="1" s="49">
      <c r="H624" s="28" t="n"/>
    </row>
    <row r="625" ht="21.6" customHeight="1" s="49">
      <c r="H625" s="28" t="n"/>
    </row>
    <row r="626" ht="21.6" customHeight="1" s="49">
      <c r="H626" s="28" t="n"/>
    </row>
    <row r="627" ht="21.6" customHeight="1" s="49">
      <c r="H627" s="28" t="n"/>
    </row>
    <row r="628" ht="21.6" customHeight="1" s="49">
      <c r="H628" s="28" t="n"/>
    </row>
    <row r="629" ht="21.6" customHeight="1" s="49">
      <c r="H629" s="28" t="n"/>
    </row>
    <row r="630" ht="21.6" customHeight="1" s="49">
      <c r="H630" s="28" t="n"/>
    </row>
    <row r="631" ht="21.6" customHeight="1" s="49">
      <c r="H631" s="28" t="n"/>
    </row>
    <row r="632" ht="21.6" customHeight="1" s="49">
      <c r="H632" s="28" t="n"/>
    </row>
    <row r="633" ht="21.6" customHeight="1" s="49">
      <c r="H633" s="28" t="n"/>
    </row>
    <row r="634" ht="21.6" customHeight="1" s="49">
      <c r="H634" s="28" t="n"/>
    </row>
    <row r="635" ht="21.6" customHeight="1" s="49">
      <c r="H635" s="28" t="n"/>
    </row>
    <row r="636" ht="21.6" customHeight="1" s="49">
      <c r="H636" s="28" t="n"/>
    </row>
    <row r="637" ht="21.6" customHeight="1" s="49">
      <c r="H637" s="28" t="n"/>
    </row>
    <row r="638" ht="21.6" customHeight="1" s="49">
      <c r="H638" s="28" t="n"/>
    </row>
    <row r="639" ht="21.6" customHeight="1" s="49">
      <c r="H639" s="28" t="n"/>
    </row>
    <row r="640" ht="21.6" customHeight="1" s="49">
      <c r="H640" s="28" t="n"/>
    </row>
    <row r="641" ht="21.6" customHeight="1" s="49">
      <c r="H641" s="28" t="n"/>
    </row>
    <row r="642" ht="21.6" customHeight="1" s="49">
      <c r="H642" s="28" t="n"/>
    </row>
    <row r="643" ht="21.6" customHeight="1" s="49">
      <c r="H643" s="28" t="n"/>
    </row>
    <row r="644" ht="21.6" customHeight="1" s="49">
      <c r="H644" s="28" t="n"/>
    </row>
    <row r="645" ht="21.6" customHeight="1" s="49">
      <c r="H645" s="28" t="n"/>
    </row>
    <row r="646" ht="21.6" customHeight="1" s="49">
      <c r="H646" s="28" t="n"/>
    </row>
    <row r="647" ht="21.6" customHeight="1" s="49">
      <c r="H647" s="28" t="n"/>
    </row>
    <row r="648" ht="21.6" customHeight="1" s="49">
      <c r="H648" s="28" t="n"/>
    </row>
    <row r="649" ht="21.6" customHeight="1" s="49">
      <c r="H649" s="28" t="n"/>
    </row>
    <row r="650" ht="21.6" customHeight="1" s="49">
      <c r="H650" s="28" t="n"/>
    </row>
    <row r="651" ht="21.6" customHeight="1" s="49">
      <c r="H651" s="28" t="n"/>
    </row>
    <row r="652" ht="21.6" customHeight="1" s="49">
      <c r="H652" s="28" t="n"/>
    </row>
    <row r="653" ht="21.6" customHeight="1" s="49">
      <c r="H653" s="28" t="n"/>
    </row>
    <row r="654" ht="21.6" customHeight="1" s="49">
      <c r="H654" s="28" t="n"/>
    </row>
    <row r="655" ht="21.6" customHeight="1" s="49">
      <c r="H655" s="28" t="n"/>
    </row>
    <row r="656" ht="21.6" customHeight="1" s="49">
      <c r="H656" s="28" t="n"/>
    </row>
    <row r="657" ht="21.6" customHeight="1" s="49">
      <c r="H657" s="28" t="n"/>
    </row>
    <row r="658" ht="21.6" customHeight="1" s="49">
      <c r="H658" s="28" t="n"/>
    </row>
    <row r="659" ht="21.6" customHeight="1" s="49">
      <c r="H659" s="28" t="n"/>
    </row>
    <row r="660" ht="21.6" customHeight="1" s="49">
      <c r="H660" s="28" t="n"/>
    </row>
    <row r="661" ht="21.6" customHeight="1" s="49">
      <c r="H661" s="28" t="n"/>
    </row>
    <row r="662" ht="21.6" customHeight="1" s="49">
      <c r="H662" s="28" t="n"/>
    </row>
    <row r="663" ht="21.6" customHeight="1" s="49">
      <c r="H663" s="28" t="n"/>
    </row>
    <row r="664" ht="21.6" customHeight="1" s="49">
      <c r="H664" s="28" t="n"/>
    </row>
    <row r="665" ht="21.6" customHeight="1" s="49">
      <c r="H665" s="28" t="n"/>
    </row>
    <row r="666" ht="21.6" customHeight="1" s="49">
      <c r="H666" s="28" t="n"/>
    </row>
    <row r="667" ht="21.6" customHeight="1" s="49">
      <c r="H667" s="28" t="n"/>
    </row>
    <row r="668" ht="21.6" customHeight="1" s="49">
      <c r="H668" s="28" t="n"/>
    </row>
    <row r="669" ht="21.6" customHeight="1" s="49">
      <c r="H669" s="28" t="n"/>
    </row>
    <row r="670" ht="21.6" customHeight="1" s="49">
      <c r="H670" s="28" t="n"/>
    </row>
    <row r="671" ht="21.6" customHeight="1" s="49">
      <c r="H671" s="28" t="n"/>
    </row>
    <row r="672" ht="21.6" customHeight="1" s="49">
      <c r="H672" s="28" t="n"/>
    </row>
    <row r="673" ht="21.6" customHeight="1" s="49">
      <c r="H673" s="28" t="n"/>
    </row>
    <row r="674" ht="21.6" customHeight="1" s="49">
      <c r="H674" s="28" t="n"/>
    </row>
    <row r="675" ht="21.6" customHeight="1" s="49">
      <c r="H675" s="28" t="n"/>
    </row>
    <row r="676" ht="21.6" customHeight="1" s="49">
      <c r="H676" s="28" t="n"/>
    </row>
    <row r="677" ht="21.6" customHeight="1" s="49">
      <c r="H677" s="28" t="n"/>
    </row>
    <row r="678" ht="21.6" customHeight="1" s="49">
      <c r="H678" s="28" t="n"/>
    </row>
    <row r="679" ht="21.6" customHeight="1" s="49">
      <c r="H679" s="28" t="n"/>
    </row>
    <row r="680" ht="21.6" customHeight="1" s="49">
      <c r="H680" s="28" t="n"/>
    </row>
    <row r="681" ht="21.6" customHeight="1" s="49">
      <c r="H681" s="28" t="n"/>
    </row>
    <row r="682" ht="21.6" customHeight="1" s="49">
      <c r="H682" s="28" t="n"/>
    </row>
    <row r="683" ht="21.6" customHeight="1" s="49">
      <c r="H683" s="28" t="n"/>
    </row>
    <row r="684" ht="21.6" customHeight="1" s="49">
      <c r="H684" s="28" t="n"/>
    </row>
    <row r="685" ht="21.6" customHeight="1" s="49">
      <c r="H685" s="28" t="n"/>
    </row>
    <row r="686" ht="21.6" customHeight="1" s="49">
      <c r="H686" s="28" t="n"/>
    </row>
    <row r="687" ht="21.6" customHeight="1" s="49">
      <c r="H687" s="28" t="n"/>
    </row>
    <row r="688" ht="21.6" customHeight="1" s="49">
      <c r="H688" s="28" t="n"/>
    </row>
    <row r="689" ht="21.6" customHeight="1" s="49">
      <c r="H689" s="28" t="n"/>
    </row>
    <row r="690" ht="21.6" customHeight="1" s="49">
      <c r="H690" s="28" t="n"/>
    </row>
    <row r="691" ht="21.6" customHeight="1" s="49">
      <c r="H691" s="28" t="n"/>
    </row>
    <row r="692" ht="21.6" customHeight="1" s="49">
      <c r="H692" s="28" t="n"/>
    </row>
    <row r="693" ht="21.6" customHeight="1" s="49">
      <c r="H693" s="28" t="n"/>
    </row>
    <row r="694" ht="21.6" customHeight="1" s="49">
      <c r="H694" s="28" t="n"/>
    </row>
    <row r="695" ht="21.6" customHeight="1" s="49">
      <c r="H695" s="28" t="n"/>
    </row>
    <row r="696" ht="21.6" customHeight="1" s="49">
      <c r="H696" s="28" t="n"/>
    </row>
    <row r="697" ht="21.6" customHeight="1" s="49">
      <c r="H697" s="28" t="n"/>
    </row>
    <row r="698" ht="21.6" customHeight="1" s="49">
      <c r="H698" s="28" t="n"/>
    </row>
    <row r="699" ht="21.6" customHeight="1" s="49">
      <c r="H699" s="28" t="n"/>
    </row>
    <row r="700" ht="21.6" customHeight="1" s="49">
      <c r="H700" s="28" t="n"/>
    </row>
    <row r="701" ht="21.6" customHeight="1" s="49">
      <c r="H701" s="28" t="n"/>
    </row>
    <row r="702" ht="21.6" customHeight="1" s="49">
      <c r="H702" s="28" t="n"/>
    </row>
    <row r="703" ht="21.6" customHeight="1" s="49">
      <c r="H703" s="28" t="n"/>
    </row>
    <row r="704" ht="21.6" customHeight="1" s="49">
      <c r="H704" s="28" t="n"/>
    </row>
    <row r="705" ht="21.6" customHeight="1" s="49">
      <c r="H705" s="28" t="n"/>
    </row>
    <row r="706" ht="21.6" customHeight="1" s="49">
      <c r="H706" s="28" t="n"/>
    </row>
    <row r="707" ht="21.6" customHeight="1" s="49">
      <c r="H707" s="28" t="n"/>
    </row>
    <row r="708" ht="21.6" customHeight="1" s="49">
      <c r="H708" s="28" t="n"/>
    </row>
    <row r="709" ht="21.6" customHeight="1" s="49">
      <c r="H709" s="28" t="n"/>
    </row>
    <row r="710" ht="21.6" customHeight="1" s="49">
      <c r="H710" s="28" t="n"/>
    </row>
    <row r="711" ht="21.6" customHeight="1" s="49">
      <c r="H711" s="28" t="n"/>
    </row>
    <row r="712" ht="21.6" customHeight="1" s="49">
      <c r="H712" s="28" t="n"/>
    </row>
    <row r="713" ht="21.6" customHeight="1" s="49">
      <c r="H713" s="28" t="n"/>
    </row>
    <row r="714" ht="21.6" customHeight="1" s="49">
      <c r="H714" s="28" t="n"/>
    </row>
    <row r="715" ht="21.6" customHeight="1" s="49">
      <c r="H715" s="28" t="n"/>
    </row>
    <row r="716" ht="21.6" customHeight="1" s="49">
      <c r="H716" s="28" t="n"/>
    </row>
    <row r="717" ht="21.6" customHeight="1" s="49">
      <c r="H717" s="28" t="n"/>
    </row>
    <row r="718" ht="21.6" customHeight="1" s="49">
      <c r="H718" s="28" t="n"/>
    </row>
    <row r="719" ht="21.6" customHeight="1" s="49">
      <c r="H719" s="28" t="n"/>
    </row>
    <row r="720" ht="21.6" customHeight="1" s="49">
      <c r="H720" s="28" t="n"/>
    </row>
    <row r="721" ht="21.6" customHeight="1" s="49">
      <c r="H721" s="28" t="n"/>
    </row>
    <row r="722" ht="21.6" customHeight="1" s="49">
      <c r="H722" s="28" t="n"/>
    </row>
    <row r="723" ht="21.6" customHeight="1" s="49">
      <c r="H723" s="28" t="n"/>
    </row>
    <row r="724" ht="21.6" customHeight="1" s="49">
      <c r="H724" s="28" t="n"/>
    </row>
    <row r="725" ht="21.6" customHeight="1" s="49">
      <c r="H725" s="28" t="n"/>
    </row>
    <row r="726" ht="21.6" customHeight="1" s="49">
      <c r="H726" s="28" t="n"/>
    </row>
    <row r="727" ht="21.6" customHeight="1" s="49">
      <c r="H727" s="28" t="n"/>
    </row>
    <row r="728" ht="21.6" customHeight="1" s="49">
      <c r="H728" s="28" t="n"/>
    </row>
    <row r="729" ht="21.6" customHeight="1" s="49">
      <c r="H729" s="28" t="n"/>
    </row>
    <row r="730" ht="21.6" customHeight="1" s="49">
      <c r="H730" s="28" t="n"/>
    </row>
    <row r="731" ht="21.6" customHeight="1" s="49">
      <c r="H731" s="28" t="n"/>
    </row>
    <row r="732" ht="21.6" customHeight="1" s="49">
      <c r="H732" s="28" t="n"/>
    </row>
    <row r="733" ht="21.6" customHeight="1" s="49">
      <c r="H733" s="28" t="n"/>
    </row>
    <row r="734" ht="21.6" customHeight="1" s="49">
      <c r="H734" s="28" t="n"/>
    </row>
    <row r="735" ht="21.6" customHeight="1" s="49">
      <c r="H735" s="28" t="n"/>
    </row>
    <row r="736" ht="21.6" customHeight="1" s="49">
      <c r="H736" s="28" t="n"/>
    </row>
    <row r="737" ht="21.6" customHeight="1" s="49">
      <c r="H737" s="28" t="n"/>
    </row>
    <row r="738" ht="21.6" customHeight="1" s="49">
      <c r="H738" s="28" t="n"/>
    </row>
    <row r="739" ht="21.6" customHeight="1" s="49">
      <c r="H739" s="28" t="n"/>
    </row>
    <row r="740" ht="21.6" customHeight="1" s="49">
      <c r="H740" s="28" t="n"/>
    </row>
    <row r="741" ht="21.6" customHeight="1" s="49">
      <c r="H741" s="28" t="n"/>
    </row>
    <row r="742" ht="21.6" customHeight="1" s="49">
      <c r="H742" s="28" t="n"/>
    </row>
    <row r="743" ht="21.6" customHeight="1" s="49">
      <c r="H743" s="28" t="n"/>
    </row>
    <row r="744" ht="21.6" customHeight="1" s="49">
      <c r="H744" s="28" t="n"/>
    </row>
    <row r="745" ht="21.6" customHeight="1" s="49">
      <c r="H745" s="28" t="n"/>
    </row>
    <row r="746" ht="21.6" customHeight="1" s="49">
      <c r="H746" s="28" t="n"/>
    </row>
    <row r="747" ht="21.6" customHeight="1" s="49">
      <c r="H747" s="28" t="n"/>
    </row>
    <row r="748" ht="21.6" customHeight="1" s="49">
      <c r="H748" s="28" t="n"/>
    </row>
    <row r="749" ht="21.6" customHeight="1" s="49">
      <c r="H749" s="28" t="n"/>
    </row>
    <row r="750" ht="21.6" customHeight="1" s="49">
      <c r="H750" s="28" t="n"/>
    </row>
    <row r="751" ht="21.6" customHeight="1" s="49">
      <c r="H751" s="28" t="n"/>
    </row>
    <row r="752" ht="21.6" customHeight="1" s="49">
      <c r="H752" s="28" t="n"/>
    </row>
    <row r="753" ht="21.6" customHeight="1" s="49">
      <c r="H753" s="28" t="n"/>
    </row>
    <row r="754" ht="21.6" customHeight="1" s="49">
      <c r="H754" s="28" t="n"/>
    </row>
    <row r="755" ht="21.6" customHeight="1" s="49">
      <c r="H755" s="28" t="n"/>
    </row>
    <row r="756" ht="21.6" customHeight="1" s="49">
      <c r="H756" s="28" t="n"/>
    </row>
    <row r="757" ht="21.6" customHeight="1" s="49">
      <c r="H757" s="28" t="n"/>
    </row>
    <row r="758" ht="21.6" customHeight="1" s="49">
      <c r="H758" s="28" t="n"/>
    </row>
    <row r="759" ht="21.6" customHeight="1" s="49">
      <c r="H759" s="28" t="n"/>
    </row>
    <row r="760" ht="21.6" customHeight="1" s="49">
      <c r="H760" s="28" t="n"/>
    </row>
    <row r="761" ht="21.6" customHeight="1" s="49">
      <c r="H761" s="28" t="n"/>
    </row>
    <row r="762" ht="21.6" customHeight="1" s="49">
      <c r="H762" s="28" t="n"/>
    </row>
    <row r="763" ht="21.6" customHeight="1" s="49">
      <c r="H763" s="28" t="n"/>
    </row>
    <row r="764" ht="21.6" customHeight="1" s="49">
      <c r="H764" s="28" t="n"/>
    </row>
    <row r="765" ht="21.6" customHeight="1" s="49">
      <c r="H765" s="28" t="n"/>
    </row>
    <row r="766" ht="21.6" customHeight="1" s="49">
      <c r="H766" s="28" t="n"/>
    </row>
    <row r="767" ht="21.6" customHeight="1" s="49">
      <c r="H767" s="28" t="n"/>
    </row>
    <row r="768" ht="21.6" customHeight="1" s="49">
      <c r="H768" s="28" t="n"/>
    </row>
    <row r="769" ht="21.6" customHeight="1" s="49">
      <c r="H769" s="28" t="n"/>
    </row>
    <row r="770" ht="21.6" customHeight="1" s="49">
      <c r="H770" s="28" t="n"/>
    </row>
    <row r="771" ht="21.6" customHeight="1" s="49">
      <c r="H771" s="28" t="n"/>
    </row>
    <row r="772" ht="21.6" customHeight="1" s="49">
      <c r="H772" s="28" t="n"/>
    </row>
    <row r="773" ht="21.6" customHeight="1" s="49">
      <c r="H773" s="28" t="n"/>
    </row>
    <row r="774" ht="21.6" customHeight="1" s="49">
      <c r="H774" s="28" t="n"/>
    </row>
    <row r="775" ht="21.6" customHeight="1" s="49">
      <c r="H775" s="28" t="n"/>
    </row>
    <row r="776" ht="21.6" customHeight="1" s="49">
      <c r="H776" s="28" t="n"/>
    </row>
    <row r="777" ht="21.6" customHeight="1" s="49">
      <c r="H777" s="28" t="n"/>
    </row>
    <row r="778" ht="21.6" customHeight="1" s="49">
      <c r="H778" s="28" t="n"/>
    </row>
    <row r="779" ht="21.6" customHeight="1" s="49">
      <c r="H779" s="28" t="n"/>
    </row>
    <row r="780" ht="21.6" customHeight="1" s="49">
      <c r="H780" s="28" t="n"/>
    </row>
    <row r="781" ht="21.6" customHeight="1" s="49">
      <c r="H781" s="28" t="n"/>
    </row>
    <row r="782" ht="21.6" customHeight="1" s="49">
      <c r="H782" s="28" t="n"/>
    </row>
    <row r="783" ht="21.6" customHeight="1" s="49">
      <c r="H783" s="28" t="n"/>
    </row>
    <row r="784" ht="21.6" customHeight="1" s="49">
      <c r="H784" s="28" t="n"/>
    </row>
    <row r="785" ht="21.6" customHeight="1" s="49">
      <c r="H785" s="28" t="n"/>
    </row>
    <row r="786" ht="21.6" customHeight="1" s="49">
      <c r="H786" s="28" t="n"/>
    </row>
    <row r="787" ht="21.6" customHeight="1" s="49">
      <c r="H787" s="28" t="n"/>
    </row>
    <row r="788" ht="21.6" customHeight="1" s="49">
      <c r="H788" s="28" t="n"/>
    </row>
    <row r="789" ht="21.6" customHeight="1" s="49">
      <c r="H789" s="28" t="n"/>
    </row>
    <row r="790" ht="21.6" customHeight="1" s="49">
      <c r="H790" s="28" t="n"/>
    </row>
    <row r="791" ht="21.6" customHeight="1" s="49">
      <c r="H791" s="28" t="n"/>
    </row>
    <row r="792" ht="21.6" customHeight="1" s="49">
      <c r="H792" s="28" t="n"/>
    </row>
    <row r="793" ht="21.6" customHeight="1" s="49">
      <c r="H793" s="28" t="n"/>
    </row>
    <row r="794" ht="21.6" customHeight="1" s="49">
      <c r="H794" s="28" t="n"/>
    </row>
    <row r="795" ht="21.6" customHeight="1" s="49">
      <c r="H795" s="28" t="n"/>
    </row>
    <row r="796" ht="21.6" customHeight="1" s="49">
      <c r="H796" s="28" t="n"/>
    </row>
    <row r="797" ht="21.6" customHeight="1" s="49">
      <c r="H797" s="28" t="n"/>
    </row>
    <row r="798" ht="21.6" customHeight="1" s="49">
      <c r="H798" s="28" t="n"/>
    </row>
    <row r="799" ht="21.6" customHeight="1" s="49">
      <c r="H799" s="28" t="n"/>
    </row>
    <row r="800" ht="21.6" customHeight="1" s="49">
      <c r="H800" s="28" t="n"/>
    </row>
    <row r="801" ht="21.6" customHeight="1" s="49">
      <c r="H801" s="28" t="n"/>
    </row>
    <row r="802" ht="21.6" customHeight="1" s="49">
      <c r="H802" s="28" t="n"/>
    </row>
    <row r="803" ht="21.6" customHeight="1" s="49">
      <c r="H803" s="28" t="n"/>
    </row>
    <row r="804" ht="21.6" customHeight="1" s="49">
      <c r="H804" s="28" t="n"/>
    </row>
    <row r="805" ht="21.6" customHeight="1" s="49">
      <c r="H805" s="28" t="n"/>
    </row>
    <row r="806" ht="21.6" customHeight="1" s="49">
      <c r="H806" s="28" t="n"/>
    </row>
    <row r="807" ht="21.6" customHeight="1" s="49">
      <c r="H807" s="28" t="n"/>
    </row>
    <row r="808" ht="21.6" customHeight="1" s="49">
      <c r="H808" s="28" t="n"/>
    </row>
    <row r="809" ht="21.6" customHeight="1" s="49">
      <c r="H809" s="28" t="n"/>
    </row>
    <row r="810" ht="21.6" customHeight="1" s="49">
      <c r="H810" s="28" t="n"/>
    </row>
    <row r="811" ht="21.6" customHeight="1" s="49">
      <c r="H811" s="28" t="n"/>
    </row>
    <row r="812" ht="21.6" customHeight="1" s="49">
      <c r="H812" s="28" t="n"/>
    </row>
    <row r="813" ht="21.6" customHeight="1" s="49">
      <c r="H813" s="28" t="n"/>
    </row>
    <row r="814" ht="21.6" customHeight="1" s="49">
      <c r="H814" s="28" t="n"/>
    </row>
    <row r="815" ht="21.6" customHeight="1" s="49">
      <c r="H815" s="28" t="n"/>
    </row>
    <row r="816" ht="21.6" customHeight="1" s="49">
      <c r="H816" s="28" t="n"/>
    </row>
    <row r="817" ht="21.6" customHeight="1" s="49">
      <c r="H817" s="28" t="n"/>
    </row>
    <row r="818" ht="21.6" customHeight="1" s="49">
      <c r="H818" s="28" t="n"/>
    </row>
    <row r="819" ht="21.6" customHeight="1" s="49">
      <c r="H819" s="28" t="n"/>
    </row>
    <row r="820" ht="21.6" customHeight="1" s="49">
      <c r="H820" s="28" t="n"/>
    </row>
    <row r="821" ht="21.6" customHeight="1" s="49">
      <c r="H821" s="28" t="n"/>
    </row>
    <row r="822" ht="21.6" customHeight="1" s="49">
      <c r="H822" s="28" t="n"/>
    </row>
    <row r="823" ht="21.6" customHeight="1" s="49">
      <c r="H823" s="28" t="n"/>
    </row>
    <row r="824" ht="21.6" customHeight="1" s="49">
      <c r="H824" s="28" t="n"/>
    </row>
    <row r="825" ht="21.6" customHeight="1" s="49">
      <c r="H825" s="28" t="n"/>
    </row>
    <row r="826" ht="21.6" customHeight="1" s="49">
      <c r="H826" s="28" t="n"/>
    </row>
    <row r="827" ht="21.6" customHeight="1" s="49">
      <c r="H827" s="28" t="n"/>
    </row>
    <row r="828" ht="21.6" customHeight="1" s="49">
      <c r="H828" s="28" t="n"/>
    </row>
    <row r="829" ht="21.6" customHeight="1" s="49">
      <c r="H829" s="28" t="n"/>
    </row>
    <row r="830" ht="21.6" customHeight="1" s="49">
      <c r="H830" s="28" t="n"/>
    </row>
    <row r="831" ht="21.6" customHeight="1" s="49">
      <c r="H831" s="28" t="n"/>
    </row>
    <row r="832" ht="21.6" customHeight="1" s="49">
      <c r="H832" s="28" t="n"/>
    </row>
    <row r="833" ht="21.6" customHeight="1" s="49">
      <c r="H833" s="28" t="n"/>
    </row>
    <row r="834" ht="21.6" customHeight="1" s="49">
      <c r="H834" s="28" t="n"/>
    </row>
    <row r="835" ht="21.6" customHeight="1" s="49">
      <c r="H835" s="28" t="n"/>
    </row>
    <row r="836" ht="21.6" customHeight="1" s="49">
      <c r="H836" s="28" t="n"/>
    </row>
    <row r="837" ht="21.6" customHeight="1" s="49">
      <c r="H837" s="28" t="n"/>
    </row>
    <row r="838" ht="21.6" customHeight="1" s="49">
      <c r="H838" s="28" t="n"/>
    </row>
    <row r="839" ht="21.6" customHeight="1" s="49">
      <c r="H839" s="28" t="n"/>
    </row>
    <row r="840" ht="21.6" customHeight="1" s="49">
      <c r="H840" s="28" t="n"/>
    </row>
    <row r="841" ht="21.6" customHeight="1" s="49">
      <c r="H841" s="28" t="n"/>
    </row>
    <row r="842" ht="21.6" customHeight="1" s="49">
      <c r="H842" s="28" t="n"/>
    </row>
    <row r="843" ht="21.6" customHeight="1" s="49">
      <c r="H843" s="28" t="n"/>
    </row>
    <row r="844" ht="21.6" customHeight="1" s="49">
      <c r="H844" s="28" t="n"/>
    </row>
    <row r="845" ht="21.6" customHeight="1" s="49">
      <c r="H845" s="28" t="n"/>
    </row>
    <row r="846" ht="21.6" customHeight="1" s="49">
      <c r="H846" s="28" t="n"/>
    </row>
    <row r="847" ht="21.6" customHeight="1" s="49">
      <c r="H847" s="28" t="n"/>
    </row>
    <row r="848" ht="21.6" customHeight="1" s="49">
      <c r="H848" s="28" t="n"/>
    </row>
    <row r="849" ht="21.6" customHeight="1" s="49">
      <c r="H849" s="28" t="n"/>
    </row>
    <row r="850" ht="21.6" customHeight="1" s="49">
      <c r="H850" s="28" t="n"/>
    </row>
    <row r="851" ht="21.6" customHeight="1" s="49">
      <c r="H851" s="28" t="n"/>
    </row>
    <row r="852" ht="21.6" customHeight="1" s="49">
      <c r="H852" s="28" t="n"/>
    </row>
    <row r="853" ht="21.6" customHeight="1" s="49">
      <c r="H853" s="28" t="n"/>
    </row>
    <row r="854" ht="21.6" customHeight="1" s="49">
      <c r="H854" s="28" t="n"/>
    </row>
    <row r="855" ht="21.6" customHeight="1" s="49">
      <c r="H855" s="28" t="n"/>
    </row>
    <row r="856" ht="21.6" customHeight="1" s="49">
      <c r="H856" s="28" t="n"/>
    </row>
    <row r="857" ht="21.6" customHeight="1" s="49">
      <c r="H857" s="28" t="n"/>
    </row>
    <row r="858" ht="21.6" customHeight="1" s="49">
      <c r="H858" s="28" t="n"/>
    </row>
    <row r="859" ht="21.6" customHeight="1" s="49">
      <c r="H859" s="28" t="n"/>
    </row>
    <row r="860" ht="21.6" customHeight="1" s="49">
      <c r="H860" s="28" t="n"/>
    </row>
    <row r="861" ht="21.6" customHeight="1" s="49">
      <c r="H861" s="28" t="n"/>
    </row>
    <row r="862" ht="21.6" customHeight="1" s="49">
      <c r="H862" s="28" t="n"/>
    </row>
    <row r="863" ht="21.6" customHeight="1" s="49">
      <c r="H863" s="28" t="n"/>
    </row>
    <row r="864" ht="21.6" customHeight="1" s="49">
      <c r="H864" s="28" t="n"/>
    </row>
    <row r="865" ht="21.6" customHeight="1" s="49">
      <c r="H865" s="28" t="n"/>
    </row>
    <row r="866" ht="21.6" customHeight="1" s="49">
      <c r="H866" s="28" t="n"/>
    </row>
    <row r="867" ht="21.6" customHeight="1" s="49">
      <c r="H867" s="28" t="n"/>
    </row>
    <row r="868" ht="21.6" customHeight="1" s="49">
      <c r="H868" s="28" t="n"/>
    </row>
    <row r="869" ht="21.6" customHeight="1" s="49">
      <c r="H869" s="28" t="n"/>
    </row>
    <row r="870" ht="21.6" customHeight="1" s="49">
      <c r="H870" s="28" t="n"/>
    </row>
    <row r="871" ht="21.6" customHeight="1" s="49">
      <c r="H871" s="28" t="n"/>
    </row>
    <row r="872" ht="21.6" customHeight="1" s="49">
      <c r="H872" s="28" t="n"/>
    </row>
    <row r="873" ht="21.6" customHeight="1" s="49">
      <c r="H873" s="28" t="n"/>
    </row>
    <row r="874" ht="21.6" customHeight="1" s="49">
      <c r="H874" s="28" t="n"/>
    </row>
    <row r="875" ht="21.6" customHeight="1" s="49">
      <c r="H875" s="28" t="n"/>
    </row>
    <row r="876" ht="21.6" customHeight="1" s="49">
      <c r="H876" s="28" t="n"/>
    </row>
    <row r="877" ht="21.6" customHeight="1" s="49">
      <c r="H877" s="28" t="n"/>
    </row>
    <row r="878" ht="21.6" customHeight="1" s="49">
      <c r="H878" s="28" t="n"/>
    </row>
    <row r="879" ht="21.6" customHeight="1" s="49">
      <c r="H879" s="28" t="n"/>
    </row>
    <row r="880" ht="21.6" customHeight="1" s="49">
      <c r="H880" s="28" t="n"/>
    </row>
    <row r="881" ht="21.6" customHeight="1" s="49">
      <c r="H881" s="28" t="n"/>
    </row>
    <row r="882" ht="21.6" customHeight="1" s="49">
      <c r="H882" s="28" t="n"/>
    </row>
    <row r="883" ht="21.6" customHeight="1" s="49">
      <c r="H883" s="28" t="n"/>
    </row>
    <row r="884" ht="21.6" customHeight="1" s="49">
      <c r="H884" s="28" t="n"/>
    </row>
    <row r="885" ht="21.6" customHeight="1" s="49">
      <c r="H885" s="28" t="n"/>
    </row>
    <row r="886" ht="21.6" customHeight="1" s="49">
      <c r="H886" s="28" t="n"/>
    </row>
    <row r="887" ht="21.6" customHeight="1" s="49">
      <c r="H887" s="28" t="n"/>
    </row>
    <row r="888" ht="21.6" customHeight="1" s="49">
      <c r="H888" s="28" t="n"/>
    </row>
    <row r="889" ht="21.6" customHeight="1" s="49">
      <c r="H889" s="28" t="n"/>
    </row>
    <row r="890" ht="21.6" customHeight="1" s="49">
      <c r="H890" s="28" t="n"/>
    </row>
    <row r="891" ht="21.6" customHeight="1" s="49">
      <c r="H891" s="28" t="n"/>
    </row>
    <row r="892" ht="21.6" customHeight="1" s="49">
      <c r="H892" s="28" t="n"/>
    </row>
    <row r="893" ht="21.6" customHeight="1" s="49">
      <c r="H893" s="28" t="n"/>
    </row>
    <row r="894" ht="21.6" customHeight="1" s="49">
      <c r="H894" s="28" t="n"/>
    </row>
    <row r="895" ht="21.6" customHeight="1" s="49">
      <c r="H895" s="28" t="n"/>
    </row>
    <row r="896" ht="21.6" customHeight="1" s="49">
      <c r="H896" s="28" t="n"/>
    </row>
    <row r="897" ht="21.6" customHeight="1" s="49">
      <c r="H897" s="28" t="n"/>
    </row>
    <row r="898" ht="21.6" customHeight="1" s="49">
      <c r="H898" s="28" t="n"/>
    </row>
    <row r="899" ht="21.6" customHeight="1" s="49">
      <c r="H899" s="28" t="n"/>
    </row>
    <row r="900" ht="21.6" customHeight="1" s="49">
      <c r="H900" s="28" t="n"/>
    </row>
    <row r="901" ht="21.6" customHeight="1" s="49">
      <c r="H901" s="28" t="n"/>
    </row>
    <row r="902" ht="21.6" customHeight="1" s="49">
      <c r="H902" s="28" t="n"/>
    </row>
    <row r="903" ht="21.6" customHeight="1" s="49">
      <c r="H903" s="28" t="n"/>
    </row>
    <row r="904" ht="21.6" customHeight="1" s="49">
      <c r="H904" s="28" t="n"/>
    </row>
    <row r="905" ht="21.6" customHeight="1" s="49">
      <c r="H905" s="28" t="n"/>
    </row>
    <row r="906" ht="21.6" customHeight="1" s="49">
      <c r="H906" s="28" t="n"/>
    </row>
    <row r="907" ht="21.6" customHeight="1" s="49">
      <c r="H907" s="28" t="n"/>
    </row>
    <row r="908" ht="21.6" customHeight="1" s="49">
      <c r="H908" s="28" t="n"/>
    </row>
    <row r="909" ht="21.6" customHeight="1" s="49">
      <c r="H909" s="28" t="n"/>
    </row>
    <row r="910" ht="21.6" customHeight="1" s="49">
      <c r="H910" s="28" t="n"/>
    </row>
    <row r="911" ht="21.6" customHeight="1" s="49">
      <c r="H911" s="28" t="n"/>
    </row>
    <row r="912" ht="21.6" customHeight="1" s="49">
      <c r="H912" s="28" t="n"/>
    </row>
    <row r="913" ht="21.6" customHeight="1" s="49">
      <c r="H913" s="28" t="n"/>
    </row>
    <row r="914" ht="21.6" customHeight="1" s="49">
      <c r="H914" s="28" t="n"/>
    </row>
    <row r="915" ht="21.6" customHeight="1" s="49">
      <c r="H915" s="28" t="n"/>
    </row>
    <row r="916" ht="21.6" customHeight="1" s="49">
      <c r="H916" s="28" t="n"/>
    </row>
    <row r="917" ht="21.6" customHeight="1" s="49">
      <c r="H917" s="28" t="n"/>
    </row>
    <row r="918" ht="21.6" customHeight="1" s="49">
      <c r="H918" s="28" t="n"/>
    </row>
    <row r="919" ht="21.6" customHeight="1" s="49">
      <c r="H919" s="28" t="n"/>
    </row>
    <row r="920" ht="21.6" customHeight="1" s="49">
      <c r="H920" s="28" t="n"/>
    </row>
    <row r="921" ht="21.6" customHeight="1" s="49">
      <c r="H921" s="28" t="n"/>
    </row>
    <row r="922" ht="21.6" customHeight="1" s="49">
      <c r="H922" s="28" t="n"/>
    </row>
    <row r="923" ht="21.6" customHeight="1" s="49">
      <c r="H923" s="28" t="n"/>
    </row>
    <row r="924" ht="21.6" customHeight="1" s="49">
      <c r="H924" s="28" t="n"/>
    </row>
    <row r="925" ht="21.6" customHeight="1" s="49">
      <c r="H925" s="28" t="n"/>
    </row>
    <row r="926" ht="21.6" customHeight="1" s="49">
      <c r="H926" s="28" t="n"/>
    </row>
    <row r="927" ht="21.6" customHeight="1" s="49">
      <c r="H927" s="28" t="n"/>
    </row>
    <row r="928" ht="21.6" customHeight="1" s="49">
      <c r="H928" s="28" t="n"/>
    </row>
    <row r="929" ht="21.6" customHeight="1" s="49">
      <c r="H929" s="28" t="n"/>
    </row>
    <row r="930" ht="21.6" customHeight="1" s="49">
      <c r="H930" s="28" t="n"/>
    </row>
    <row r="931" ht="21.6" customHeight="1" s="49">
      <c r="H931" s="28" t="n"/>
    </row>
    <row r="932" ht="21.6" customHeight="1" s="49">
      <c r="H932" s="28" t="n"/>
    </row>
    <row r="933" ht="21.6" customHeight="1" s="49">
      <c r="H933" s="28" t="n"/>
    </row>
    <row r="934" ht="21.6" customHeight="1" s="49">
      <c r="H934" s="28" t="n"/>
    </row>
    <row r="935" ht="21.6" customHeight="1" s="49">
      <c r="H935" s="28" t="n"/>
    </row>
    <row r="936" ht="21.6" customHeight="1" s="49">
      <c r="H936" s="28" t="n"/>
    </row>
    <row r="937" ht="21.6" customHeight="1" s="49">
      <c r="H937" s="28" t="n"/>
    </row>
    <row r="938" ht="21.6" customHeight="1" s="49">
      <c r="H938" s="28" t="n"/>
    </row>
    <row r="939" ht="21.6" customHeight="1" s="49">
      <c r="H939" s="28" t="n"/>
    </row>
    <row r="940" ht="21.6" customHeight="1" s="49">
      <c r="H940" s="28" t="n"/>
    </row>
    <row r="941" ht="21.6" customHeight="1" s="49">
      <c r="H941" s="28" t="n"/>
    </row>
    <row r="942" ht="21.6" customHeight="1" s="49">
      <c r="H942" s="28" t="n"/>
    </row>
    <row r="943" ht="21.6" customHeight="1" s="49">
      <c r="H943" s="28" t="n"/>
    </row>
    <row r="944" ht="21.6" customHeight="1" s="49">
      <c r="H944" s="28" t="n"/>
    </row>
    <row r="945" ht="21.6" customHeight="1" s="49">
      <c r="H945" s="28" t="n"/>
    </row>
    <row r="946" ht="21.6" customHeight="1" s="49">
      <c r="H946" s="28" t="n"/>
    </row>
    <row r="947" ht="21.6" customHeight="1" s="49">
      <c r="H947" s="28" t="n"/>
    </row>
    <row r="948" ht="21.6" customHeight="1" s="49">
      <c r="H948" s="28" t="n"/>
    </row>
    <row r="949" ht="21.6" customHeight="1" s="49">
      <c r="H949" s="28" t="n"/>
    </row>
    <row r="950" ht="21.6" customHeight="1" s="49">
      <c r="H950" s="28" t="n"/>
    </row>
    <row r="951" ht="21.6" customHeight="1" s="49">
      <c r="H951" s="28" t="n"/>
    </row>
    <row r="952" ht="21.6" customHeight="1" s="49">
      <c r="H952" s="28" t="n"/>
    </row>
    <row r="953" ht="21.6" customHeight="1" s="49">
      <c r="H953" s="28" t="n"/>
    </row>
    <row r="954" ht="21.6" customHeight="1" s="49">
      <c r="H954" s="28" t="n"/>
    </row>
    <row r="955" ht="21.6" customHeight="1" s="49">
      <c r="H955" s="28" t="n"/>
    </row>
    <row r="956" ht="21.6" customHeight="1" s="49">
      <c r="H956" s="28" t="n"/>
    </row>
    <row r="957" ht="21.6" customHeight="1" s="49">
      <c r="H957" s="28" t="n"/>
    </row>
    <row r="958" ht="21.6" customHeight="1" s="49">
      <c r="H958" s="28" t="n"/>
    </row>
    <row r="959" ht="21.6" customHeight="1" s="49">
      <c r="H959" s="28" t="n"/>
    </row>
    <row r="960" ht="21.6" customHeight="1" s="49">
      <c r="H960" s="28" t="n"/>
    </row>
    <row r="961" ht="21.6" customHeight="1" s="49">
      <c r="H961" s="28" t="n"/>
    </row>
    <row r="962" ht="21.6" customHeight="1" s="49">
      <c r="H962" s="28" t="n"/>
    </row>
    <row r="963" ht="21.6" customHeight="1" s="49">
      <c r="H963" s="28" t="n"/>
    </row>
    <row r="964" ht="21.6" customHeight="1" s="49">
      <c r="H964" s="28" t="n"/>
    </row>
    <row r="965" ht="21.6" customHeight="1" s="49">
      <c r="H965" s="28" t="n"/>
    </row>
    <row r="966" ht="21.6" customHeight="1" s="49">
      <c r="H966" s="28" t="n"/>
    </row>
    <row r="967" ht="21.6" customHeight="1" s="49">
      <c r="H967" s="28" t="n"/>
    </row>
    <row r="968" ht="21.6" customHeight="1" s="49">
      <c r="H968" s="28" t="n"/>
    </row>
    <row r="969" ht="21.6" customHeight="1" s="49">
      <c r="H969" s="28" t="n"/>
    </row>
    <row r="970" ht="21.6" customHeight="1" s="49">
      <c r="H970" s="28" t="n"/>
    </row>
    <row r="971" ht="21.6" customHeight="1" s="49">
      <c r="H971" s="28" t="n"/>
    </row>
    <row r="972" ht="21.6" customHeight="1" s="49">
      <c r="H972" s="28" t="n"/>
    </row>
    <row r="973" ht="21.6" customHeight="1" s="49">
      <c r="H973" s="28" t="n"/>
    </row>
    <row r="974" ht="21.6" customHeight="1" s="49">
      <c r="H974" s="28" t="n"/>
    </row>
    <row r="975" ht="21.6" customHeight="1" s="49">
      <c r="H975" s="28" t="n"/>
    </row>
    <row r="976" ht="21.6" customHeight="1" s="49">
      <c r="H976" s="28" t="n"/>
    </row>
    <row r="977" ht="21.6" customHeight="1" s="49">
      <c r="H977" s="28" t="n"/>
    </row>
    <row r="978" ht="21.6" customHeight="1" s="49">
      <c r="H978" s="28" t="n"/>
    </row>
    <row r="979" ht="21.6" customHeight="1" s="49">
      <c r="H979" s="28" t="n"/>
    </row>
    <row r="980" ht="21.6" customHeight="1" s="49">
      <c r="H980" s="28" t="n"/>
    </row>
    <row r="981" ht="21.6" customHeight="1" s="49">
      <c r="H981" s="28" t="n"/>
    </row>
    <row r="982" ht="21.6" customHeight="1" s="49">
      <c r="H982" s="28" t="n"/>
    </row>
    <row r="983" ht="21.6" customHeight="1" s="49">
      <c r="H983" s="28" t="n"/>
    </row>
    <row r="984" ht="21.6" customHeight="1" s="49">
      <c r="H984" s="28" t="n"/>
    </row>
    <row r="985" ht="21.6" customHeight="1" s="49">
      <c r="H985" s="28" t="n"/>
    </row>
    <row r="986" ht="21.6" customHeight="1" s="49">
      <c r="H986" s="28" t="n"/>
    </row>
    <row r="987" ht="21.6" customHeight="1" s="49">
      <c r="H987" s="28" t="n"/>
    </row>
    <row r="988" ht="21.6" customHeight="1" s="49">
      <c r="H988" s="28" t="n"/>
    </row>
    <row r="989" ht="21.6" customHeight="1" s="49">
      <c r="H989" s="28" t="n"/>
    </row>
    <row r="990" ht="21.6" customHeight="1" s="49">
      <c r="H990" s="28" t="n"/>
    </row>
    <row r="991" ht="21.6" customHeight="1" s="49">
      <c r="H991" s="28" t="n"/>
    </row>
    <row r="992" ht="21.6" customHeight="1" s="49">
      <c r="H992" s="28" t="n"/>
    </row>
    <row r="993" ht="21.6" customHeight="1" s="49">
      <c r="H993" s="28" t="n"/>
    </row>
    <row r="994" ht="21.6" customHeight="1" s="49">
      <c r="H994" s="28" t="n"/>
    </row>
    <row r="995" ht="21.6" customHeight="1" s="49">
      <c r="H995" s="28" t="n"/>
    </row>
    <row r="996" ht="21.6" customHeight="1" s="49">
      <c r="H996" s="28" t="n"/>
    </row>
    <row r="997" ht="21.6" customHeight="1" s="49">
      <c r="H997" s="28" t="n"/>
    </row>
    <row r="998" ht="21.6" customHeight="1" s="49">
      <c r="H998" s="28" t="n"/>
    </row>
    <row r="999" ht="21.6" customHeight="1" s="49">
      <c r="H999" s="28" t="n"/>
    </row>
    <row r="1000" ht="21.6" customHeight="1" s="49">
      <c r="H1000" s="28"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Q25"/>
  <sheetViews>
    <sheetView workbookViewId="0">
      <selection activeCell="A1" sqref="A1"/>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29" t="inlineStr">
        <is>
          <t>ข้อที่</t>
        </is>
      </c>
      <c r="B2" s="29" t="inlineStr">
        <is>
          <t>คำถาม</t>
        </is>
      </c>
      <c r="C2" s="29" t="inlineStr">
        <is>
          <t>รูปถาม</t>
        </is>
      </c>
      <c r="D2" s="29" t="inlineStr">
        <is>
          <t>ตัวเลือก 1</t>
        </is>
      </c>
      <c r="E2" s="29" t="inlineStr">
        <is>
          <t>ตัวเลือก 2</t>
        </is>
      </c>
      <c r="F2" s="29" t="inlineStr">
        <is>
          <t>ตัวเลือก 3</t>
        </is>
      </c>
      <c r="G2" s="29" t="inlineStr">
        <is>
          <t>ตัวเลือก 4</t>
        </is>
      </c>
      <c r="H2" s="29" t="inlineStr">
        <is>
          <t>ตัวเลือก 5</t>
        </is>
      </c>
      <c r="I2" s="29" t="inlineStr">
        <is>
          <t>เฉลย (ตัวเลข 1-5)</t>
        </is>
      </c>
      <c r="J2" s="29" t="inlineStr">
        <is>
          <t>คำอธิบายเฉลย</t>
        </is>
      </c>
      <c r="K2" s="29" t="inlineStr">
        <is>
          <t>รูปเฉลย</t>
        </is>
      </c>
      <c r="L2" s="29" t="inlineStr">
        <is>
          <t>Filter หมวด/Subtopic</t>
        </is>
      </c>
      <c r="M2" s="29" t="inlineStr">
        <is>
          <t>Product / Clinic</t>
        </is>
      </c>
      <c r="N2" s="29" t="inlineStr">
        <is>
          <t>หมายเหตุ</t>
        </is>
      </c>
      <c r="O2" s="29" t="inlineStr">
        <is>
          <t>ประเภทข้อสอบ</t>
        </is>
      </c>
      <c r="P2" s="29" t="inlineStr">
        <is>
          <t>ปี / เลขชุด</t>
        </is>
      </c>
      <c r="Q2" t="inlineStr">
        <is>
          <t>Case ID (รหัสเคส)</t>
        </is>
      </c>
    </row>
    <row r="3" ht="13.2" customHeight="1" s="49">
      <c r="A3" s="8" t="inlineStr">
        <is>
          <t>1</t>
        </is>
      </c>
      <c r="B3" s="2"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2" t="n"/>
      <c r="D3" s="2" t="inlineStr">
        <is>
          <t>Conjugated linoleic acid</t>
        </is>
      </c>
      <c r="E3" s="2" t="inlineStr">
        <is>
          <t>Chitosan</t>
        </is>
      </c>
      <c r="F3" s="2" t="inlineStr">
        <is>
          <t>Hydroxyl citric acid</t>
        </is>
      </c>
      <c r="G3" s="2" t="inlineStr">
        <is>
          <t>Catechin</t>
        </is>
      </c>
      <c r="H3" s="2" t="inlineStr">
        <is>
          <t>LAL</t>
        </is>
      </c>
      <c r="I3" s="8" t="n">
        <v>1</v>
      </c>
      <c r="J3" s="2" t="inlineStr">
        <is>
          <t>✅ คำตอบที่ถูกต้อง: ข้อ ก. Conjugated linoleic acid
💡 Background:
Conjugated linoleic acid (CLA) เป็นกรดไขมันไม่อิ่มตัวเชิงซ้อนกลุ่มโอเมก้า 6 ที่พบตามธรรมชาติในเนื้อสัตว์เคี้ยวเอื้องและผลิตภัณฑ์นม นิยมนำมาใช้เป็นผลิตภัณฑ์เสริมอาหารควบคุมน้ำหนัก โดยเชื่อว่าช่วยลดมวลไขมันและเพิ่มมวลกล้ามเนื้อ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
📖 Guideline อ้างอิง:
NIH Office of Dietary Supplements: Dietary Supplements for Weight Loss &amp; แนวทางเวชปฏิบัติการรักษาโรคอ้วน ประเทศไทย
📌 จุดจำก่อนสอบ:
• CLA ยับยั้ง LPL ในเซลล์ไขมัน และกระตุ้น CPT-1 เพิ่มการเผาผลาญไขมันในกล้ามเนื้อ
• การใช้ผลิตภัณฑ์เสริมอาหารลดน้ำหนักต้องระวังการโฆษณาเกินจริง และผลข้างเคียงต่อระบบทางเดินอาหาร</t>
        </is>
      </c>
      <c r="K3" s="2" t="n"/>
      <c r="L3" s="2" t="inlineStr">
        <is>
          <t>Clinical Nutrition</t>
        </is>
      </c>
      <c r="M3" s="2" t="inlineStr">
        <is>
          <t>Clinic</t>
        </is>
      </c>
      <c r="N3" s="2" t="inlineStr">
        <is>
          <t>ข้อ 1 Pharma Plus เล่มม่วง (เฉลยข้อ ก ข ง)</t>
        </is>
      </c>
      <c r="O3" s="2" t="n"/>
      <c r="P3" s="2" t="n"/>
    </row>
    <row r="4" ht="13.2" customHeight="1" s="49">
      <c r="A4" s="8" t="inlineStr">
        <is>
          <t>2</t>
        </is>
      </c>
      <c r="B4" s="2" t="inlineStr">
        <is>
          <t>ผลิตภัณฑ์เสริมอาหารในข้อใดมีคุณสมบัติคล้าย dietary fiber</t>
        </is>
      </c>
      <c r="C4" s="2" t="n"/>
      <c r="D4" s="2" t="inlineStr">
        <is>
          <t>Chitosan</t>
        </is>
      </c>
      <c r="E4" s="2" t="inlineStr">
        <is>
          <t>Evening primrose oil</t>
        </is>
      </c>
      <c r="F4" s="2" t="inlineStr">
        <is>
          <t>Collagen</t>
        </is>
      </c>
      <c r="G4" s="2" t="inlineStr">
        <is>
          <t>Conjugated linoleic acid</t>
        </is>
      </c>
      <c r="H4" s="2" t="inlineStr">
        <is>
          <t>Lecithin</t>
        </is>
      </c>
      <c r="I4" s="8" t="n">
        <v>1</v>
      </c>
      <c r="J4" s="2" t="inlineStr">
        <is>
          <t>✅ คำตอบที่ถูกต้อง: ข้อ ก. Chitosan
💡 Background:
Chitosan (ไคโตซาน) เป็นพอลิเมอร์ชีวภาพของ Glucosamine ที่ได้จากกระบวนการ Deacetylation ของ Chitin จากเปลือกกุ้ง กระดองปู และสัตว์ทะเลเปลือกแข็ง มีโครงสร้างเป็นเส้นใยที่ไม่สามารถถูกย่อยสลายด้วยเอนไซม์ในทางเดินอาหารของมนุษย์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
📖 Guideline อ้างอิง:
Dietary Supplements Compendium (USP-DSC) &amp; แนวทางการประเมินผลิตภัณฑ์เสริมอาหาร สำนักงานคณะกรรมการอาหารและยา (อย.)
📌 จุดจำก่อนสอบ:
• Chitosan มีประจุบวก จับไขมันและเกลือน้ำดีในลำไส้ ขับออกทางอุจจาระ เสมือน Dietary fiber
• ผู้ที่แพ้อาหารทะเล (Shellfish allergy) ต้องระมัดระวังหรือหลีกเลี่ยงการใช้ Chitosan</t>
        </is>
      </c>
      <c r="K4" s="2" t="n"/>
      <c r="L4" s="2" t="inlineStr">
        <is>
          <t>Clinical Nutrition</t>
        </is>
      </c>
      <c r="M4" s="2" t="inlineStr">
        <is>
          <t>Clinic</t>
        </is>
      </c>
      <c r="N4" s="2" t="inlineStr">
        <is>
          <t>ข้อ 2 Pharma Plus เล่มม่วง (เฉลยข้อ ก)</t>
        </is>
      </c>
      <c r="O4" s="2" t="n"/>
      <c r="P4" s="2" t="n"/>
    </row>
    <row r="5" ht="13.2" customHeight="1" s="49">
      <c r="A5" s="8" t="inlineStr">
        <is>
          <t>3</t>
        </is>
      </c>
      <c r="B5" s="2"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2" t="n"/>
      <c r="D5" s="2" t="inlineStr">
        <is>
          <t>มีผลโดยเสริมฤทธิ์ยับยั้งการแข็งตัวของเกล็ดเลือดของ aspirin</t>
        </is>
      </c>
      <c r="E5" s="2" t="inlineStr">
        <is>
          <t>มีผลโดยเสริมฤทธิ์ลดน้ำตาลในเลือดของ metformin</t>
        </is>
      </c>
      <c r="F5" s="2" t="inlineStr">
        <is>
          <t>มีผลโดยลดประสิทธิภาพการจับของยา isosorbide mononitrate</t>
        </is>
      </c>
      <c r="G5" s="2" t="inlineStr">
        <is>
          <t>มีผลโดยลดประสิทธิภาพการลดน้ำตาลในเลือดของ glibenclamide</t>
        </is>
      </c>
      <c r="H5" s="2" t="inlineStr">
        <is>
          <t>ไม่มี อันตรกิริยากับยาที่ได้รับจากโรงพยาบาล</t>
        </is>
      </c>
      <c r="I5" s="8" t="n">
        <v>1</v>
      </c>
      <c r="J5" s="2" t="inlineStr">
        <is>
          <t>✅ คำตอบที่ถูกต้อง: ข้อ ก. มีผลโดยเสริมฤทธิ์ยับยั้งการแข็งตัวของเกล็ดเลือดของ aspirin
💡 Background:
ใบแปะก๊วย (Ginkgo biloba) มีสารออกฤทธิ์ทางชีวภาพสำคัญ 2 กลุ่ม คือ Flavonoids (ต้านอนุมูลอิสระ) และ Terpenoids โดยเฉพาะ Ginkgolides (Ginkgolide A, B, C) และ Bilobalide นิยมใช้บำรุงสมองและเพิ่มการไหลเวียนโลหิตส่วนปลาย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
📖 Guideline อ้างอิง:
Natural Medicines Comprehensive Database &amp; แนวทางเวชปฏิบัติการใช้ยาต้านเกล็ดเลือด สมาคมแพทย์โรคหัวใจแห่งประเทศไทยฯ
📌 จุดจำก่อนสอบ:
• สมุนไพร 4G เพิ่มความเสี่ยง Bleeding เมื่อใช้ร่วมกับ Antithrombotics: Ginkgo, Garlic, Ginger, Ginseng
• ควรหยุดรับประทานสารสกัดใบแปะก๊วยอย่างน้อย 1-2 สัปดาห์ก่อนเข้ารับการผ่าตัด</t>
        </is>
      </c>
      <c r="K5" s="2" t="n"/>
      <c r="L5" s="2" t="inlineStr">
        <is>
          <t>Clinical Nutrition</t>
        </is>
      </c>
      <c r="M5" s="2" t="inlineStr">
        <is>
          <t>Clinic</t>
        </is>
      </c>
      <c r="N5" s="2" t="inlineStr">
        <is>
          <t>ข้อ 3 Pharma Plus เล่มม่วง (เฉลยข้อ ก)</t>
        </is>
      </c>
      <c r="O5" s="2" t="n"/>
      <c r="P5" s="2" t="n"/>
    </row>
    <row r="6" ht="13.2" customHeight="1" s="49">
      <c r="A6" s="8" t="inlineStr">
        <is>
          <t>4</t>
        </is>
      </c>
      <c r="B6" s="2" t="inlineStr">
        <is>
          <t>ระหว่างที่มีอาการปวดประจำเดือน ผู้ป่วยควรหลีกเลี่ยงอาหารที่มีส่วนประกอบใด</t>
        </is>
      </c>
      <c r="C6" s="2" t="n"/>
      <c r="D6" s="2" t="inlineStr">
        <is>
          <t>ขมิ้นชัน</t>
        </is>
      </c>
      <c r="E6" s="2" t="inlineStr">
        <is>
          <t>ชาเขียว</t>
        </is>
      </c>
      <c r="F6" s="2" t="inlineStr">
        <is>
          <t>ลูกเตอ</t>
        </is>
      </c>
      <c r="G6" s="2" t="inlineStr">
        <is>
          <t>กวาวเครือ</t>
        </is>
      </c>
      <c r="H6" s="2" t="inlineStr">
        <is>
          <t>มะขามแขก</t>
        </is>
      </c>
      <c r="I6" s="8" t="n">
        <v>5</v>
      </c>
      <c r="J6" s="2" t="inlineStr">
        <is>
          <t>✅ คำตอบที่ถูกต้อง: ข้อ จ. มะขามแขก
💡 Background:
อาการปวดประจำเดือนปฐมภูมิ (Primary dysmenorrhea) เกิดจากการสร้างสาร Prostaglandin F2-alpha (PGF2a) ในเยื่อบุโพรงมดลูกเพิ่มขึ้น ทำให้กล้ามเนื้อมดลูกและหลอดเลือดบีบเกร็งตัวอย่างรุนแรงและขาดเลือดชั่วคราว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
📖 Guideline อ้างอิง:
ACOG Practice Bulletin No. 209: Dysmenorrhea and Endometriosis &amp; บัญชียาหลักแห่งชาติด้านสมุนไพร พ.ศ. 2566
📌 จุดจำก่อนสอบ:
• ยาระบายกลุ่มกระตุ้น (Sennosides / มะขามแขก) กระตุ้นการบีบเกร็งของลำไส้และมดลูก ควรหลีกเลี่ยงช่วงมีประจำเดือนและหญิงตั้งครรภ์
• ยารักษามาตรฐานของ Dysmenorrhea คือ NSAIDs (เช่น Ibuprofen, Mefenamic acid) รับประทานตั้งแต่เริ่มมีอาการ</t>
        </is>
      </c>
      <c r="K6" s="2" t="n"/>
      <c r="L6" s="2" t="inlineStr">
        <is>
          <t>Clinical Nutrition</t>
        </is>
      </c>
      <c r="M6" s="2" t="inlineStr">
        <is>
          <t>Clinic</t>
        </is>
      </c>
      <c r="N6" s="2" t="inlineStr">
        <is>
          <t>ข้อ 4 Pharma Plus เล่มม่วง (เฉลยข้อ จ)</t>
        </is>
      </c>
      <c r="O6" s="2" t="n"/>
      <c r="P6" s="2" t="n"/>
    </row>
    <row r="7" ht="13.2" customHeight="1" s="49">
      <c r="A7" s="8" t="inlineStr">
        <is>
          <t>5</t>
        </is>
      </c>
      <c r="B7" s="2"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2" t="n"/>
      <c r="D7" s="2" t="inlineStr">
        <is>
          <t>ความดันโลหิตสูง</t>
        </is>
      </c>
      <c r="E7" s="2" t="inlineStr">
        <is>
          <t>ภาวะไขมันผิดปกติในเลือด</t>
        </is>
      </c>
      <c r="F7" s="2" t="inlineStr">
        <is>
          <t>โรคหลอดเลือดแดงเลี้ยงหัวใจตีบตัน</t>
        </is>
      </c>
      <c r="G7" s="2" t="inlineStr">
        <is>
          <t>กระดูกและข้อเสื่อมใน lower extremities</t>
        </is>
      </c>
      <c r="H7" s="2" t="inlineStr">
        <is>
          <t>โรคอัลไซเมอร์</t>
        </is>
      </c>
      <c r="I7" s="8" t="n">
        <v>5</v>
      </c>
      <c r="J7" s="2" t="inlineStr">
        <is>
          <t>✅ คำตอบที่ถูกต้อง: ข้อ จ. โรคอัลไซเมอร์
💡 Background:
โรคอ้วน (Obesity) เป็นภาวะที่มีการสะสมของไขมันในร่างกายมากเกินไปจนส่งผลเสียต่อสุขภาพ ก่อให้เกิดภาวะดื้อต่ออินซูลิน การอักเสบเรื้อรังระดับต่ำ และการเปลี่ยนแปลงของระบบไหลเวียนโลหิต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
📖 Guideline อ้างอิง:
แนวทางเวชปฏิบัติการรักษาโรคอ้วน (Clinical Practice Guidelines for Obesity) สมาคมโรคเบาหวานและต่อมไร้ท่อแห่งประเทศไทย &amp; WHO Obesity Fact Sheet
📌 จุดจำก่อนสอบ:
• ปัญหาสุขภาพหลักจากโรคอ้วน: Metabolic syndrome (HT, DLP, DM), CAD, Obstructive sleep apnea, NAFLD, และ Osteoarthritis
• การลดน้ำหนักเพียง 5-10% ของน้ำหนักตั้งต้น สามารถลดความเสี่ยงของโรคแทรกซ้อนเหล่านี้ได้อย่างมีนัยสำคัญ</t>
        </is>
      </c>
      <c r="K7" s="2" t="n"/>
      <c r="L7" s="2" t="inlineStr">
        <is>
          <t>Clinical Nutrition</t>
        </is>
      </c>
      <c r="M7" s="2" t="inlineStr">
        <is>
          <t>Clinic</t>
        </is>
      </c>
      <c r="N7" s="2" t="inlineStr">
        <is>
          <t>ข้อ 5 Pharma Plus เล่มม่วง (เฉลยข้อ จ)</t>
        </is>
      </c>
      <c r="O7" s="2" t="n"/>
      <c r="P7" s="2" t="n"/>
    </row>
    <row r="8" ht="13.2" customHeight="1" s="49">
      <c r="A8" s="8" t="inlineStr">
        <is>
          <t>6</t>
        </is>
      </c>
      <c r="B8" s="2" t="inlineStr">
        <is>
          <t>แพทย์สั่งใช้ยา Orlistat® สำหรับผู้ป่วยรายนี้ อยากทราบว่ายานี้ออกฤทธิ์อย่างไร</t>
        </is>
      </c>
      <c r="C8" s="2" t="n"/>
      <c r="D8" s="2" t="inlineStr">
        <is>
          <t>ดักจับไขมันในทางเดินอาหาร</t>
        </is>
      </c>
      <c r="E8" s="2" t="inlineStr">
        <is>
          <t>ออกฤทธิ์กดความอยากอาหาร</t>
        </is>
      </c>
      <c r="F8" s="2" t="inlineStr">
        <is>
          <t>เพิ่มการเมตาบอลิซึมไขมันในเซลล์</t>
        </is>
      </c>
      <c r="G8" s="2" t="inlineStr">
        <is>
          <t>ยับยั้งเอนไซม์ย่อยไขมันในทางเดินอาหาร</t>
        </is>
      </c>
      <c r="H8" s="2" t="inlineStr">
        <is>
          <t>ยับยั้งเอนไซม์ HMG CoA reductase</t>
        </is>
      </c>
      <c r="I8" s="8" t="n">
        <v>4</v>
      </c>
      <c r="J8" s="2" t="inlineStr">
        <is>
          <t>✅ คำตอบที่ถูกต้อง: ข้อ ง. ยับยั้งเอนไซม์ย่อยไขมันในทางเดินอาหาร
💡 Background:
Orlistat เป็นยาต้านความอ้วนที่ได้รับการรับรองจาก US-FDA และสำนักงานคณะกรรมการอาหารและยาแห่งประเทศไทย สำหรับใช้ควบคุมน้ำหนักร่วมกับการควบคุมอาหารและการออกกำลังกาย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
📖 Guideline อ้างอิง:
Pharmacological Management of Obesity: An Endocrine Society Clinical Practice Guideline &amp; คำแนะนำการใช้ยาลดน้ำหนัก สมาคมโรคเบาหวานแห่งประเทศไทย
📌 จุดจำก่อนสอบ:
• Orlistat ยับยั้ง Gastric &amp; Pancreatic lipase ลดการดูดซึมไขมันลง ~30%
• ผลข้างเคียงเด่น: อุจจาระปนไขมัน (Steatorrhea), ท้องเสียปนน้ำมัน, ผายลมมีน้ำมันเปรอะเปื้อน (Oily spotting)
• ข้อควรระวัง: รบกวนการดูดซึมวิตามินที่ละลายในไขมัน (A, D, E, K) ควรแนะนำให้รับประทานวิตามินรวมเสริมห่างจาก Orlistat อย่างน้อย 2 ชั่วโมง</t>
        </is>
      </c>
      <c r="K8" s="2" t="n"/>
      <c r="L8" s="2" t="inlineStr">
        <is>
          <t>Clinical Nutrition</t>
        </is>
      </c>
      <c r="M8" s="2" t="inlineStr">
        <is>
          <t>Clinic</t>
        </is>
      </c>
      <c r="N8" s="2" t="inlineStr">
        <is>
          <t>ข้อ 6 Pharma Plus เล่มม่วง (เฉลยข้อ ง)</t>
        </is>
      </c>
      <c r="O8" s="2" t="n"/>
      <c r="P8" s="2" t="n"/>
    </row>
    <row r="9" ht="13.2" customHeight="1" s="49">
      <c r="A9" s="8" t="inlineStr">
        <is>
          <t>7</t>
        </is>
      </c>
      <c r="B9" s="2" t="inlineStr">
        <is>
          <t>ผู้ป่วยควรรับประทานอาหารในข้อใด</t>
        </is>
      </c>
      <c r="C9" s="2" t="n"/>
      <c r="D9" s="2" t="inlineStr">
        <is>
          <t>ส้มตำเขียวหวาน คอมหมูย่าง ข้าวเหนียว</t>
        </is>
      </c>
      <c r="E9" s="2" t="inlineStr">
        <is>
          <t>ชมพู่ ปลาเผา แกงหน่อไม้</t>
        </is>
      </c>
      <c r="F9" s="2" t="inlineStr">
        <is>
          <t>มะม่วงสุก ผัดกระเฉดหมูกรอบ ข้าวต้ม</t>
        </is>
      </c>
      <c r="G9" s="2" t="inlineStr">
        <is>
          <t>ทุเรียน แกงเลียง ข้าวสวย</t>
        </is>
      </c>
      <c r="H9" s="2" t="inlineStr">
        <is>
          <t>กล้วยหอม ไอศกรีม ไก่ทอด</t>
        </is>
      </c>
      <c r="I9" s="8" t="n">
        <v>2</v>
      </c>
      <c r="J9" s="2" t="inlineStr">
        <is>
          <t>✅ คำตอบที่ถูกต้อง: ข้อ ข. ชมพู่ ปลาเผา แกงหน่อไม้
💡 Background:
หลักการควบคุมอาหารสำหรับผู้ป่วยโรคอ้วนและผู้ที่ใช้ยา Orlistat คือการจำกัดพลังงานรวม (Calorie restriction) และที่สำคัญที่สุดคือต้องจำกัดปริมาณไขมันในอาหารให้น้อยกว่า 30% ของพลังงานรวมต่อวัน เพื่อเพิ่มประสิทธิภาพการลดน้ำหนักและป้องกันอาการไม่พึงประสงค์ทางเดินอาหารจากยา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
📖 Guideline อ้างอิง:
ESPEN Guideline on Clinical Nutrition in Obesity &amp; ข้อปฏิบัติการบริโภคอาหารเพื่อสุขภาพที่ดีของคนไทย กรมอนามัย กระทรวงสาธารณสุข
📌 จุดจำก่อนสอบ:
• ผู้ป่วยใช้ Orlistat ต้องจำกัดไขมันไม่เกิน 30% ของพลังงานต่อมื้อ เพื่อลดอาการ Oily evacuation และ Fecal urgency
• เลือกโปรตีนไขมันต่ำ (ปลา, อกไก่) หลีกเลี่ยงอาหารทอดและแกงกะทิ</t>
        </is>
      </c>
      <c r="K9" s="2" t="n"/>
      <c r="L9" s="2" t="inlineStr">
        <is>
          <t>Clinical Nutrition</t>
        </is>
      </c>
      <c r="M9" s="2" t="inlineStr">
        <is>
          <t>Clinic</t>
        </is>
      </c>
      <c r="N9" s="2" t="inlineStr">
        <is>
          <t>ข้อ 7 Pharma Plus เล่มม่วง (เฉลยข้อ ข)</t>
        </is>
      </c>
      <c r="O9" s="2" t="n"/>
      <c r="P9" s="2" t="n"/>
    </row>
    <row r="10" ht="13.2" customHeight="1" s="49">
      <c r="A10" s="8" t="inlineStr">
        <is>
          <t>8</t>
        </is>
      </c>
      <c r="B10" s="2" t="inlineStr">
        <is>
          <t>เมื่อคำนวณค่า body mass index (BMI) ของหญิงผู้้นี้พบว่ามีค่า 30 kg/m² หมายความว่าอย่างไร</t>
        </is>
      </c>
      <c r="C10" s="2" t="n"/>
      <c r="D10" s="2" t="inlineStr">
        <is>
          <t>น้ำหนักน้อยกว่าปกติ</t>
        </is>
      </c>
      <c r="E10" s="2" t="inlineStr">
        <is>
          <t>น้ำหนักตัวเหมาะสม</t>
        </is>
      </c>
      <c r="F10" s="2" t="inlineStr">
        <is>
          <t>น้ำหนักเกินแต่ไม่มาก</t>
        </is>
      </c>
      <c r="G10" s="2" t="inlineStr">
        <is>
          <t>มีภาวะอ้วน</t>
        </is>
      </c>
      <c r="H10" s="2" t="inlineStr">
        <is>
          <t>มีภาวะอ้วนรุนแรง</t>
        </is>
      </c>
      <c r="I10" s="8" t="n">
        <v>5</v>
      </c>
      <c r="J10" s="2" t="inlineStr">
        <is>
          <t>✅ คำตอบที่ถูกต้อง: ข้อ จ. มีภาวะอ้วนรุนแรง
💡 Background:
ค่าดัชนีมวลกาย (Body Mass Index: BMI) คำนวณจาก น้ำหนักตัว (กิโลกรัม) หารด้วย ส่วนสูง (เมตร) ยกกำลังสอง ใช้เป็นเกณฑ์มาตรฐานสากลในการคัดกรองและประเมินภาวะโภชนาการ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
📖 Guideline อ้างอิง:
WHO Western Pacific Regional Office (WPRO) Obesity Classification &amp; แนวทางเวชปฏิบัติการรักษาโรคอ้วน ประเทศไทย
📌 จุดจำก่อนสอบ:
• เกณฑ์ BMI เอเชีย: ปกติ 18.5-22.9, น้ำหนักเกิน 23.0-24.9, อ้วนระดับ 1 คือ 25.0-29.9, อ้วนระดับ 2 (อ้วนรุนแรง) คือ &gt;= 30.0 kg/m2
• รอบเอวที่บ่งชี้อ้วนลงพุง (Central obesity) สำหรับคนไทย: ชาย &gt;= 90 ซม., หญิง &gt;= 80 ซม.</t>
        </is>
      </c>
      <c r="K10" s="2" t="n"/>
      <c r="L10" s="2" t="inlineStr">
        <is>
          <t>Clinical Nutrition</t>
        </is>
      </c>
      <c r="M10" s="2" t="inlineStr">
        <is>
          <t>Clinic</t>
        </is>
      </c>
      <c r="N10" s="2" t="inlineStr">
        <is>
          <t>ข้อ 8 Pharma Plus เล่มม่วง (เฉลยข้อ จ)</t>
        </is>
      </c>
      <c r="O10" s="2" t="n"/>
      <c r="P10" s="2" t="n"/>
    </row>
    <row r="11" ht="13.2" customHeight="1" s="49">
      <c r="A11" s="8" t="inlineStr">
        <is>
          <t>9</t>
        </is>
      </c>
      <c r="B11" s="2" t="inlineStr">
        <is>
          <t>สาเหตุของผมร่วง เล็บเปราะ เนื่องจากขาดวิตามินและแร่ธาตุ ยกเว้น</t>
        </is>
      </c>
      <c r="C11" s="2" t="n"/>
      <c r="D11" s="2" t="inlineStr">
        <is>
          <t>Vitamin B6</t>
        </is>
      </c>
      <c r="E11" s="2" t="inlineStr">
        <is>
          <t>Vitamin A</t>
        </is>
      </c>
      <c r="F11" s="2" t="inlineStr">
        <is>
          <t>Vitamin D</t>
        </is>
      </c>
      <c r="G11" s="2" t="inlineStr">
        <is>
          <t>Biotin</t>
        </is>
      </c>
      <c r="H11" s="2" t="inlineStr">
        <is>
          <t>Zinc</t>
        </is>
      </c>
      <c r="I11" s="8" t="n">
        <v>1</v>
      </c>
      <c r="J11" s="2" t="inlineStr">
        <is>
          <t>✅ คำตอบที่ถูกต้อง: ข้อ ก. Vitamin B6
💡 Background:
การเจริญเติบโตของเส้นผมและเล็บขึ้นอยู่กับการสังเคราะห์โปรตีนเคราติน (Keratin) การแบ่งตัวอย่างรวดเร็วของเซลล์เมทริกซ์ที่รากผม (Hair follicle matrix) และการทำงานของระบบภูมิคุ้มกันและเอนไซม์ต่างๆ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
📖 Guideline อ้างอิง:
British Association of Dermatologists Guidelines for Alopecia &amp; Dietary Reference Intakes (DRIs) for Thais 2020
📌 จุดจำก่อนสอบ:
• สารอาหารสำคัญสำหรับเส้นผมและเล็บ: Biotin (B7), Zinc, Iron, Vitamin D, Protein
• การเสริม Biotin ในขนาดสูง (High-dose biotin) อาจรบกวนผลตรวจทางห้องปฏิบัติการที่ใช้ระบบ Streptavidin-biotin เช่น Troponin และ Thyroid hormones</t>
        </is>
      </c>
      <c r="K11" s="2" t="n"/>
      <c r="L11" s="2" t="inlineStr">
        <is>
          <t>Clinical Nutrition</t>
        </is>
      </c>
      <c r="M11" s="2" t="inlineStr">
        <is>
          <t>Clinic</t>
        </is>
      </c>
      <c r="N11" s="2" t="inlineStr">
        <is>
          <t>ข้อ 9 Pharma Plus เล่มม่วง (เฉลยข้อ ก)</t>
        </is>
      </c>
      <c r="O11" s="2" t="n"/>
      <c r="P11" s="2" t="n"/>
    </row>
    <row r="12" ht="13.2" customHeight="1" s="49">
      <c r="A12" s="8" t="inlineStr">
        <is>
          <t>10</t>
        </is>
      </c>
      <c r="B12" s="2" t="inlineStr">
        <is>
          <t>วิตามิน แร่ธาตุที่เพิ่มความสดใสให้ผิวพรรณยกเว้น</t>
        </is>
      </c>
      <c r="C12" s="2" t="n"/>
      <c r="D12" s="2" t="inlineStr">
        <is>
          <t>Vitamin E</t>
        </is>
      </c>
      <c r="E12" s="2" t="inlineStr">
        <is>
          <t>Vitamin C</t>
        </is>
      </c>
      <c r="F12" s="2" t="inlineStr">
        <is>
          <t>Magnesium</t>
        </is>
      </c>
      <c r="G12" s="2" t="inlineStr">
        <is>
          <t>Zinc</t>
        </is>
      </c>
      <c r="H12" s="2" t="inlineStr">
        <is>
          <t>EPO (evening primrose oil)</t>
        </is>
      </c>
      <c r="I12" s="8" t="n">
        <v>3</v>
      </c>
      <c r="J12" s="2" t="inlineStr">
        <is>
          <t>✅ คำตอบที่ถูกต้อง: ข้อ ค. Magnesium
💡 Background:
สารอาหารที่ช่วยบำรุงผิวพรรณมักเป็นสารที่มีฤทธิ์ต้านอนุมูลอิสระ (Antioxidants) ช่วยในการสังเคราะห์เส้นใยคอลลาเจนและอีลาสติน รักษาความชุ่มชื้นของผิวหนัง และลดการอักเสบ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
📖 Guideline อ้างอิง:
American Academy of Dermatology (AAD) Clinical Guidelines &amp; Dietary Reference Intakes for Thais 2020
📌 จุดจำก่อนสอบ:
• Vitamin C จำเป็นต่อการสร้าง Collagen และต้านอนุมูลอิสระ
• Vitamin E + Vitamin C เสริมฤทธิ์กันในการปกป้องผิวจากแสงแดด (Photoprotection)
• Zinc ลดการอักเสบและช่วยสมานแผลผิวหนัง</t>
        </is>
      </c>
      <c r="K12" s="2" t="n"/>
      <c r="L12" s="2" t="inlineStr">
        <is>
          <t>Clinical Nutrition</t>
        </is>
      </c>
      <c r="M12" s="2" t="inlineStr">
        <is>
          <t>Clinic</t>
        </is>
      </c>
      <c r="N12" s="2" t="inlineStr">
        <is>
          <t>ข้อ 10 Pharma Plus เล่มม่วง (เฉลยข้อ ค)</t>
        </is>
      </c>
      <c r="O12" s="2" t="n"/>
      <c r="P12" s="2" t="n"/>
    </row>
    <row r="13" ht="13.2" customHeight="1" s="49">
      <c r="A13" s="8" t="inlineStr">
        <is>
          <t>11</t>
        </is>
      </c>
      <c r="B13" s="2" t="inlineStr">
        <is>
          <t>วิตามิน แร่ธาตุชนิดใดที่เหมาะสมกับการออกกำลังกายมากที่สุด</t>
        </is>
      </c>
      <c r="C13" s="2" t="n"/>
      <c r="D13" s="2" t="inlineStr">
        <is>
          <t>Vitamin K, Calcium, Vanadium</t>
        </is>
      </c>
      <c r="E13" s="2" t="inlineStr">
        <is>
          <t>Vitamin D, Calcium, Nickel</t>
        </is>
      </c>
      <c r="F13" s="2" t="inlineStr">
        <is>
          <t>Calcium, Magnesium, Potassium</t>
        </is>
      </c>
      <c r="G13" s="2" t="inlineStr">
        <is>
          <t>Calcium, Magnesium, Potassium</t>
        </is>
      </c>
      <c r="H13" s="2" t="inlineStr">
        <is>
          <t>Iodine, Copper, Selenium</t>
        </is>
      </c>
      <c r="I13" s="8" t="n">
        <v>3</v>
      </c>
      <c r="J13" s="2" t="inlineStr">
        <is>
          <t>✅ คำตอบที่ถูกต้อง: ข้อ ค. Calcium, Magnesium, Potassium
💡 Background:
ในระหว่างการออกกำลังกาย กล้ามเนื้อลายและกล้ามเนื้อหัวใจต้องการแร่ธาตุอิเล็กโทรไลต์เพื่อควบคุมการหดและคลายตัวของกล้ามเนื้อ การนำกระแสประสาท และการรักษาสมดุลของของเหลวในร่างกาย ซึ่งจะสูญเสียไปพร้อมกับเหงื่อ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
📖 Guideline อ้างอิง:
American College of Sports Medicine (ACSM) Joint Position Statement: Nutrition and Athletic Performance
📌 จุดจำก่อนสอบ:
• อิเล็กโทรไลต์สำคัญในการทำงานของกล้ามเนื้อ: Ca2+ (หดตัว), Mg2+ (คลายตัว/สร้าง ATP), K+ และ Na+ (รักษาสมดุลสารน้ำและกระแสประสาท)
• การขาด Potassium และ Magnesium สัมพันธ์กับอาการกล้ามเนื้ออ่อนแรงและตะคริว</t>
        </is>
      </c>
      <c r="K13" s="2" t="n"/>
      <c r="L13" s="2" t="inlineStr">
        <is>
          <t>Clinical Nutrition</t>
        </is>
      </c>
      <c r="M13" s="2" t="inlineStr">
        <is>
          <t>Clinic</t>
        </is>
      </c>
      <c r="N13" s="2" t="inlineStr">
        <is>
          <t>ข้อ 11 Pharma Plus เล่มม่วง (เฉลยข้อ ค ง)</t>
        </is>
      </c>
      <c r="O13" s="2" t="n"/>
      <c r="P13" s="2" t="n"/>
    </row>
    <row r="14" ht="13.2" customHeight="1" s="49">
      <c r="A14" s="8" t="inlineStr">
        <is>
          <t>12</t>
        </is>
      </c>
      <c r="B14" s="2" t="inlineStr">
        <is>
          <t>จากข้อที่ 11 หมวดต่ออาหารใดที่พบแร่ธาตุ วิตามินเหล่านั้นมากที่สุด</t>
        </is>
      </c>
      <c r="C14" s="2" t="n"/>
      <c r="D14" s="2" t="inlineStr">
        <is>
          <t>เนื้อสัตว์, อาหารทะเล, เครื่องใน</t>
        </is>
      </c>
      <c r="E14" s="2" t="inlineStr">
        <is>
          <t>ปลาตัวเล็กตัวน้อย, ผักบร็อคโคลี่, กล้วย</t>
        </is>
      </c>
      <c r="F14" s="2" t="inlineStr">
        <is>
          <t>ธัญพืช, ถั่วเหลือง, โยเกิร์ต</t>
        </is>
      </c>
      <c r="G14" s="2" t="inlineStr">
        <is>
          <t>ชาเขียว, โสม, Co-enzyme Q10</t>
        </is>
      </c>
      <c r="H14" s="2" t="inlineStr">
        <is>
          <t>น้ำมันตับปลา, น้ำมันปลา, ปลา</t>
        </is>
      </c>
      <c r="I14" s="8" t="n">
        <v>2</v>
      </c>
      <c r="J14" s="2" t="inlineStr">
        <is>
          <t>✅ คำตอบที่ถูกต้อง: ข้อ ข. ปลาตัวเล็กตัวน้อย, ผักบร็อคโคลี่, กล้วย
💡 Background:
การได้รับแร่ธาตุที่จำเป็นต่อการออกกำลังกาย (แคลเซียม แมกนีเซียม และโพแทสเซียม) จากอาหารธรรมชาติเป็นแนวทางที่ดีที่สุดในการรักษาสมดุลอิเล็กโทรไลต์ของร่างกาย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
📖 Guideline อ้างอิง:
ข้อกำหนดสารอาหารที่ควรได้รับประจำวันสำหรับคนไทย (DRI for Thais 2020) กรมอนามัย กระทรวงสาธารณสุข
📌 จุดจำก่อนสอบ:
• แหล่งแคลเซียมสูง: นม ปลาเล็กปลาน้อย เต้าหู้แข็ง ผักใบเขียว
• แหล่งโพแทสเซียมสูง: กล้วย ส้ม แคนตาลูป มันฝรั่ง ผักโขม
• แหล่งแมกนีเซียมสูง: ถั่วเปลือกแข็ง เมล็ดพืช ผักใบเขียวเข้ม ธัญพืชไม่ขัดสี</t>
        </is>
      </c>
      <c r="K14" s="2" t="n"/>
      <c r="L14" s="2" t="inlineStr">
        <is>
          <t>Clinical Nutrition</t>
        </is>
      </c>
      <c r="M14" s="2" t="inlineStr">
        <is>
          <t>Clinic</t>
        </is>
      </c>
      <c r="N14" s="2" t="inlineStr">
        <is>
          <t>ข้อ 12 Pharma Plus เล่มม่วง (เฉลยข้อ ข)</t>
        </is>
      </c>
      <c r="O14" s="2" t="n"/>
      <c r="P14" s="2" t="n"/>
    </row>
    <row r="15" ht="13.2" customHeight="1" s="49">
      <c r="A15" s="8" t="inlineStr">
        <is>
          <t>13</t>
        </is>
      </c>
      <c r="B15" s="2" t="inlineStr">
        <is>
          <t>ข้อใด ไม่ใช่ข้อควรปฏิบัติในการรับประทานวิตามิน อาหารเสริม</t>
        </is>
      </c>
      <c r="C15" s="2" t="n"/>
      <c r="D15" s="2" t="inlineStr">
        <is>
          <t>ออกกำลังกายอย่างต่อเนื่อง อย่างน้อย 30 นาทีทุกวัน</t>
        </is>
      </c>
      <c r="E15" s="2" t="inlineStr">
        <is>
          <t>ดื่มน้ำบริสุทธิ์ ปริมาณ 2 ลิตร ต่อวัน</t>
        </is>
      </c>
      <c r="F15" s="2" t="inlineStr">
        <is>
          <t>ควรรับประทานหลังมื้ออาหารหรือพร้อมมื้ออาหาร</t>
        </is>
      </c>
      <c r="G15" s="2" t="inlineStr">
        <is>
          <t>การรับประทานช่วงเวลาก่อนนอนเหมาะสำหรับวิตามินและแร่ธาตุที่บำรุงผิว</t>
        </is>
      </c>
      <c r="H15" s="2" t="inlineStr">
        <is>
          <t>ควรรับประทานผักใบเขียว, ผลไม้ควบคู่ทุกวัน</t>
        </is>
      </c>
      <c r="I15" s="8" t="n">
        <v>4</v>
      </c>
      <c r="J15" s="2" t="inlineStr">
        <is>
          <t>✅ คำตอบที่ถูกต้อง: ข้อ ง. การรับประทานช่วงเวลาก่อนนอนเหมาะสำหรับวิตามินและแร่ธาตุที่บำรุงผิว
💡 Background:
การรับประทานผลิตภัณฑ์เสริมอาหารและวิตามินอย่างถูกต้องมีความสำคัญต่อทั้งชีวประสิทธิผล (Bioavailability) และความปลอดภัยของผู้บริโภค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
📖 Guideline อ้างอิง:
แนวทางการให้คำปรึกษาด้านผลิตภัณฑ์เสริมอาหาร สภาเภสัชกรรมแห่งประเทศไทย &amp; Academy of Nutrition and Dietetics
📌 จุดจำก่อนสอบ:
• วิตามินที่ละลายในไขมัน (A, D, E, K): รับประทานพร้อมหรือหลังอาหารที่มีไขมัน
• วิตามินบีรวมและวิตามินซี: รับประทานช่วงเช้าหรือพร้อมมื้ออาหาร หลีกเลี่ยงก่อนนอนเพราะอาจรบกวนการนอนหลับ
• ธาตุเหล็ก: ดูดซึมดีตอนท้องว่างร่วมกับวิตามินซี แต่หากระคายเคืองกระเพาะอาหารให้ทานหลังอาหาร</t>
        </is>
      </c>
      <c r="K15" s="2" t="n"/>
      <c r="L15" s="2" t="inlineStr">
        <is>
          <t>Clinical Nutrition</t>
        </is>
      </c>
      <c r="M15" s="2" t="inlineStr">
        <is>
          <t>Clinic</t>
        </is>
      </c>
      <c r="N15" s="2" t="inlineStr">
        <is>
          <t>ข้อ 13 Pharma Plus เล่มม่วง (เฉลยข้อ ง)</t>
        </is>
      </c>
      <c r="O15" s="2" t="n"/>
      <c r="P15" s="2" t="n"/>
    </row>
    <row r="16" ht="13.2" customHeight="1" s="49">
      <c r="A16" s="8" t="inlineStr">
        <is>
          <t>14</t>
        </is>
      </c>
      <c r="B16" s="2" t="inlineStr">
        <is>
          <t>ผู้ป่วยอายุ 2 ขวบ หนัก 10 kg สูง 90 cm กินแต่มาม่า
ผู้ป่วยมี actual BW เป็นกี่เปอร์เซ็นต์ ของ IDW (IDW=(Ht²(cm²)x1.65)/1000)</t>
        </is>
      </c>
      <c r="C16" s="2" t="n"/>
      <c r="D16" s="8" t="inlineStr">
        <is>
          <t>65%</t>
        </is>
      </c>
      <c r="E16" s="8" t="inlineStr">
        <is>
          <t>70%</t>
        </is>
      </c>
      <c r="F16" s="8" t="inlineStr">
        <is>
          <t>75%</t>
        </is>
      </c>
      <c r="G16" s="8" t="inlineStr">
        <is>
          <t>80%</t>
        </is>
      </c>
      <c r="H16" s="8" t="inlineStr">
        <is>
          <t>135%</t>
        </is>
      </c>
      <c r="I16" s="8" t="n">
        <v>3</v>
      </c>
      <c r="J16" s="2" t="inlineStr">
        <is>
          <t>✅ คำตอบที่ถูกต้อง: ข้อ ค. 75%
💡 Background:
การประเมินภาวะโภชนาการในผู้ป่วยเด็ก อาศัยการเปรียบเทียบน้ำหนักตัวจริง (Actual Body Weight: ABW) กับน้ำหนักตัวในอุดมคติ (Ideal Body Weight: IDW) เพื่อประเมินระดับความรุนแรงของภาวะทุพโภชนาการ (Malnutrition)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
📖 Guideline อ้างอิง:
เกณฑ์อ้างอิงการเจริญเติบโตของเด็กไทย กรมอนามัย กระทรวงสาธารณสุข &amp; ESPGHAN Guidelines on Pediatric Nutrition
📌 จุดจำก่อนสอบ:
• เกณฑ์ประเมิน Waterlow's classification สำหรับ Wasting (% Weight-for-height):
  - &gt; 90% = ปกติ
  - 80-90% = Mild wasting (ทุพโภชนาการระดับที่ 1)
  - 70-80% = Moderate wasting (ทุพโภชนาการระดับที่ 2)
  - &lt; 70% = Severe wasting (ทุพโภชนาการระดับที่ 3)
• ผู้ป่วยรายนี้ได้ 75% จัดอยู่ในกลุ่ม Moderate malnutrition (Moderate wasting)</t>
        </is>
      </c>
      <c r="K16" s="2" t="n"/>
      <c r="L16" s="2" t="inlineStr">
        <is>
          <t>Clinical Nutrition</t>
        </is>
      </c>
      <c r="M16" s="2" t="inlineStr">
        <is>
          <t>Clinic</t>
        </is>
      </c>
      <c r="N16" s="2" t="inlineStr">
        <is>
          <t>ข้อ 14 Pharma Plus เล่มม่วง (เฉลยข้อ ค)</t>
        </is>
      </c>
      <c r="O16" s="2" t="n"/>
      <c r="P16" s="2" t="n"/>
    </row>
    <row r="17" ht="13.2" customHeight="1" s="49">
      <c r="A17" s="8" t="inlineStr">
        <is>
          <t>15</t>
        </is>
      </c>
      <c r="B17" s="2" t="inlineStr">
        <is>
          <t>ผู้ป่วยอายุ 2 ขวบ หนัก 10 kg สูง 90 cm กินแต่มาม่า
ผู้ป่วยรายนี้ไม่ต้องอาศัยข้อมูลใด ในการประเมินความเจริญเติบโต (growth velocity)</t>
        </is>
      </c>
      <c r="C17" s="2" t="n"/>
      <c r="D17" s="2" t="inlineStr">
        <is>
          <t>อายุ</t>
        </is>
      </c>
      <c r="E17" s="2" t="inlineStr">
        <is>
          <t>บันทึกน้ำหนัก รายเดือน</t>
        </is>
      </c>
      <c r="F17" s="2" t="inlineStr">
        <is>
          <t>บันทึกส่วนสูงรายเดือน</t>
        </is>
      </c>
      <c r="G17" s="2" t="inlineStr">
        <is>
          <t>ค่ามาตรฐานการเจริญเติบโต</t>
        </is>
      </c>
      <c r="H17" s="2" t="inlineStr">
        <is>
          <t>ความต้องการพลังงานต่อวัน</t>
        </is>
      </c>
      <c r="I17" s="8" t="n">
        <v>5</v>
      </c>
      <c r="J17" s="2" t="inlineStr">
        <is>
          <t>✅ คำตอบที่ถูกต้อง: ข้อ จ. ความต้องการพลังงานต่อวัน
💡 Background:
การประเมินการเจริญเติบโตในเด็ก (Growth assessment) และอัตราความเร็วของการเจริญเติบโต (Growth velocity) เป็นหัวใจสำคัญในการติดตามพัฒนาการทางกายภาพและภาวะสุขภาพของเด็ก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
📖 Guideline อ้างอิง:
คู่มือการประเมินการเจริญเติบโตและภาวะโภชนาการของเด็ก สมาคมกุมารแพทย์แห่งประเทศไทย &amp; WHO Child Growth Standards
📌 จุดจำก่อนสอบ:
• Growth velocity คือ อัตราการเปลี่ยนแปลงของขนาดร่างกายต่อหน่วยเวลา (เช่น กรัมต่อวัน, เซนติเมตรต่อปี)
• ต้องใช้ข้อมูล น้ำหนัก ส่วนสูง อายุ และกราฟมาตรฐานการเจริญเติบโตในการประเมิน</t>
        </is>
      </c>
      <c r="K17" s="2" t="n"/>
      <c r="L17" s="2" t="inlineStr">
        <is>
          <t>Clinical Nutrition</t>
        </is>
      </c>
      <c r="M17" s="2" t="inlineStr">
        <is>
          <t>Clinic</t>
        </is>
      </c>
      <c r="N17" s="2" t="inlineStr">
        <is>
          <t>ข้อ 15 Pharma Plus เล่มม่วง (เฉลยข้อ จ)</t>
        </is>
      </c>
      <c r="O17" s="2" t="n"/>
      <c r="P17" s="2" t="n"/>
    </row>
    <row r="18" ht="13.2" customHeight="1" s="49">
      <c r="A18" s="8" t="inlineStr">
        <is>
          <t>16</t>
        </is>
      </c>
      <c r="B18" s="2" t="inlineStr">
        <is>
          <t>บุคคลที่รับประทานอาหารมังสวิรัติมีโอกาสขาดเหล็กได้เนื่องจาก</t>
        </is>
      </c>
      <c r="C18" s="2" t="n"/>
      <c r="D18" s="2" t="inlineStr">
        <is>
          <t>ในอาหารมังสวิรัติเหล็กในรูป heme-iron มาก</t>
        </is>
      </c>
      <c r="E18" s="2" t="inlineStr">
        <is>
          <t>สาร phytate ในอาหารรบกวนการดูดซึมเหล็ก</t>
        </is>
      </c>
      <c r="F18" s="2" t="inlineStr">
        <is>
          <t>เหล็กจะพบได้จากอาหารที่มาจากเนื้อสัตว์เท่านั้น</t>
        </is>
      </c>
      <c r="G18" s="2" t="inlineStr">
        <is>
          <t>วิตามินซีจากผัก+ผลไม้ลดการดูดซึมเหล็ก</t>
        </is>
      </c>
      <c r="H18" s="2" t="inlineStr">
        <is>
          <t>Renal Enteral Formula (High calorie, Low electrolyte)</t>
        </is>
      </c>
      <c r="I18" s="8" t="n">
        <v>3</v>
      </c>
      <c r="J18" s="2" t="inlineStr">
        <is>
          <t>✅ คำตอบที่ถูกต้อง: ข้อ ค. เหล็กจะพบได้จากอาหารที่มาจากเนื้อสัตว์เท่านั้น
💡 Background:
ธาตุเหล็กในอาหารแบ่งออกเป็น 2 รูปแบบหลัก คือ Heme iron (พบในฮีโมโกลบินและไมโอโกลบินของเนื้อสัตว์ เครื่องใน และเลือด) ซึ่งดูดซึมได้ดี (15-35%) และ Non-heme iron (พบในพืช ผักใบเขียว ถั่ว และธัญพืช) ซึ่งดูดซึมได้น้อยกว่า (2-20%)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
📖 Guideline อ้างอิง:
Dietary Guidelines for Vegetarians &amp; แนวทางเวชปฏิบัติการรักษาภาวะโลหิตจางจากการขาดธาตุเหล็ก สมาคมโลหิตวิทยาแห่งประเทศไทย
📌 จุดจำก่อนสอบ:
• ธาตุเหล็กในพืชคือ Non-heme iron (Fe3+) ดูดซึมได้น้อยกว่า Heme iron (Fe2+) ในเนื้อสัตว์
• สารที่ช่วยเพิ่มการดูดซึมธาตุเหล็ก: วิตามินซี (Ascorbic acid), กรดในกระเพาะอาหาร
• สารที่ยับยั้งการดูดซึมธาตุเหล็ก: Phytates (ในธัญพืช), Tannins (ในชา/กาแฟ), Calcium (ในนม), และ Antacids</t>
        </is>
      </c>
      <c r="K18" s="2" t="n"/>
      <c r="L18" s="2" t="inlineStr">
        <is>
          <t>Clinical Nutrition</t>
        </is>
      </c>
      <c r="M18" s="2" t="inlineStr">
        <is>
          <t>Clinic</t>
        </is>
      </c>
      <c r="N18" s="2" t="inlineStr">
        <is>
          <t>ข้อ 16 Pharma Plus เล่มม่วง (เฉลยข้อ ค)</t>
        </is>
      </c>
      <c r="O18" s="2" t="n"/>
      <c r="P18" s="2" t="n"/>
    </row>
    <row r="19" ht="13.2" customHeight="1" s="49">
      <c r="A19" s="8" t="inlineStr">
        <is>
          <t>17</t>
        </is>
      </c>
      <c r="B19" s="2" t="inlineStr">
        <is>
          <t>เกลือแร่ในข้อใดผิด</t>
        </is>
      </c>
      <c r="C19" s="2" t="n"/>
      <c r="D19" s="2" t="inlineStr">
        <is>
          <t>ถ้าขาดสังกะสีจะทำให้อาการอวัยวะเพศไม่เติบโตตามวัยและแผลหายช้า</t>
        </is>
      </c>
      <c r="E19" s="2" t="inlineStr">
        <is>
          <t>ควรเสริมไอโอดีนแก่เด็กที่ป้องกันฟันผุ โดยให้ผสมกับน้ำความเข้มข้น 1 ต่อล้าน</t>
        </is>
      </c>
      <c r="F19" s="2" t="inlineStr">
        <is>
          <t>แคลเซียมและฟอสฟอรัสเป็นเกลือแร่ที่สำคัญ เป็นส่วนประกอบของกระดูกและฟัน</t>
        </is>
      </c>
      <c r="G19" s="2" t="inlineStr">
        <is>
          <t>ถ้าขาดทองแดงจะทำให้เป็นโรคโลหิตจาง</t>
        </is>
      </c>
      <c r="H19" s="2" t="inlineStr">
        <is>
          <t>ถ้าขาดไอโอดีนทำให้เป็นโรคคอพอก</t>
        </is>
      </c>
      <c r="I19" s="8" t="n">
        <v>2</v>
      </c>
      <c r="J19" s="2" t="inlineStr">
        <is>
          <t>✅ คำตอบที่ถูกต้อง: ข้อ ข. ควรเสริมไอโอดีนแก่เด็กที่ป้องกันฟันผุ โดยให้ผสมกับน้ำความเข้มข้น 1 ต่อล้าน
💡 Background:
แร่ธาตุและเกลือแร่ต่างๆ มีหน้าที่ทางสรีรวิทยาที่เฉพาะเจาะจง การขาดหรือได้รับมากเกินไปจะส่งผลให้เกิดโรคและความผิดปกติต่างๆ ในร่างกาย
🎯 ทำไมข้อนี้ถึงถูก:
ข้อความนี้ผิด เพราะสารที่ใช้เสริมเพื่อป้องกันฟันผุคือ ฟลูออไรด์ (Fluoride) ไม่ใช่ ไอโอดีน (Iodine) ส่วนไอโอดีนเป็นแร่ธาตุจำเป็นในการสังเคราะห์ฮอร์โมนไทรอยด์ (Thyroxine: T4 และ Triiodothyronine: T3) การขาดไอโอดีนทำให้เกิดโรคคอพอก (Goiter) และภาวะแคระแกร็นทางสมองและร่างกาย (Cretinism)
🔍 ข้ออื่นผิดเพราะอะไร (ข้อความอื่นถูกต้อง):
• ข้อ ก. (ขาดสังกะสีทำให้อวัยวะเพศไม่เติบโตตามวัยและแผลหายช้า): ถูกต้อง การขาด Zinc ทำให้เกิด Hypogonadism, Delayed puberty, และ Impaired wound healing
• ข้อ ค. (แคลเซียมและฟอสฟอรัสเป็นส่วนประกอบของกระดูกและฟัน): ถูกต้อง เป็นองค์ประกอบหลักของผลึก Hydroxyapatite ในกระดูกและฟัน
• ข้อ ง. (ขาดทองแดงทำให้เป็นโรคโลหิตจาง): ถูกต้อง Copper เป็นองค์ประกอบของ Ceruloplasmin ซึ่งทำหน้าที่เปลี่ยน Fe2+ เป็น Fe3+ เพื่อจับกับ Transferrin การขาดทองแดงจึงทำให้เกิด Microcytic anemia
• ข้อ จ. (ขาดไอโอดีนทำให้เป็นโรคคอพอก): ถูกต้อง การขาดไอโอดีนกระตุ้นการหลั่ง TSH ทำให้ต่อมไทรอยด์โตขึ้นเป็นโรคคอพอก (Simple goiter)
📖 Guideline อ้างอิง:
Dietary Reference Intakes for Thais 2020 กรมอนามัย กระทรวงสาธารณสุข &amp; WHO Micronutrient Guidelines
📌 จุดจำก่อนสอบ:
• ป้องกันฟันผุ = Fluoride (ฟลูออไรด์)
• สังเคราะห์ฮอร์โมนไทรอยด์ / ป้องกันคอพอก = Iodine (ไอโอดีน)
• สมานแผล / การเจริญเติบโตทางเพศ = Zinc (สังกะสี)
• ขนส่งธาตุเหล็ก / เอนไซม์สร้างเม็ดเลือด = Copper (ทองแดง)</t>
        </is>
      </c>
      <c r="K19" s="2" t="n"/>
      <c r="L19" s="2" t="inlineStr">
        <is>
          <t>Clinical Nutrition</t>
        </is>
      </c>
      <c r="M19" s="2" t="inlineStr">
        <is>
          <t>Clinic</t>
        </is>
      </c>
      <c r="N19" s="2" t="inlineStr">
        <is>
          <t>ข้อ 17 Pharma Plus เล่มม่วง (เฉลยข้อ ข)</t>
        </is>
      </c>
      <c r="O19" s="2" t="n"/>
      <c r="P19" s="2" t="n"/>
    </row>
    <row r="20" ht="13.2" customHeight="1" s="49">
      <c r="A20" s="8" t="inlineStr">
        <is>
          <t>18</t>
        </is>
      </c>
      <c r="B20" s="2" t="inlineStr">
        <is>
          <t>ผู้ป่วยที่มีอาการอ่อนเพลีย ใจสั่น ซีด เหนื่อยง่าย เล็บโค้งคล้ายช้อน ผู้ป่วยนั้นขาดสารอาหาร</t>
        </is>
      </c>
      <c r="C20" s="2" t="n"/>
      <c r="D20" s="2" t="inlineStr">
        <is>
          <t>Zinc</t>
        </is>
      </c>
      <c r="E20" s="2" t="inlineStr">
        <is>
          <t>Vit E</t>
        </is>
      </c>
      <c r="F20" s="2" t="inlineStr">
        <is>
          <t>Vit B1</t>
        </is>
      </c>
      <c r="G20" s="2" t="inlineStr">
        <is>
          <t>Iron</t>
        </is>
      </c>
      <c r="H20" s="2" t="inlineStr">
        <is>
          <t>Vit C</t>
        </is>
      </c>
      <c r="I20" s="8" t="n">
        <v>4</v>
      </c>
      <c r="J20" s="2" t="inlineStr">
        <is>
          <t>✅ คำตอบที่ถูกต้อง: ข้อ ง. Iron
💡 Background:
ภาวะโลหิตจางจากการขาดธาตุเหล็ก (Iron Deficiency Anemia: IDA) เป็นภาวะขาดสารอาหารที่พบบ่อยที่สุดในประชากรทั่วโลก ส่งผลกระทบต่อการสร้างฮีโมโกลบินและการขนส่งออกซิเจนไปยังเนื้อเยื่อต่างๆ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
📖 Guideline อ้างอิง:
แนวทางเวชปฏิบัติการวินิจฉัยและรักษาภาวะโลหิตจางจากการขาดธาตุเหล็ก สมาคมโลหิตวิทยาแห่งประเทศไทย &amp; WHO Guidelines on Iron Supplementation
📌 จุดจำก่อนสอบ:
• ขาดธาตุเหล็ก: Microcytic hypochromic anemia (MCV &lt; 80 fL), Ferritin ต่ำ, TIBC สูง
• สัญญาณทางคลินิกจำเพาะของการขาดเหล็ก: เล็บรูปช้อน (Koilonychia), ชอบกินของแปลก (Pica), ลิ้นเลี่ยน (Glossitis)</t>
        </is>
      </c>
      <c r="K20" s="2" t="n"/>
      <c r="L20" s="2" t="inlineStr">
        <is>
          <t>Clinical Nutrition</t>
        </is>
      </c>
      <c r="M20" s="2" t="inlineStr">
        <is>
          <t>Clinic</t>
        </is>
      </c>
      <c r="N20" s="2" t="inlineStr">
        <is>
          <t>ข้อ 18 Pharma Plus เล่มม่วง (เฉลยข้อ ง)</t>
        </is>
      </c>
      <c r="O20" s="2" t="n"/>
      <c r="P20" s="2" t="n"/>
    </row>
    <row r="21" ht="13.2" customHeight="1" s="49">
      <c r="A21" s="8" t="inlineStr">
        <is>
          <t>19</t>
        </is>
      </c>
      <c r="B21" s="2" t="inlineStr">
        <is>
          <t>ผู้ป่วยได้รับยา MAOI เมื่อรับประทานปลาร้าหรือเนยแข็งอาจเกิด acute hypertension เนื่องจากอาหารนี้มีสารอาหารพวก</t>
        </is>
      </c>
      <c r="C21" s="2" t="n"/>
      <c r="D21" s="2" t="inlineStr">
        <is>
          <t>Tyramine</t>
        </is>
      </c>
      <c r="E21" s="2" t="inlineStr">
        <is>
          <t>Glutamine</t>
        </is>
      </c>
      <c r="F21" s="2" t="inlineStr">
        <is>
          <t>Phanalzine</t>
        </is>
      </c>
      <c r="G21" s="2" t="inlineStr">
        <is>
          <t>Tyrosine</t>
        </is>
      </c>
      <c r="H21" s="2" t="inlineStr">
        <is>
          <t>Phenylalanine</t>
        </is>
      </c>
      <c r="I21" s="8" t="n">
        <v>1</v>
      </c>
      <c r="J21" s="2"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2" t="n"/>
      <c r="L21" s="2" t="inlineStr">
        <is>
          <t>Clinical Nutrition</t>
        </is>
      </c>
      <c r="M21" s="2" t="inlineStr">
        <is>
          <t>Clinic</t>
        </is>
      </c>
      <c r="N21" s="2" t="inlineStr">
        <is>
          <t>ข้อ 19 Pharma Plus เล่มม่วง (เฉลยข้อ ก)</t>
        </is>
      </c>
      <c r="O21" s="2" t="n"/>
      <c r="P21" s="2" t="n"/>
    </row>
    <row r="22" ht="13.2" customHeight="1" s="49">
      <c r="A22" s="8" t="inlineStr">
        <is>
          <t>20</t>
        </is>
      </c>
      <c r="B22" s="2" t="inlineStr">
        <is>
          <t>น้ำมันปลากินไปนานๆแล้วเป็นอย่างไร</t>
        </is>
      </c>
      <c r="C22" s="2" t="n"/>
      <c r="D22" s="2" t="inlineStr">
        <is>
          <t>ปวดหัว</t>
        </is>
      </c>
      <c r="E22" s="2" t="inlineStr">
        <is>
          <t>ท้องเสีย</t>
        </is>
      </c>
      <c r="F22" s="2" t="inlineStr">
        <is>
          <t>ตาพร่ามัว</t>
        </is>
      </c>
      <c r="G22" s="2" t="inlineStr">
        <is>
          <t>มวลกระดูกเพิ่มขึ้น</t>
        </is>
      </c>
      <c r="H22" s="2" t="inlineStr">
        <is>
          <t>ระยะเวลาการแข็งตัวของเลือดยาวนานขึ้น</t>
        </is>
      </c>
      <c r="I22" s="8" t="n">
        <v>5</v>
      </c>
      <c r="J22" s="2" t="inlineStr">
        <is>
          <t>✅ คำตอบที่ถูกต้อง: ข้อ จ. ระยะเวลาการแข็งตัวของเลือดยาวนานขึ้น
💡 Background:
น้ำมันปลา (Fish oil) อุดมไปด้วยกรดไขมันไม่อิ่มตัวเชิงซ้อนกลุ่มโอเมก้า 3 สายยาว ได้แก่ Eicosapentaenoic acid (EPA) และ Docosahexaenoic acid (DHA) ซึ่งมีบทบาทสำคัญในการลดระดับไตรกลีเซอไรด์และต้านการอักเสบ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
📖 Guideline อ้างอิง:
AHA Science Advisory: Omega-3 Fatty Acids and Cardiovascular Disease &amp; US-FDA Fish Oil Supplement Safety Recommendations
📌 จุดจำก่อนสอบ:
• Omega-3 (EPA/DHA) ลดการสร้าง TXA2 -&gt; ลด Platelet aggregation -&gt; Prolonged bleeding time
• ควรระมัดระวังการใช้ร่วมกับ Antithrombotics (Aspirin, Clopidogrel, Warfarin) และควรหยุดก่อนผ่าตัดใหญ่ 1-2 สัปดาห์</t>
        </is>
      </c>
      <c r="K22" s="2" t="n"/>
      <c r="L22" s="2" t="inlineStr">
        <is>
          <t>Clinical Nutrition</t>
        </is>
      </c>
      <c r="M22" s="2" t="inlineStr">
        <is>
          <t>Clinic</t>
        </is>
      </c>
      <c r="N22" s="2" t="inlineStr">
        <is>
          <t>ข้อ 20 Pharma Plus เล่มม่วง (เฉลยข้อ จ)</t>
        </is>
      </c>
      <c r="O22" s="2" t="n"/>
      <c r="P22" s="2" t="n"/>
    </row>
    <row r="23" ht="13.2" customHeight="1" s="49">
      <c r="A23" s="8" t="inlineStr">
        <is>
          <t>21</t>
        </is>
      </c>
      <c r="B23" s="2" t="inlineStr">
        <is>
          <t>รูปแบบของวิตามินดีที่พร้อมออกฤทธิ์ (Active form) ในร่างกายคือข้อใด</t>
        </is>
      </c>
      <c r="C23" s="2" t="n"/>
      <c r="D23" s="2" t="inlineStr">
        <is>
          <t>1,25-dihydroxycholecalciferol (Calcitriol)</t>
        </is>
      </c>
      <c r="E23" s="2" t="inlineStr">
        <is>
          <t>1-hydroxycholecalciferol (Alfacalcidol)</t>
        </is>
      </c>
      <c r="F23" s="2" t="inlineStr">
        <is>
          <t>25-hydroxycholecalciferol (Calcifediol)</t>
        </is>
      </c>
      <c r="G23" s="2" t="inlineStr">
        <is>
          <t>Cholecalciferol (Vitamin D3)</t>
        </is>
      </c>
      <c r="H23" s="2" t="inlineStr">
        <is>
          <t>Ergocalciferol (Vitamin D2)</t>
        </is>
      </c>
      <c r="I23" s="8" t="n">
        <v>1</v>
      </c>
      <c r="J23" s="2"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2" t="n"/>
      <c r="L23" s="2" t="inlineStr">
        <is>
          <t>Clinical Nutrition</t>
        </is>
      </c>
      <c r="M23" s="2" t="inlineStr">
        <is>
          <t>Clinic</t>
        </is>
      </c>
      <c r="N23" s="2" t="inlineStr">
        <is>
          <t>ข้อ 49 (PLE_CC1_2557.md)</t>
        </is>
      </c>
      <c r="O23" s="2" t="n"/>
      <c r="P23" s="2" t="n"/>
    </row>
    <row r="24" ht="13.2" customHeight="1" s="49">
      <c r="A24" s="8" t="inlineStr">
        <is>
          <t>22</t>
        </is>
      </c>
      <c r="B24" s="2"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2" t="n"/>
      <c r="D24" s="2" t="inlineStr">
        <is>
          <t>Refeeding Syndrome (Hypophosphatemia, Hypokalemia, Hypomagnesemia)</t>
        </is>
      </c>
      <c r="E24" s="2" t="inlineStr">
        <is>
          <t>Hyperosmolar Hyperglycemic State (HHS)</t>
        </is>
      </c>
      <c r="F24" s="2" t="inlineStr">
        <is>
          <t>Metabolic Acidosis with High Anion Gap</t>
        </is>
      </c>
      <c r="G24" s="2" t="inlineStr">
        <is>
          <t>Hyperphosphatemia and Hypercalcemia</t>
        </is>
      </c>
      <c r="H24" s="2" t="inlineStr">
        <is>
          <t>Hepatic Encephalopathy from Nitrogen Overload</t>
        </is>
      </c>
      <c r="I24" s="8" t="n">
        <v>1</v>
      </c>
      <c r="J24" s="2"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2" t="n"/>
      <c r="L24" s="2" t="inlineStr">
        <is>
          <t>Clinical Nutrition</t>
        </is>
      </c>
      <c r="M24" s="2" t="inlineStr">
        <is>
          <t>Clinic</t>
        </is>
      </c>
      <c r="N24" s="2" t="inlineStr">
        <is>
          <t>ข้อ 2 (PLE_CC1_Key_Rx20_UBU.md)</t>
        </is>
      </c>
      <c r="O24" s="2" t="n"/>
      <c r="P24" s="2" t="n"/>
    </row>
    <row r="25" ht="13.2" customHeight="1" s="49">
      <c r="A25" s="8" t="inlineStr">
        <is>
          <t>23</t>
        </is>
      </c>
      <c r="B25" s="2" t="inlineStr">
        <is>
          <t>ผู้ป่วยวัณโรคที่ได้รับยา Isoniazid (INH) ควรได้รับวิตามินใดเสริมเพื่อป้องกันภาวะปลายประสาทอักเสบ (Peripheral neuropathy)</t>
        </is>
      </c>
      <c r="C25" s="2" t="n"/>
      <c r="D25" s="2" t="inlineStr">
        <is>
          <t>Thiamine (Vitamin B1)</t>
        </is>
      </c>
      <c r="E25" s="2" t="inlineStr">
        <is>
          <t>Pyridoxine (Vitamin B6)</t>
        </is>
      </c>
      <c r="F25" s="2" t="inlineStr">
        <is>
          <t>Riboflavin (Vitamin B2)</t>
        </is>
      </c>
      <c r="G25" s="2" t="inlineStr">
        <is>
          <t>Cyanocobalamin (Vitamin B12)</t>
        </is>
      </c>
      <c r="H25" s="2" t="inlineStr">
        <is>
          <t>Nicotinamide (Vitamin B3)</t>
        </is>
      </c>
      <c r="I25" s="8" t="n">
        <v>2</v>
      </c>
      <c r="J25" s="2"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2" t="n"/>
      <c r="L25" s="2" t="inlineStr">
        <is>
          <t>Clinical Nutrition</t>
        </is>
      </c>
      <c r="M25" s="2" t="inlineStr">
        <is>
          <t>Clinic</t>
        </is>
      </c>
      <c r="N25" s="2" t="inlineStr">
        <is>
          <t>ข้อ 15 (PLE_CC1_Key_Rx20_UBU.md)</t>
        </is>
      </c>
      <c r="O25" s="2" t="n"/>
      <c r="P25" s="2" t="n"/>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Q88"/>
  <sheetViews>
    <sheetView workbookViewId="0">
      <selection activeCell="A1" sqref="A1"/>
    </sheetView>
  </sheetViews>
  <sheetFormatPr baseColWidth="8" defaultColWidth="12.6640625" defaultRowHeight="15.75" customHeight="1"/>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4.95" customHeight="1" s="49">
      <c r="A1" s="51">
        <f>HYPERLINK("#gid=0", "🏠 กลับสู่หน้าแรก (Go to Home Page)")</f>
        <v/>
      </c>
    </row>
    <row r="2" ht="21.6" customHeight="1" s="49">
      <c r="A2" s="30" t="inlineStr">
        <is>
          <t>ข้อที่</t>
        </is>
      </c>
      <c r="B2" s="30" t="inlineStr">
        <is>
          <t>คำถาม</t>
        </is>
      </c>
      <c r="C2" s="30" t="inlineStr">
        <is>
          <t>รูปถาม</t>
        </is>
      </c>
      <c r="D2" s="30" t="inlineStr">
        <is>
          <t>ตัวเลือก 1</t>
        </is>
      </c>
      <c r="E2" s="30" t="inlineStr">
        <is>
          <t>ตัวเลือก 2</t>
        </is>
      </c>
      <c r="F2" s="30" t="inlineStr">
        <is>
          <t>ตัวเลือก 3</t>
        </is>
      </c>
      <c r="G2" s="30" t="inlineStr">
        <is>
          <t>ตัวเลือก 4</t>
        </is>
      </c>
      <c r="H2" s="30" t="inlineStr">
        <is>
          <t>ตัวเลือก 5</t>
        </is>
      </c>
      <c r="I2" s="30" t="inlineStr">
        <is>
          <t>เฉลย (ตัวเลข 1-5)</t>
        </is>
      </c>
      <c r="J2" s="30" t="inlineStr">
        <is>
          <t>คำอธิบายเฉลย</t>
        </is>
      </c>
      <c r="K2" s="30" t="inlineStr">
        <is>
          <t>รูปเฉลย</t>
        </is>
      </c>
      <c r="L2" s="30" t="inlineStr">
        <is>
          <t>Filter หมวด/Subtopic</t>
        </is>
      </c>
      <c r="M2" s="30" t="inlineStr">
        <is>
          <t>Product / Clinic</t>
        </is>
      </c>
      <c r="N2" s="30" t="inlineStr">
        <is>
          <t>หมายเหตุ</t>
        </is>
      </c>
      <c r="O2" s="30" t="inlineStr">
        <is>
          <t>ประเภทข้อสอบ</t>
        </is>
      </c>
      <c r="P2" s="30" t="inlineStr">
        <is>
          <t>ปี / เลขชุด</t>
        </is>
      </c>
      <c r="Q2" t="inlineStr">
        <is>
          <t>Case ID (รหัสเคส)</t>
        </is>
      </c>
    </row>
    <row r="3" ht="13.2" customHeight="1" s="49">
      <c r="A3" s="8" t="inlineStr">
        <is>
          <t>2</t>
        </is>
      </c>
      <c r="B3" s="2"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C3" s="2" t="n"/>
      <c r="D3" s="2" t="inlineStr">
        <is>
          <t>ยาผสมเถาวัลย์เปรียง</t>
        </is>
      </c>
      <c r="E3" s="2" t="inlineStr">
        <is>
          <t>ยาขมิ้นชัน</t>
        </is>
      </c>
      <c r="F3" s="2" t="inlineStr">
        <is>
          <t>ยาพริกเจล</t>
        </is>
      </c>
      <c r="G3" s="2" t="inlineStr">
        <is>
          <t>ยาไพลจีซาล</t>
        </is>
      </c>
      <c r="H3" s="2" t="inlineStr">
        <is>
          <t>ยาฟ้าทะลายโจร</t>
        </is>
      </c>
      <c r="I3" s="8" t="n">
        <v>1</v>
      </c>
      <c r="J3" s="2" t="inlineStr">
        <is>
          <t>✅ คำตอบที่ถูกต้อง: ข้อ ก. ยาผสมเถาวัลย์เปรียง
💡 Background:
เถาวัลย์เปรียง (Derris scandens) เป็นสมุนไพรในบัญชียาหลักแห่งชาติด้านสมุนไพรที่ได้รับการศึกษาวิจัยทางคลินิกอย่างกว้างขวางในการรักษาอาการปวดเมื่อยกล้ามเนื้อและอาการปวดข้อเข่าเสื่อม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
📖 Guideline อ้างอิง:
บัญชียาหลักแห่งชาติด้านสมุนไพร พ.ศ. 2566 (กลุ่มอาการทางระบบกล้ามเนื้อและกระดูก) &amp; Thai Herbal Pharmacopoeia (THP)
📌 จุดจำก่อนสอบ:
• เถาวัลย์เปรียง: ลดปวดข้อเข่าเสื่อมเทียบเท่า Naproxen/Diclofenac
• ข้อควรระวัง: หญิงตั้งครรภ์ห้ามใช้ และระวังการใช้ร่วมกับ NSAIDs หรือ Antithrombotics</t>
        </is>
      </c>
      <c r="K3" s="2" t="n"/>
      <c r="L3" s="2" t="inlineStr">
        <is>
          <t>Herbal Extraction methods</t>
        </is>
      </c>
      <c r="M3" s="2" t="inlineStr">
        <is>
          <t>Herbal Medicine &amp; Extract</t>
        </is>
      </c>
      <c r="N3" s="2" t="inlineStr">
        <is>
          <t>Mock PLE-CC 1 ข้อ 12</t>
        </is>
      </c>
      <c r="O3" s="2" t="n"/>
      <c r="P3" s="2" t="n"/>
      <c r="Q3" s="2" t="n"/>
    </row>
    <row r="4" ht="13.2" customHeight="1" s="49">
      <c r="A4" s="8" t="inlineStr">
        <is>
          <t>3</t>
        </is>
      </c>
      <c r="B4" s="2"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C4" s="2" t="n"/>
      <c r="D4" s="2" t="inlineStr">
        <is>
          <t>โรคแผลในกระเพาะอาหาร (Peptic Ulcer Disease)</t>
        </is>
      </c>
      <c r="E4" s="2" t="inlineStr">
        <is>
          <t>โรคเบาหวาน</t>
        </is>
      </c>
      <c r="F4" s="2" t="inlineStr">
        <is>
          <t>โรคหอบหืด</t>
        </is>
      </c>
      <c r="G4" s="2" t="inlineStr">
        <is>
          <t>โรคต้อหิน</t>
        </is>
      </c>
      <c r="H4" s="2" t="inlineStr">
        <is>
          <t>โรคต่อมลูกหมากโต</t>
        </is>
      </c>
      <c r="I4" s="8" t="n">
        <v>1</v>
      </c>
      <c r="J4" s="2" t="inlineStr">
        <is>
          <t>✅ คำตอบที่ถูกต้อง: ข้อ ก. โรคแผลในกระเพาะอาหาร (Peptic Ulcer Disease)
💡 Background:
ยาผสมเถาวัลย์เปรียงมีฤทธิ์ทางเภสัชวิทยาในการยับยั้งกระบวนการอักเสบผ่านวิถี Cyclooxygenase (COX) ซึ่งมีความคล้ายคลึงกับยาต้านการอักเสบที่ไม่ใช่สเตียรอยด์ (NSAIDs)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ระวังในผู้ป่วยโรคแผลในทางเดินอาหาร (PUD) และหลีกเลี่ยงการใช้ร่วมกับยาต้านการแข็งตัวของเลือด</t>
        </is>
      </c>
      <c r="K4" s="2" t="n"/>
      <c r="L4" s="2" t="inlineStr">
        <is>
          <t>Herbal Extraction methods</t>
        </is>
      </c>
      <c r="M4" s="2" t="inlineStr">
        <is>
          <t>Herbal Medicine &amp; Extract</t>
        </is>
      </c>
      <c r="N4" s="2" t="inlineStr">
        <is>
          <t>Mock PLE-CC 1 ข้อ 24</t>
        </is>
      </c>
      <c r="O4" s="2" t="n"/>
      <c r="P4" s="2" t="n"/>
      <c r="Q4" s="2" t="n"/>
    </row>
    <row r="5" ht="13.2" customHeight="1" s="49">
      <c r="A5" s="8" t="inlineStr">
        <is>
          <t>4</t>
        </is>
      </c>
      <c r="B5" s="2"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C5" s="2" t="n"/>
      <c r="D5" s="2" t="inlineStr">
        <is>
          <t>ขี้เหล็ก</t>
        </is>
      </c>
      <c r="E5" s="2" t="inlineStr">
        <is>
          <t>ขมิ้นชัน</t>
        </is>
      </c>
      <c r="F5" s="2" t="inlineStr">
        <is>
          <t>ขิง</t>
        </is>
      </c>
      <c r="G5" s="2" t="inlineStr">
        <is>
          <t>กระเจี๊ยบแดง</t>
        </is>
      </c>
      <c r="H5" s="2" t="inlineStr">
        <is>
          <t>หญ้าหนวดแมว</t>
        </is>
      </c>
      <c r="I5" s="8" t="n">
        <v>1</v>
      </c>
      <c r="J5" s="2" t="inlineStr">
        <is>
          <t>✅ คำตอบที่ถูกต้อง: ข้อ ก. ขี้เหล็ก
💡 Background:
ขี้เหล็ก (Cassia siamea) เดิมเคยมีการนำสารสกัดใบขี้เหล็กมาใช้เป็นยานอนหลับและคลายกังวลอย่างแพร่หลายในประเทศไทย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
📖 Guideline อ้างอิง:
ประกาศกระทรวงสาธารณสุข เรื่อง ระงับการผลิตและจำหน่ายผลิตภัณฑ์ยาจากขี้เหล็ก พ.ศ. 2542 &amp; Thai Herbal Pharmacopoeia
📌 จุดจำก่อนสอบ:
• ขี้เหล็ก (Cassia siamea) มีสาร Barakol ทำให้เกิด Hepatotoxicity ห้ามใช้ในโรคตับ</t>
        </is>
      </c>
      <c r="K5" s="2" t="n"/>
      <c r="L5" s="2" t="inlineStr">
        <is>
          <t>Herbal Extraction methods</t>
        </is>
      </c>
      <c r="M5" s="2" t="inlineStr">
        <is>
          <t>Herbal Medicine &amp; Extract</t>
        </is>
      </c>
      <c r="N5" s="2" t="inlineStr">
        <is>
          <t>Mock PLE-CC 1 ข้อ 25</t>
        </is>
      </c>
      <c r="O5" s="2" t="n"/>
      <c r="P5" s="2" t="n"/>
      <c r="Q5" s="2" t="n"/>
    </row>
    <row r="6" ht="13.2" customHeight="1" s="49">
      <c r="A6" s="8" t="inlineStr">
        <is>
          <t>5</t>
        </is>
      </c>
      <c r="B6" s="2"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C6" s="2" t="n"/>
      <c r="D6" s="2" t="inlineStr">
        <is>
          <t>ยาหญ้าหนวดแมว</t>
        </is>
      </c>
      <c r="E6" s="2" t="inlineStr">
        <is>
          <t>ยากระเจี๊ยบแดง</t>
        </is>
      </c>
      <c r="F6" s="2" t="inlineStr">
        <is>
          <t>ยารางจืด</t>
        </is>
      </c>
      <c r="G6" s="2" t="inlineStr">
        <is>
          <t>ยาหญ้าปักกิ่ง</t>
        </is>
      </c>
      <c r="H6" s="2" t="inlineStr">
        <is>
          <t>ยาหญ้าดอกขาว</t>
        </is>
      </c>
      <c r="I6" s="8" t="n">
        <v>1</v>
      </c>
      <c r="J6" s="2" t="inlineStr">
        <is>
          <t>✅ คำตอบที่ถูกต้อง: ข้อ ก. ยาหญ้าหนวดแมว
💡 Background:
หญ้าหนวดแมว (Orthosiphon aristatus / Payap-mek) เป็นสมุนไพรในบัญชียาหลักแห่งชาติกลุ่มยาขับปัสสาวะ แก้นิ่วในระบบทางเดินปัสสาวะ และแก้ขัดเบา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
📖 Guideline อ้างอิง:
บัญชียาหลักแห่งชาติด้านสมุนไพร พ.ศ. 2566 &amp; Thai Herbal Pharmacopoeia (THP)
📌 จุดจำก่อนสอบ:
• หญ้าหนวดแมว (Orthosiphon aristatus): ขับปัสสาวะ สลายนิ่วยูริก มี K สูง ห้ามใช้ในโรคไตและโรคหัวใจ</t>
        </is>
      </c>
      <c r="K6" s="2" t="n"/>
      <c r="L6" s="2" t="inlineStr">
        <is>
          <t>Herbal Extraction methods</t>
        </is>
      </c>
      <c r="M6" s="2" t="inlineStr">
        <is>
          <t>Herbal Medicine &amp; Extract</t>
        </is>
      </c>
      <c r="N6" s="2" t="inlineStr">
        <is>
          <t>Mock PLE-CC 1 ข้อ 40</t>
        </is>
      </c>
      <c r="O6" s="2" t="n"/>
      <c r="P6" s="2" t="n"/>
      <c r="Q6" s="2" t="n"/>
    </row>
    <row r="7" ht="13.2" customHeight="1" s="49">
      <c r="A7" s="8" t="inlineStr">
        <is>
          <t>6</t>
        </is>
      </c>
      <c r="B7" s="2"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C7" s="2" t="n"/>
      <c r="D7" s="2" t="inlineStr">
        <is>
          <t>ยาพญายอ</t>
        </is>
      </c>
      <c r="E7" s="2" t="inlineStr">
        <is>
          <t>ยาเปลือกมังคุด</t>
        </is>
      </c>
      <c r="F7" s="2" t="inlineStr">
        <is>
          <t>ยาบัวบก</t>
        </is>
      </c>
      <c r="G7" s="2" t="inlineStr">
        <is>
          <t>ยาทิงเจอร์พลู</t>
        </is>
      </c>
      <c r="H7" s="2" t="inlineStr">
        <is>
          <t>ยาทิงเจอร์ทองพันชั่ง</t>
        </is>
      </c>
      <c r="I7" s="8" t="n">
        <v>1</v>
      </c>
      <c r="J7" s="2" t="inlineStr">
        <is>
          <t>✅ คำตอบที่ถูกต้อง: ข้อ ก. ยาพญายอ
💡 Background:
พญายอ หรือ เสลดพังพอนตัวเมีย (Clinacanthus nutans) เป็นสมุนไพรในบัญชียาหลักแห่งชาติกลุ่มยาใช้ภายนอกสำหรับโรคผิวหนัง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
📖 Guideline อ้างอิง:
บัญชียาหลักแห่งชาติด้านสมุนไพร พ.ศ. 2566 &amp; Thai Herbal Pharmacopoeia (THP)
📌 จุดจำก่อนสอบ:
• พญายอ (เสลดพังพอนตัวเมีย): ต้านไวรัส HSV (เริม) และ VZV (งูสวัด)
• ส่วนที่ใช้ทำยา: ใบสด หรือสารสกัดจากใบ</t>
        </is>
      </c>
      <c r="K7" s="2" t="n"/>
      <c r="L7" s="2" t="inlineStr">
        <is>
          <t>Herbal Extraction methods</t>
        </is>
      </c>
      <c r="M7" s="2" t="inlineStr">
        <is>
          <t>Herbal Medicine &amp; Extract</t>
        </is>
      </c>
      <c r="N7" s="2" t="inlineStr">
        <is>
          <t>Mock PLE-CC 1 ข้อ 130</t>
        </is>
      </c>
      <c r="O7" s="2" t="n"/>
      <c r="P7" s="2" t="n"/>
      <c r="Q7" s="2" t="n"/>
    </row>
    <row r="8" ht="13.2" customHeight="1" s="49">
      <c r="A8" s="8" t="inlineStr">
        <is>
          <t>7</t>
        </is>
      </c>
      <c r="B8" s="2" t="inlineStr">
        <is>
          <t>จากข้อ 7 การเตรียมยาพญายอเพื่อใช้ในการรักษาโรคเริมและงูสวัด นิยมใช้ส่วนใดของพืชในการสกัดทำยา</t>
        </is>
      </c>
      <c r="C8" s="2" t="n"/>
      <c r="D8" s="2" t="inlineStr">
        <is>
          <t>ใบ</t>
        </is>
      </c>
      <c r="E8" s="2" t="inlineStr">
        <is>
          <t>เถา</t>
        </is>
      </c>
      <c r="F8" s="2" t="inlineStr">
        <is>
          <t>ราก</t>
        </is>
      </c>
      <c r="G8" s="2" t="inlineStr">
        <is>
          <t>เมล็ด</t>
        </is>
      </c>
      <c r="H8" s="2" t="inlineStr">
        <is>
          <t>เปลือกผล</t>
        </is>
      </c>
      <c r="I8" s="8" t="n">
        <v>1</v>
      </c>
      <c r="J8" s="2" t="inlineStr">
        <is>
          <t>✅ คำตอบที่ถูกต้อง: ข้อ ก. ใบ
💡 Background:
พญายอ หรือ เสลดพังพอนตัวเมีย (Clinacanthus nutans (Burm.f.) Lindau) วงศ์ Acanthaceae มีการสะสมสารออกฤทธิ์ทางชีวภาพต้านไวรัสในส่วนเหนือดินโดยเฉพาะที่ใบ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
📖 Guideline อ้างอิง:
Thai Herbal Pharmacopoeia (THP) Vol. I &amp; บัญชียาหลักแห่งชาติด้านสมุนไพร
📌 จุดจำก่อนสอบ:
• พญายอ: ใช้ส่วน 'ใบ' สกัดทำยาครีมพญายอรักษาเริมและงูสวัด</t>
        </is>
      </c>
      <c r="K8" s="2" t="n"/>
      <c r="L8" s="2" t="inlineStr">
        <is>
          <t>Herbal Extraction methods</t>
        </is>
      </c>
      <c r="M8" s="2" t="inlineStr">
        <is>
          <t>Herbal Medicine &amp; Extract</t>
        </is>
      </c>
      <c r="N8" s="2" t="inlineStr">
        <is>
          <t>Mock PLE-CC 1 ข้อ 131</t>
        </is>
      </c>
      <c r="O8" s="2" t="n"/>
      <c r="P8" s="2" t="n"/>
      <c r="Q8" s="2" t="n"/>
    </row>
    <row r="9" ht="13.2" customHeight="1" s="49">
      <c r="A9" s="8" t="inlineStr">
        <is>
          <t>8</t>
        </is>
      </c>
      <c r="B9" s="2" t="inlineStr">
        <is>
          <t>ผู้ป่วยมีอาการนอนไม่หลับ วิตกกังวล ตามบัญชียาหลักแห่งชาติด้านสมุนไพร มีตำรับยาแผนไทยใดที่สามารถสั่งใช้เพื่อช่วยให้นอนหลับและผ่อนคลายอารมณ์ได้</t>
        </is>
      </c>
      <c r="C9" s="2" t="n"/>
      <c r="D9" s="2" t="inlineStr">
        <is>
          <t>ยาหอมเทพจิตร</t>
        </is>
      </c>
      <c r="E9" s="2" t="inlineStr">
        <is>
          <t>ยาประสะมะแว้ง</t>
        </is>
      </c>
      <c r="F9" s="2" t="inlineStr">
        <is>
          <t>ยาประสะไพล</t>
        </is>
      </c>
      <c r="G9" s="2" t="inlineStr">
        <is>
          <t>ยาเถาวัลย์เปรียง</t>
        </is>
      </c>
      <c r="H9" s="2" t="inlineStr">
        <is>
          <t>ยาธาตุบรรจบ</t>
        </is>
      </c>
      <c r="I9" s="8" t="n">
        <v>1</v>
      </c>
      <c r="J9" s="2" t="inlineStr">
        <is>
          <t>✅ คำตอบที่ถูกต้อง: ข้อ ก. ยาหอมเทพจิตร
💡 Background:
ยาหอมเทพจิตรเป็นตำรับยาแผนไทยในบัญชียาหลักแห่งชาติด้านสมุนไพร มีส่วนประกอบของเกสรดอกไม้และสมุนไพรรสสุขุมหอมหลายชนิด
🎯 ทำไมข้อนี้ถึงถูก:
ยาหอมเทพจิตรมีสรรพคุณตามบัญชียาหลักแห่งชาติในการ 'แก้ลมกองละเอียด' ได้แก่ อาการหน้ามืด ตาลาย วิงเวียนศีรษะ ใจสั่น และช่วยให้นอนหลับ โดยน้ำมันหอมระเหยในตำรับออกฤทธิ์ผ่อนคลายระบบประสาทส่วนกลาง (Anxiolytic &amp; Sedative effect)
🔍 ข้ออื่นผิดเพราะอะไร:
• ข้อ ข. (ยาประสะมะแว้ง): ใช้บรรเทาอาการไอ ขับเสมหะ
• ข้อ ค. (ยาประสะไพล): ใช้ขับน้ำคาวปลา รักษาอาการประจำเดือนมาไม่สม่ำเสมอ หรือปวดประจำเดือน
• ข้อ ง. (ยาเถาวัลย์เปรียง): ใช้บรรเทาอาการปวดกล้ามเนื้อ ปวดข้อเข่า
• ข้อ จ. (ยาธาตุบรรจบ): ใช้บรรเทาอาการท้องเสียชนิดที่ไม่เกิดจากการติดเชื้อ และขับลมในลำไส้
📖 Guideline อ้างอิง:
ประกาศคณะกรรมการพัฒนาระบบยาแห่งชาติ เรื่อง บัญชียาหลักแห่งชาติด้านสมุนไพร พ.ศ. 2566 (กลุ่มตำรับยาแผนไทย)
📌 จุดจำก่อนสอบ:
• ยาหอมเทพจิตร: เกสรดอกไม้เด่น แก้วิงเวียน ใจสั่น นอนไม่หลับ
• ยาหอมนวโกฐ: แก้ลมวิงเวียน ลมคลื่นเหียน คลื่นไส้อาเจียน
• ยาหอมอินทรจักร: แก้ลมบาดทะจิต ลมจุกเสียด แน่นหน้าอก</t>
        </is>
      </c>
      <c r="K9" s="2" t="n"/>
      <c r="L9" s="2" t="inlineStr">
        <is>
          <t>Herbal Extraction methods</t>
        </is>
      </c>
      <c r="M9" s="2" t="inlineStr">
        <is>
          <t>Herbal Medicine &amp; Extract</t>
        </is>
      </c>
      <c r="N9" s="2" t="inlineStr">
        <is>
          <t>PLE_CC1_2567_Key ข้อ 21</t>
        </is>
      </c>
      <c r="O9" s="2" t="n"/>
      <c r="P9" s="2" t="n"/>
      <c r="Q9" s="2" t="n"/>
    </row>
    <row r="10" ht="13.2" customHeight="1" s="49">
      <c r="A10" s="8" t="inlineStr">
        <is>
          <t>9</t>
        </is>
      </c>
      <c r="B10" s="2" t="inlineStr">
        <is>
          <t>สมุนไพรในข้อใดต่อไปนี้มีสารสำคัญออกฤทธิ์ต้านเชื้อราเด่นชัด และมีรูปแบบยาเตรียมเป็น 'ทิงเจอร์' บรรจุในบัญชียาหลักแห่งชาติสำหรับรักษาโรคกลาก เกลื้อน และน้ำกัดเท้า</t>
        </is>
      </c>
      <c r="C10" s="2" t="n"/>
      <c r="D10" s="2" t="inlineStr">
        <is>
          <t>ทิงเจอร์ทองพันชั่ง</t>
        </is>
      </c>
      <c r="E10" s="2" t="inlineStr">
        <is>
          <t>โลชั่นเสลดพังพอน</t>
        </is>
      </c>
      <c r="F10" s="2" t="inlineStr">
        <is>
          <t>ทิงเจอร์ไพล</t>
        </is>
      </c>
      <c r="G10" s="2" t="inlineStr">
        <is>
          <t>ครีมใบบัวบก</t>
        </is>
      </c>
      <c r="H10" s="2" t="inlineStr">
        <is>
          <t>ครีมเม็ดน้อยหน่า</t>
        </is>
      </c>
      <c r="I10" s="8" t="n">
        <v>1</v>
      </c>
      <c r="J10" s="2" t="inlineStr">
        <is>
          <t>✅ คำตอบที่ถูกต้อง: ข้อ ก. ทิงเจอร์ทองพันชั่ง
💡 Background:
ทองพันชั่ง (Rhinacanthus nasutus) เป็นสมุนไพรไทยที่มีประวัติการใช้รักษาโรคผิวหนังเรื้อรังมาอย่างยาวนาน
🎯 ทำไมข้อนี้ถึงถูก:
ส่วนใบและรากของทองพันชั่งมีสารสำคัญกลุ่ม Naphthoquinone esters โดยเฉพาะ Rhinacanthin-C, D, N ซึ่งมีฤทธิ์ต้านเชื้อราก่อโรคผิวหนังกลุ่ม Dermatophytes (Trichophyton, Microsporum, Epidermophyton) และยีสต์ (Candida, Malassezia) ได้อย่างมีประสิทธิภาพ จึงถูกบรรจุเป็นยาทิงเจอร์ทองพันชั่งในบัญชียาหลักแห่งชาติ
🔍 ข้ออื่นผิดเพราะอะไร:
• ข้อ ข. (โลชั่นเสลดพังพอน): ใช้บรรเทาอาการแมลงสัตว์กัดต่อย ตุ่มคัน
• ข้อ ค. (ทิงเจอร์ไพล): ไพลเด่นในฤทธิ์ต้านการอักเสบและลดบวมฟกช้ำ ไม่ใช่ยาฆ่าเชื้อราหลัก
• ข้อ ง. (ครีมใบบัวบก): ใช้สมานแผลไฟไหม้ น้ำร้อนลวก และแผลหลังผ่าตัด
• ข้อ จ. (ครีมเม็ดน้อยหน่า): สารสกัดจากเมล็ดน้อยหน่ามีสารฆ่าเหาและหิด
📖 Guideline อ้างอิง:
บัญชียาหลักแห่งชาติด้านสมุนไพร พ.ศ. 2566 &amp; Thai Herbal Pharmacopoeia (THP)
📌 จุดจำก่อนสอบ:
• ทองพันชั่ง (Rhinacanthus nasutus): สารสำคัญ Rhinacanthins รักษากลาก เกลื้อน เชื้อราผิวหนัง
• แนะนำทาบริเวณที่เป็นวันละ 2 ครั้ง ต่อเนื่อง 2-4 สัปดาห์หลังรอยโรคหาย</t>
        </is>
      </c>
      <c r="K10" s="2" t="n"/>
      <c r="L10" s="2" t="inlineStr">
        <is>
          <t>Herbal Extraction methods</t>
        </is>
      </c>
      <c r="M10" s="2" t="inlineStr">
        <is>
          <t>Herbal Medicine &amp; Extract</t>
        </is>
      </c>
      <c r="N10" s="2" t="inlineStr">
        <is>
          <t>PLE_CC1_2567_Key ข้อ 42</t>
        </is>
      </c>
      <c r="O10" s="2" t="n"/>
      <c r="P10" s="2" t="n"/>
      <c r="Q10" s="2" t="n"/>
    </row>
    <row r="11" ht="13.2" customHeight="1" s="49">
      <c r="A11" s="8" t="inlineStr">
        <is>
          <t>10</t>
        </is>
      </c>
      <c r="B11" s="2" t="inlineStr">
        <is>
          <t>ผู้ป่วยได้รับการวินิจฉัย Graves' hyperthyroidism และเริ่มต้นยาต้านไทรอยด์สังเคราะห์ (Methimazole) เภสัชกรควรให้คำแนะนำเกี่ยวกับอาการไม่พึงประสงค์รุนแรงที่ต้องเฝ้าระวังสูงสุดตาม 2018 European Thyroid Association Guideline อย่างไร</t>
        </is>
      </c>
      <c r="C11" s="2" t="n"/>
      <c r="D11" s="2" t="inlineStr">
        <is>
          <t>ให้กินยาจนครบคอร์ส 6-8 เดือน ห้ามหยุดยาเอง ก่อนปรึกษาแพทย์</t>
        </is>
      </c>
      <c r="E11" s="2" t="inlineStr">
        <is>
          <t>ยาอาจทำให้ง่วงซึม หลีกเลี่ยงการขับขี่ยานพาหนะหรือทำงานเครื่องจักร</t>
        </is>
      </c>
      <c r="F11" s="2" t="inlineStr">
        <is>
          <t>หลีกเลี่ยงการออกแดดหรือให้ทาครีมกันแดด เมื่อจำเป็น</t>
        </is>
      </c>
      <c r="G11" s="2" t="inlineStr">
        <is>
          <t>หากมีอาการ มีไข้ เจ็บคอ มีแผลในปาก หนาวสั่น ให้หยุดยาทันทีและรีบมาตรวจเลือดที่โรงพยาบาล</t>
        </is>
      </c>
      <c r="H11" s="2" t="inlineStr">
        <is>
          <t>หากมีผื่นขึ้นเพียงเล็กน้อย ให้หยุดยาทันที</t>
        </is>
      </c>
      <c r="I11" s="8" t="n">
        <v>4</v>
      </c>
      <c r="J11" s="2" t="inlineStr">
        <is>
          <t>✅ คำตอบที่ถูกต้อง: ข้อ ง. หากมีอาการ มีไข้ เจ็บคอ มีแผลในปาก หนาวสั่น ให้หยุดยาทันทีและรีบมาตรวจเลือดที่โรงพยาบาล
💡 Background:
ยาต้านไทรอยด์สังเคราะห์ (Antithyroid Drugs: ATDs) ได้แก่ Methimazole (MMI) และ Propylthiouracil (PTU) มีอาการไม่พึงประสงค์ที่พบไม่บ่อยแต่รุนแรงถึงแก่ชีวิตคือ ภาวะเม็ดเลือดขาวต่ำชนิดรุนแรง (Agranulocytosis: ANC &lt; 500 cells/mm3)
🎯 ทำไมข้อนี้ถึงถูก:
อาการแสดงเริ่มแรกของภาวะ Agranulocytosis คือ มีไข้สูงเฉียบพลัน เจ็บคอรุนแรง มีแผลเปื่อยในช่องปาก (Sore throat, Fever, Mouth ulcers) และหนาวสั่นจากการติดเชื้อ เภสัชกรต้องเน้นย้ำให้ผู้ป่วยหยุดยาต้านไทรอยด์ทันทีและรีบมาโรงพยาบาลเพื่อตรวจความสมบูรณ์ของเม็ดเลือด (CBC with differential) ทันที ห้ามรอพบแพทย์ตามนัด
🔍 ข้ออื่นผิดเพราะอะไร:
• ข้อ ก. (กินยา 6-8 เดือน): การรักษา Graves' disease ด้วย ATDs ต้องรับประทานต่อเนื่อง 12-18 เดือน ไม่ใช่ 6-8 เดือน
• ข้อ ข. (ง่วงซึม): ATDs ไม่ได้มีผลกดประสาทส่วนกลางหรือง่วงซึม
• ข้อ ค. (ไวต่อแสงแดด): ไม่ใช่อาการข้างเคียงจำเพาะหลักของ ATDs
• ข้อ จ. (ผื่นเล็กน้อยให้หยุดยาทันที): ผื่นแพ้เล็กน้อย (Mild allergic rash) สามารถให้ยาแก้แพ้ Antihistamines ร่วมด้วยได้โดยไม่ต้องหยุด ATDs ทันที ยกเว้นเกิด Severe cutaneous adverse reactions (SCARs)
📖 Guideline อ้างอิง:
2018 European Thyroid Association Guideline for the Management of Graves’ Hyperthyroidism &amp; แนวทางเวชปฏิบัติการดูแลรักษาโรคไทรอยด์ สมาคมต่อมไร้ท่อแห่งประเทศไทย
📌 จุดจำก่อนสอบ:
• สัญญาณเตือน Agranulocytosis จาก ATDs (PTU, MMI): มีไข้ + เจ็บคอ (Fever &amp; Sore throat) -&gt; หยุดยาทันทีและตรวจ CBC ด่วน!
• PTU เสี่ยงต่อการเกิดตับวายเฉียบพลัน (Fulminant hepatic failure) มากกว่า MMI</t>
        </is>
      </c>
      <c r="K11" s="2" t="n"/>
      <c r="L11" s="2" t="inlineStr">
        <is>
          <t>Herbal Extraction methods</t>
        </is>
      </c>
      <c r="M11" s="2" t="inlineStr">
        <is>
          <t>Herbal Medicine &amp; Extract</t>
        </is>
      </c>
      <c r="N11" s="2" t="inlineStr">
        <is>
          <t>PLE_CC1_2567_Key ข้อ 43</t>
        </is>
      </c>
      <c r="O11" s="2" t="n"/>
      <c r="P11" s="2" t="n"/>
      <c r="Q11" s="2" t="n"/>
    </row>
    <row r="12" ht="13.2" customHeight="1" s="49">
      <c r="A12" s="8" t="inlineStr">
        <is>
          <t>11</t>
        </is>
      </c>
      <c r="B12" s="2" t="inlineStr">
        <is>
          <t>ชายไทยอายุ 25 ปี มีผื่นวงกลมขอบนูนแดง คัน และมีขุยสีขาวที่บริเวณหัวไหล่ ตรงกลางผื่นจางลง แพทย์วินิจฉัยเป็นโรคกลาก (Tinea corporis) หากต้องการใช้สมุนไพรในบัญชียาหลักแห่งชาติเพื่อรักษา ควรเลือกใช้ยาใด</t>
        </is>
      </c>
      <c r="C12" s="2" t="n"/>
      <c r="D12" s="2" t="inlineStr">
        <is>
          <t>ยาทิงเจอร์ทองพันชั่ง</t>
        </is>
      </c>
      <c r="E12" s="2" t="inlineStr">
        <is>
          <t>เจลว่านหางจระเข้</t>
        </is>
      </c>
      <c r="F12" s="2" t="inlineStr">
        <is>
          <t>ครีมพญายอ</t>
        </is>
      </c>
      <c r="G12" s="2" t="inlineStr">
        <is>
          <t>ยาครีมไพล</t>
        </is>
      </c>
      <c r="H12" s="2" t="inlineStr">
        <is>
          <t>ยาผงขมิ้นชัน</t>
        </is>
      </c>
      <c r="I12" s="8" t="n">
        <v>1</v>
      </c>
      <c r="J12" s="2" t="inlineStr">
        <is>
          <t>✅ คำตอบที่ถูกต้อง: ข้อ ก. ยาทิงเจอร์ทองพันชั่ง
💡 Background:
โรคกลาก (Tinea corporis) เป็นการติดเชื้อรากลุ่มเดอร์มาโตไฟต์ (Dermatophytes) บริเวณผิวหนังชั้นหนังกำพร้า มีลักษณะรอยโรคจำเพาะคือ ผื่นวงกลมขอบนูนแดง มีขุย และคัน
🎯 ทำไมข้อนี้ถึงถูก:
ยาทิงเจอร์ทองพันชั่ง (Rhinacanthus nasutus tincture) เป็นยาในบัญชียาหลักแห่งชาติด้านสมุนไพรที่มีข้อบ่งใช้ตรงสำหรับการรักษาโรคผิวหนังจากเชื้อรา กลาก เกลื้อน สาร Rhinacanthin ยับยั้งการเจริญเติบโตของเชื้อรา Dermatophytes ได้อย่างมีประสิทธิภาพ
🔍 ข้ออื่นผิดเพราะอะไร:
• ข้อ ข. (เจลว่านหางจระเข้): ใช้รักษาแผลไฟไหม้ น้ำร้อนลวก เพิ่มความชุ่มชื้นผิวหนัง ไม่มีฤทธิ์ฆ่าเชื้อรา
• ข้อ ค. (ครีมพญายอ): ใช้รักษาการติดเชื้อไวรัสเริมและงูสวัด ไม่ได้ใช้รักษาเชื้อรากลากเกลื้อน
• ข้อ ง. (ยาครีมไพล): ใช้บรรเทาอาการปวด บวม ฟกช้ำ และเคล็ดขัดยอก
• ข้อ จ. (ยาผงขมิ้นชัน): ใช้รับประทานบรรเทาอาการท้องอืด ท้องเฟ้อ โรคกระเพาะอาหาร
📖 Guideline อ้างอิง:
บัญชียาหลักแห่งชาติด้านสมุนไพร พ.ศ. 2566 &amp; Thai Herbal Pharmacopoeia (THP)
📌 จุดจำก่อนสอบ:
• กลาก เกลื้อน = ทิงเจอร์ทองพันชั่ง, ทิงเจอร์พลู
• เริม งูสวัด = ครีมพญายอ (เสลดพังพอนตัวเมีย)
• แผลไฟไหม้ น้ำร้อนลวก = ว่านหางจระเข้, ใบบัวบก</t>
        </is>
      </c>
      <c r="K12" s="2" t="n"/>
      <c r="L12" s="2" t="inlineStr">
        <is>
          <t>Herbal Extraction methods</t>
        </is>
      </c>
      <c r="M12" s="2" t="inlineStr">
        <is>
          <t>Herbal Medicine &amp; Extract</t>
        </is>
      </c>
      <c r="N12" s="2" t="inlineStr">
        <is>
          <t>PLE_CC1_2567_Set1_Key ข้อ 42</t>
        </is>
      </c>
      <c r="O12" s="2" t="n"/>
      <c r="P12" s="2" t="n"/>
    </row>
    <row r="13" ht="13.2" customHeight="1" s="49">
      <c r="A13" s="8" t="inlineStr">
        <is>
          <t>12</t>
        </is>
      </c>
      <c r="B13" s="2"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C13" s="2" t="n"/>
      <c r="D13" s="2" t="inlineStr">
        <is>
          <t>ไม่ได้ เพราะร้านขายยาแผนปัจจุบันต้องได้รับใบอนุญาตขายผลิตภัณฑ์สมุนไพรตาม พ.ร.บ. ผลิตภัณฑ์สมุนไพร พ.ศ. 2562 ก่อน</t>
        </is>
      </c>
      <c r="E13" s="2" t="inlineStr">
        <is>
          <t>ได้ทันที เพราะใบอนุญาต ขย.1 ครอบคลุมการขายผลิตภัณฑ์สมุนไพรทุกประเภทโดยอัตโนมัติ</t>
        </is>
      </c>
      <c r="F13" s="2" t="inlineStr">
        <is>
          <t>ได้เฉพาะเมื่อมีแพทย์แผนไทยเป็นผู้สั่งจ่ายผลิตภัณฑ์ดังกล่าวในร้าน</t>
        </is>
      </c>
      <c r="G13" s="2" t="inlineStr">
        <is>
          <t>ได้เฉพาะผลิตภัณฑ์สมุนไพรที่นำเข้าจากต่างประเทศเท่านั้น</t>
        </is>
      </c>
      <c r="H13" s="2" t="inlineStr">
        <is>
          <t>ไม่ได้ เพราะร้านยาแผนปัจจุบันห้ามมีผลิตภัณฑ์สมุนไพรวางจำหน่ายในร้านเด็ดขาด</t>
        </is>
      </c>
      <c r="I13" s="8" t="n">
        <v>1</v>
      </c>
      <c r="J13" s="2"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Background:
พระราชบัญญัติผลิตภัณฑ์สมุนไพร พ.ศ. 2562 ได้แยกการกำกับดูแลผลิตภัณฑ์สมุนไพรออกจากพระราชบัญญัติยา พ.ศ. 2510 เพื่อส่งเสริมและควบคุมผลิตภัณฑ์สมุนไพรอย่างเป็นเอกเทศ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
📖 Guideline อ้างอิง:
พระราชบัญญัติผลิตภัณฑ์สมุนไพร พ.ศ. 2562 (มาตรา 17 และมาตรา 25) สำนักงานคณะกรรมการอาหารและยา (อย.)
📌 จุดจำก่อนสอบ:
• พ.ร.บ. ผลิตภัณฑ์สมุนไพร พ.ศ. 2562 ควบคุม การผลิต นำเข้า ขาย ผลิตภัณฑ์สมุนไพร
• การขายต้องได้รับใบอนุญาตขายผลิตภัณฑ์สมุนไพร เว้นแต่เป็นผลิตภัณฑ์ที่ได้รับยกเว้นตามกฎกระทรวง</t>
        </is>
      </c>
      <c r="K13" s="2" t="n"/>
      <c r="L13" s="2" t="inlineStr">
        <is>
          <t>Herbal Extraction methods</t>
        </is>
      </c>
      <c r="M13" s="2" t="inlineStr">
        <is>
          <t>Herbal Medicine &amp; Extract</t>
        </is>
      </c>
      <c r="N13" s="2" t="inlineStr">
        <is>
          <t>PLE-CC1 ปี 2566 Day 2 ข้อ 61</t>
        </is>
      </c>
      <c r="O13" s="2" t="n"/>
      <c r="P13" s="2" t="n"/>
    </row>
    <row r="14" ht="13.2" customHeight="1" s="49">
      <c r="A14" s="8" t="inlineStr">
        <is>
          <t>13</t>
        </is>
      </c>
      <c r="B14" s="2"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C14" s="2" t="n"/>
      <c r="D14" s="2"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4" s="2" t="inlineStr">
        <is>
          <t>จำหน่ายให้ผู้ป่วยไปก่อนแล้วค่อยดำเนินการขอใบอนุญาตย้อนหลัง</t>
        </is>
      </c>
      <c r="F14" s="2" t="inlineStr">
        <is>
          <t>แบ่งบรรจุยาใส่ซองยาของร้านโดยไม่ติดฉลากเดิมเพื่อจำหน่าย</t>
        </is>
      </c>
      <c r="G14" s="2" t="inlineStr">
        <is>
          <t>แนะนำให้ผู้ป่วยไปหาซื้อทางช่องทางออนไลน์ที่ไม่มีการควบคุม</t>
        </is>
      </c>
      <c r="H14" s="2" t="inlineStr">
        <is>
          <t>สั่งจ่ายยาปฏิชีวนะแผนปัจจุบันทดแทนให้ผู้ป่วยทันที</t>
        </is>
      </c>
      <c r="I14" s="8" t="n">
        <v>1</v>
      </c>
      <c r="J14" s="2"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Background:
จรรยาบรรณแห่งวิชาชีพเภสัชกรรมและการปฏิบัติตามกฎหมายควบคุมวิชาชีพ กำหนดให้เภสัชกรต้องส่งมอบยาและผลิตภัณฑ์สุขภาพที่ถูกต้องตามกฎหมาย ปลอดภัย และมีคุณภาพมาตรฐาน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
📖 Guideline อ้างอิง:
ข้อบังคับสภาเภสัชกรรม ว่าด้วยจรรยาบรรณแห่งวิชาชีพเภสัชกรรม พ.ศ. 2546 &amp; พระราชบัญญัติผลิตภัณฑ์สมุนไพร พ.ศ. 2562
📌 จุดจำก่อนสอบ:
• การปฏิบัติตามกฎหมายและจรรยาบรรณ: ยึดถือความปลอดภัยของผู้ป่วย ไม่จำหน่ายยาที่ไม่มีใบอนุญาตขายรองรับ</t>
        </is>
      </c>
      <c r="K14" s="2" t="n"/>
      <c r="L14" s="2" t="inlineStr">
        <is>
          <t>Herbal Extraction methods</t>
        </is>
      </c>
      <c r="M14" s="2" t="inlineStr">
        <is>
          <t>Herbal Medicine &amp; Extract</t>
        </is>
      </c>
      <c r="N14" s="2" t="inlineStr">
        <is>
          <t>PLE-CC1 ปี 2566 Day 2 ข้อ 1</t>
        </is>
      </c>
      <c r="O14" s="2" t="n"/>
      <c r="P14" s="2" t="n"/>
    </row>
    <row r="15" ht="13.2" customHeight="1" s="49">
      <c r="A15" s="8" t="inlineStr">
        <is>
          <t>14</t>
        </is>
      </c>
      <c r="B15" s="2" t="inlineStr">
        <is>
          <t>สมุนไพรในข้อใดมีหลักฐานทางวิชาการและงานวิจัยทางคลินิกยืนยันว่ามีฤทธิ์ลดระดับน้ำตาลในเลือดได้จริง และมีการนำสารสกัดมาใช้เป็นทางเลือกเสริมการรักษาโรคเบาหวาน</t>
        </is>
      </c>
      <c r="C15" s="2" t="n"/>
      <c r="D15" s="2" t="inlineStr">
        <is>
          <t>มะระขี้นก</t>
        </is>
      </c>
      <c r="E15" s="2" t="inlineStr">
        <is>
          <t>ดอกแค</t>
        </is>
      </c>
      <c r="F15" s="2" t="inlineStr">
        <is>
          <t>ใบขี้เหล็ก</t>
        </is>
      </c>
      <c r="G15" s="2" t="inlineStr">
        <is>
          <t>ทองพันชั่ง</t>
        </is>
      </c>
      <c r="H15" s="2" t="inlineStr">
        <is>
          <t>ชุมเห็ดเทศ</t>
        </is>
      </c>
      <c r="I15" s="8" t="n">
        <v>1</v>
      </c>
      <c r="J15" s="2" t="inlineStr">
        <is>
          <t>✅ คำตอบที่ถูกต้อง: ข้อ ก. มะระขี้นก
💡 Background:
มะระขี้นก (Momordica charantia) เป็นสมุนไพรที่มีการศึกษาวิจัยทางเภสัชวิทยาและทางคลินิกอย่างแพร่หลายเกี่ยวกับฤทธิ์ลดระดับน้ำตาลในเลือด
🎯 ทำไมข้อนี้ถึงถูก:
ผลมะระขี้นกมีสารสำคัญหลายชนิดที่ออกฤทธิ์ลดน้ำตาลในเลือด ได้แก่ Charantin, Vicine, และ Polypeptide-p (Insulin-like peptide) ซึ่งออกฤทธิ์กระตุ้นการหลั่งอินซูลินจากตับอ่อน เพิ่มการนำกลูโคสเข้าสู่เซลล์ และยับยั้งเอนไซม์กลูโคเนโอเจเนซิสในตับ ช่วยลดระดับ FPG และ HbA1c ในผู้ป่วยเบาหวานชนิดที่ 2 ได้
🔍 ข้ออื่นผิดเพราะอะไร:
• ข้อ ข. (ดอกแค): อุดมด้วยวิตามินซีและเบต้าแคโรทีน นิยมใช้เป็นอาหารแก้ไข้หัวลม ไม่มีฤทธิ์ลดน้ำตาลโดดเด่น
• ข้อ ค. (ใบขี้เหล็ก): มีฤทธิ์คลายกังวลและช่วยนอนหลับ แต่มีพิษต่อตับ (Barakol)
• ข้อ ง. (ทองพันชั่ง): เด่นในฤทธิ์ต้านเชื้อรา รักษาโรคผิวหนัง
• ข้อ จ. (ชุมเห็ดเทศ): มีสาร Sennosides ใช้เป็นยาระบาย กระตุ้นการขับถ่าย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สารสำคัญ Charantin &amp; Polypeptide-p ออกฤทธิ์ลดน้ำตาลในเลือด
• ข้อควรระวัง: เสี่ยงต่อภาวะน้ำตาลในเลือดต่ำ (Hypoglycemia) หากใช้ร่วมกับยาลดน้ำตาลแผนปัจจุบัน</t>
        </is>
      </c>
      <c r="K15" s="2" t="n"/>
      <c r="L15" s="2" t="inlineStr">
        <is>
          <t>Herbal Extraction methods</t>
        </is>
      </c>
      <c r="M15" s="2" t="inlineStr">
        <is>
          <t>Herbal Medicine &amp; Extract</t>
        </is>
      </c>
      <c r="N15" s="2" t="inlineStr">
        <is>
          <t>PLE_CC1_2565_Day1_Key ข้อ 19</t>
        </is>
      </c>
      <c r="O15" s="2" t="n"/>
      <c r="P15" s="2" t="n"/>
      <c r="Q15" s="2" t="n"/>
    </row>
    <row r="16" ht="13.2" customHeight="1" s="49">
      <c r="A16" s="8" t="inlineStr">
        <is>
          <t>15</t>
        </is>
      </c>
      <c r="B16" s="2" t="inlineStr">
        <is>
          <t>สมุนไพรในบัญชียาหลักแห่งชาติตัวใดใช้ทาภายนอกเพื่อบรรเทาอาการผื่นคัน แมลงสัตว์กัดต่อย และลดการอักเสบของผิวหนัง</t>
        </is>
      </c>
      <c r="C16" s="2" t="n"/>
      <c r="D16" s="2" t="inlineStr">
        <is>
          <t>ครีมพญายอ</t>
        </is>
      </c>
      <c r="E16" s="2" t="inlineStr">
        <is>
          <t>ทิงเจอร์ทองพันชั่ง</t>
        </is>
      </c>
      <c r="F16" s="2" t="inlineStr">
        <is>
          <t>ยาเปลือกมังคุด</t>
        </is>
      </c>
      <c r="G16" s="2" t="inlineStr">
        <is>
          <t>ยาสารสกัดเมล็ดน้อยหน่า</t>
        </is>
      </c>
      <c r="H16" s="2" t="inlineStr">
        <is>
          <t>ยาทิงเจอร์พลู</t>
        </is>
      </c>
      <c r="I16" s="8" t="n">
        <v>1</v>
      </c>
      <c r="J16" s="2" t="inlineStr">
        <is>
          <t>✅ คำตอบที่ถูกต้อง: ข้อ ก. ครีมพญายอ
💡 Background:
พญายอ (Clinacanthus nutans) มีฤทธิ์ต้านการอักเสบ (Anti-inflammatory) นอกเหนือจากฤทธิ์ต้านเชื้อไวรัสเริมและงูสวัด
🎯 ทำไมข้อนี้ถึงถูก:
ยาครีมพญายอ หรือ โลชั่นพญายอ มีสารสกัดจากใบพญายอซึ่งออกฤทธิ์ยับยั้งกระบวนการอักเสบ ลดการหลั่ง Histamine และ Prostaglandins จึงมีข้อบ่งใช้ตามบัญชียาหลักแห่งชาติในการรักษาแผลเริม งูสวัด และบรรเทาอาการอักเสบ ปวด บวม จากแมลงสัตว์กัดต่อย
🔍 ข้ออื่นผิดเพราะอะไร:
• ข้อ ข. (ทิงเจอร์ทองพันชั่ง): ใช้รักษาโรคผิวหนังจากเชื้อรา กลาก เกลื้อน
• ข้อ ค. (ยาเปลือกมังคุด): ใช้ล้างแผลสด แผลเรื้อรัง ช่วยสมานแผลและฆ่าเชื้อแบคทีเรีย
• ข้อ ง. (ยาสารสกัดเมล็ดน้อยหน่า): ใช้ฆ่าเหาและหิด
• ข้อ จ. (ยาทิงเจอร์พลู): ใช้ทาแก้อาการคันจากลมพิษ
📖 Guideline อ้างอิง:
บัญชียาหลักแห่งชาติด้านสมุนไพร พ.ศ. 2566 &amp; Thai Herbal Pharmacopoeia (THP)
📌 จุดจำก่อนสอบ:
• พญายอ: เริม งูสวัด แมลงสัตว์กัดต่อย แผลอักเสบในช่องปาก</t>
        </is>
      </c>
      <c r="K16" s="2" t="n"/>
      <c r="L16" s="2" t="inlineStr">
        <is>
          <t>Herbal Extraction methods</t>
        </is>
      </c>
      <c r="M16" s="2" t="inlineStr">
        <is>
          <t>Herbal Medicine &amp; Extract</t>
        </is>
      </c>
      <c r="N16" s="2" t="inlineStr">
        <is>
          <t>PLE_CC1_2565_Day2_Key ข้อ 37</t>
        </is>
      </c>
      <c r="O16" s="2" t="n"/>
      <c r="P16" s="2" t="n"/>
    </row>
    <row r="17" ht="13.2" customHeight="1" s="49">
      <c r="A17" s="8" t="inlineStr">
        <is>
          <t>16</t>
        </is>
      </c>
      <c r="B17" s="2" t="inlineStr">
        <is>
          <t>สมุนไพรในข้อใดที่มีสรรพคุณตามงานสาธารณสุขมูลฐานในการขับปัสสาวะ แก้ขัดเบา และช่วยละลายนิ่วในทางเดินปัสสาวะ</t>
        </is>
      </c>
      <c r="C17" s="2" t="n"/>
      <c r="D17" s="2" t="inlineStr">
        <is>
          <t>กระเจี๊ยบแดง</t>
        </is>
      </c>
      <c r="E17" s="2" t="inlineStr">
        <is>
          <t>ขมิ้นชัน</t>
        </is>
      </c>
      <c r="F17" s="2" t="inlineStr">
        <is>
          <t>ขิง</t>
        </is>
      </c>
      <c r="G17" s="2" t="inlineStr">
        <is>
          <t>บัวบก</t>
        </is>
      </c>
      <c r="H17" s="2" t="inlineStr">
        <is>
          <t>ฟ้าทะลายโจร</t>
        </is>
      </c>
      <c r="I17" s="8" t="n">
        <v>1</v>
      </c>
      <c r="J17" s="2" t="inlineStr">
        <is>
          <t>✅ คำตอบที่ถูกต้อง: ข้อ ก. กระเจี๊ยบแดง
💡 Background:
กระเจี๊ยบแดง (Hibiscus sabdariffa) วงศ์ Malvaceae นิยมนำส่วนกลีบเลี้ยงแห้งมาต้มดื่มเป็นเครื่องดื่มสมุนไพรและยาขับปัสสาวะ
🎯 ทำไมข้อนี้ถึงถูก:
กลีบเลี้ยงของกระเจี๊ยบแดงอุดมด้วยกรดอินทรีย์ (Organic acids เช่น Hibiscic acid, Citric acid, Malic acid) และสารแอนโทไซยานิน (Anthocyanins) มีฤทธิ์ขับปัสสาวะ (Mild diuretic) ขับกรดยูริก และลดการเกิดผลึกแคลเซียมออกซาเลตในทางเดินปัสสาวะ จึงใช้แก้ขัดเบาและป้องกันนิ่วได้อย่างปลอดภัย
🔍 ข้ออื่นผิดเพราะอะไร:
• ข้อ ข. (ขมิ้นชัน): ใช้แก้ท้องอืด ท้องเฟ้อ ขับลม
• ข้อ ค. (ขิง): ใช้แก้คลื่นไส้ อาเจียน ท้องอืด
• ข้อ ง. (บัวบก): ใช้สมานแผล แก้ช้ำใน
• ข้อ จ. (ฟ้าทะลายโจร): ใช้แก้ไข้หวัด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สมุนไพรขับปัสสาวะในงานสาธารณสุขมูลฐาน: กระเจี๊ยบแดง, หญ้าหนวดแมว, สับปะรด (เหง้า), อ้อยแดง</t>
        </is>
      </c>
      <c r="K17" s="2" t="n"/>
      <c r="L17" s="2" t="inlineStr">
        <is>
          <t>Herbal Extraction methods</t>
        </is>
      </c>
      <c r="M17" s="2" t="inlineStr">
        <is>
          <t>Herbal Medicine &amp; Extract</t>
        </is>
      </c>
      <c r="N17" s="2" t="inlineStr">
        <is>
          <t>PLE_CC1_2564_All_Key ข้อ 21</t>
        </is>
      </c>
      <c r="O17" s="2" t="n"/>
      <c r="P17" s="2" t="n"/>
    </row>
    <row r="18" ht="13.2" customHeight="1" s="49">
      <c r="A18" s="8" t="inlineStr">
        <is>
          <t>17</t>
        </is>
      </c>
      <c r="B18" s="2" t="inlineStr">
        <is>
          <t>สมุนไพรในข้อใดที่มีรายงานการเกิดอันตรกิริยาที่รุนแรงกับยาต้านไวรัส HIV (เช่น Efavirenz, Protease Inhibitors) มากที่สุด โดยลดระดับยาในเลือดจนอาจทำให้การรักษาล้มเหลว</t>
        </is>
      </c>
      <c r="C18" s="2" t="n"/>
      <c r="D18" s="2" t="inlineStr">
        <is>
          <t>ขิง</t>
        </is>
      </c>
      <c r="E18" s="2" t="inlineStr">
        <is>
          <t>ขมิ้นชัน</t>
        </is>
      </c>
      <c r="F18" s="2" t="inlineStr">
        <is>
          <t>ฟ้าทะลายโจร</t>
        </is>
      </c>
      <c r="G18" s="2" t="inlineStr">
        <is>
          <t>หญ้าหนวดแมว</t>
        </is>
      </c>
      <c r="H18" s="2" t="inlineStr">
        <is>
          <t>St. John's wort</t>
        </is>
      </c>
      <c r="I18" s="8" t="n">
        <v>5</v>
      </c>
      <c r="J18" s="2" t="inlineStr">
        <is>
          <t>✅ คำตอบที่ถูกต้อง: ข้อ จ. St. John's wort
💡 Background:
St. John's wort (Hypericum perforatum) เป็นสมุนไพรฝรั่งที่นิยมใช้บรรเทาอาการซึมเศร้าเล็กน้อยถึงปานกลาง (Mild to moderate depression)
🎯 ทำไมข้อนี้ถึงถูก:
สาร Hyperforin ใน St. John's wort เป็นตัวกระตุ้นเอนไซม์ที่มีความแรงสูงมาก (Potent inducer) ต่อทั้ง Cytochrome P450 3A4 (CYP3A4) และ P-glycoprotein (P-gp) ผ่าน Pregnane X receptor (PXR) เมื่อรับประทานร่วมกับยาต้านไวรัส HIV (NNRTIs, PIs, INSTIs) จะเร่งการทำลายและกำจัดยาต้านไวรัสอย่างรวดเร็ว ทำให้ระดับยาในกระแสเลือดลดลงต่ำกว่าระดับการรักษา เกิดการล้มเหลวของการรักษา (Virologic failure) และเชื้อดื้อยา
🔍 ข้ออื่นผิดเพราะอะไร:
• ข้อ ก. ขิง, ข้อ ข. ขมิ้นชัน, ข้อ ค. ฟ้าทะลายโจร, ข้อ ง. หญ้าหนวดแมว: แม้อาจมีผลต่อเอนไซม์ตับได้บ้างในหลอดทดลอง แต่ไม่มีฤทธิ์เหนี่ยวนำ CYP3A4 รุนแรงระดับกว้างขวางเท่า St. John's wort
📖 Guideline อ้างอิง:
DHHS Guidelines for the Use of Antiretroviral Agents in Adults and Adolescents with HIV &amp; Thai National Guidelines on HIV/AIDS Treatment and Prevention
📌 จุดจำก่อนสอบ:
• St. John's wort = Potent CYP3A4 &amp; P-gp Inducer
• ห้ามใช้ร่วมกับ: HIV drugs (NNRTIs, PIs), Immunosuppressants (Cyclosporine, Tacrolimus), Anticoagulants (DOACs, Warfarin), และ OCPs</t>
        </is>
      </c>
      <c r="K18" s="2" t="n"/>
      <c r="L18" s="2" t="inlineStr">
        <is>
          <t>Herbal Extraction methods</t>
        </is>
      </c>
      <c r="M18" s="2" t="inlineStr">
        <is>
          <t>Herbal Medicine &amp; Extract</t>
        </is>
      </c>
      <c r="N18" s="2" t="inlineStr">
        <is>
          <t>PLE_CC1_2564_All_Key ข้อ 79</t>
        </is>
      </c>
      <c r="O18" s="2" t="n"/>
      <c r="P18" s="2" t="n"/>
      <c r="Q18" s="2" t="n"/>
    </row>
    <row r="19" ht="13.2" customHeight="1" s="49">
      <c r="A19" s="8" t="inlineStr">
        <is>
          <t>18</t>
        </is>
      </c>
      <c r="B19" s="2" t="inlineStr">
        <is>
          <t>สมุนไพรในข้อใดที่มีสารประกอบกำมะถัน (Sulfur-containing compounds) หลายชนิด เช่น Allicin และ Ajoene ซึ่งมีฤทธิ์ต้านการเกาะกลุ่มของเกล็ดเลือด จึงเกิดอันตรกิริยากับยาต้านเกล็ดเลือดจนทำให้เลือดออกง่าย</t>
        </is>
      </c>
      <c r="C19" s="2" t="n"/>
      <c r="D19" s="2" t="inlineStr">
        <is>
          <t>กระเทียม</t>
        </is>
      </c>
      <c r="E19" s="2" t="inlineStr">
        <is>
          <t>ขิง</t>
        </is>
      </c>
      <c r="F19" s="2" t="inlineStr">
        <is>
          <t>แปะก๊วย</t>
        </is>
      </c>
      <c r="G19" s="2" t="inlineStr">
        <is>
          <t>โสม</t>
        </is>
      </c>
      <c r="H19" s="2" t="inlineStr">
        <is>
          <t>พริก</t>
        </is>
      </c>
      <c r="I19" s="8" t="n">
        <v>1</v>
      </c>
      <c r="J19" s="2" t="inlineStr">
        <is>
          <t>✅ คำตอบที่ถูกต้อง: ข้อ ก. กระเทียม
💡 Background:
กระเทียม (Allium sativum) มีสารตั้งต้นคือ Alliin ซึ่งเมื่อถูกบดหรือสับ เอนไซม์ Alliinase จะเปลี่ยนเป็น Allicin และสารประกอบออร์กาโนซัลเฟอร์อื่นๆ (Ajoene, Diallyl disulfide)
🎯 ทำไมข้อนี้ถึงถูก:
สารประกอบกำมะถัน Ajoene และ Allicin ในกระเทียมมีฤทธิ์ยับยั้งการรวมกลุ่มของเกล็ดเลือด (Inhibit platelet aggregation) ผ่านการยับยั้ง Thromboxane synthase และลดการจับของ Fibrinogen กับตัวรับ GPIIb/IIIa เมื่อรับประทานร่วมกับยาต้านเกล็ดเลือด (Aspirin, Clopidogrel) หรือยาต้านการแข็งตัวของเลือด จะเสริมฤทธิ์กันจนเพิ่มความเสี่ยงต่อการเกิดภาวะเลือดออกผิดปกติ (Bleeding complications)
🔍 ข้ออื่นผิดเพราะอะไร:
• ข้อ ข. (ขิง): มีสาร Gingerols และ Shogaols ไม่มีสารประกอบกำมะถันเด่น
• ข้อ ค. (แปะก๊วย): มีสาร Ginkgolides และ Flavonoids ต้าน PAF แต่ไม่ใช่สารประกอบกำมะถัน
• ข้อ ง. (โสม): มีสาร Ginsenosides (Triterpenoid saponins)
• ข้อ จ. (พริก): มีสาร Capsaicin
📖 Guideline อ้างอิง:
Natural Medicines Comprehensive Database &amp; Thai Herbal Pharmacopoeia (THP)
📌 จุดจำก่อนสอบ:
• กระเทียม (Garlic): มี Sulfur compounds (Alliin, Allicin, Ajoene) ต้านเกล็ดเลือด ระวังใช้ร่วมกับ Aspirin/Warfarin
• ควรหยุดรับประทานผลิตภัณฑ์เสริมอาหารกระเทียมก่อนผ่าตัดอย่างน้อย 7-10 วัน</t>
        </is>
      </c>
      <c r="K19" s="2" t="n"/>
      <c r="L19" s="2" t="inlineStr">
        <is>
          <t>Herbal Extraction methods</t>
        </is>
      </c>
      <c r="M19" s="2" t="inlineStr">
        <is>
          <t>Herbal Medicine &amp; Extract</t>
        </is>
      </c>
      <c r="N19" s="2" t="inlineStr">
        <is>
          <t>PLE_CC1_2564_All_Key ข้อ 97</t>
        </is>
      </c>
      <c r="O19" s="2" t="n"/>
      <c r="P19" s="2" t="n"/>
      <c r="Q19" s="2" t="n"/>
    </row>
    <row r="20" ht="13.2" customHeight="1" s="49">
      <c r="A20" s="8" t="inlineStr">
        <is>
          <t>19</t>
        </is>
      </c>
      <c r="B20" s="2" t="inlineStr">
        <is>
          <t>ผู้ป่วยโรคเก๊าท์กำลังรับประทานยา Colchicine เพื่อป้องกันและรักษาอาการข้ออักเสบเฉียบพลัน สมุนไพรใดที่ควรหลีกเลี่ยงเนื่องจากมีฤทธิ์ยับยั้ง CYP3A4 และ P-glycoprotein จนทำให้ระดับยา Colchicine สูงขึ้นและเสี่ยงต่อการเกิดพิษรุนแรง</t>
        </is>
      </c>
      <c r="C20" s="2" t="n"/>
      <c r="D20" s="2" t="inlineStr">
        <is>
          <t>ฟ้าทะลายโจร</t>
        </is>
      </c>
      <c r="E20" s="2" t="inlineStr">
        <is>
          <t>หญ้าหนวดแมว</t>
        </is>
      </c>
      <c r="F20" s="2" t="inlineStr">
        <is>
          <t>ขิง</t>
        </is>
      </c>
      <c r="G20" s="2" t="inlineStr">
        <is>
          <t>ขมิ้นชัน</t>
        </is>
      </c>
      <c r="H20" s="2" t="inlineStr">
        <is>
          <t>St. John's wort</t>
        </is>
      </c>
      <c r="I20" s="8" t="n">
        <v>1</v>
      </c>
      <c r="J20" s="2" t="inlineStr">
        <is>
          <t>✅ คำตอบที่ถูกต้อง: ข้อ ก. ฟ้าทะลายโจร
💡 Background:
ยา Colchicine เป็นยาที่มีช่วงการรักษาแคบ (Narrow therapeutic index) และถูกเมแทบอไลซ์หลักผ่านเอนไซม์ CYP3A4 และถูกขับออกทางลำไส้และไตผ่านตัวขนส่ง P-glycoprotein (P-gp)
🎯 ทำไมข้อนี้ถึงถูก:
ฟ้าทะลายโจร (Andrographis paniculata) และสารสำคัญ Andrographolide มีฤทธิ์ยับยั้งเอนไซม์ Cytochrome P450 3A4 (CYP3A4 inhibitor) และยับยั้งตัวขนส่ง P-gp เมื่อใช้ร่วมกับ Colchicine จะทำให้การกำจัดยาลดลง ระดับยา Colchicine ในเลือดสูงขึ้นอย่างรวดเร็ว ก่อให้เกิดพิษรุนแรง เช่น กล้ามเนื้อลายสลาย (Rhabdomyolysis), ภาวะกดไขกระดูก (Bone marrow suppression), และระบบอวัยวะล้มเหลว
🔍 ข้ออื่นผิดเพราะอะไร:
• ข้อ ข. (หญ้าหนวดแมว): มีโพแทสเซียมสูง ขับปัสสาวะ ไม่ได้ยับยั้ง CYP3A4 เด่นชัด
• ข้อ ค. (ขิง): ปลอดภัยในระดับทั่วไป ไม่ได้ยับยั้งการกำจัด Colchicine รุนแรง
• ข้อ ง. (ขมิ้นชัน): ไม่ได้มีอันตรกิริยาที่ทำให้ Colchicine เกิดพิษเฉียบพลันเท่าฟ้าทะลายโจร
• ข้อ จ. (St. John's wort): เป็น CYP3A4 &amp; P-gp Inducer ซึ่งจะทำให้ระดับ Colchicine ลดลง ไม่ใช่เพิ่มขึ้น
📖 Guideline อ้างอิง:
ประกาศกระทรวงสาธารณสุข เรื่อง ข้อควรระวังและอันตรกิริยาของฟ้าทะลายโจร &amp; 2020 American College of Rheumatology (ACR) Guideline for the Management of Gout
📌 จุดจำก่อนสอบ:
• ฟ้าทะลายโจรยับยั้ง CYP3A4 &amp; P-gp -&gt; ห้ามใช้ร่วมกับ Colchicine เสี่ยงพิษรุนแรงถึงเสียชีวิต!
• หลีกเลี่ยงฟ้าทะลายโจรในหญิงตั้งครรภ์และให้นมบุตร (มี Teratogenic risk)</t>
        </is>
      </c>
      <c r="K20" s="2" t="n"/>
      <c r="L20" s="2" t="inlineStr">
        <is>
          <t>Herbal Extraction methods</t>
        </is>
      </c>
      <c r="M20" s="2" t="inlineStr">
        <is>
          <t>Herbal Medicine &amp; Extract</t>
        </is>
      </c>
      <c r="N20" s="2" t="inlineStr">
        <is>
          <t>PLE_CC1_2564_All_Key ข้อ 140</t>
        </is>
      </c>
      <c r="O20" s="2" t="n"/>
      <c r="P20" s="2" t="n"/>
      <c r="Q20" s="2" t="n"/>
    </row>
    <row r="21" ht="13.2" customHeight="1" s="49">
      <c r="A21" s="8" t="inlineStr">
        <is>
          <t>20</t>
        </is>
      </c>
      <c r="B21" s="2"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C21" s="2" t="n"/>
      <c r="D21" s="2" t="inlineStr">
        <is>
          <t>ยาผงกล้วยน้ำว้าดิบ</t>
        </is>
      </c>
      <c r="E21" s="2" t="inlineStr">
        <is>
          <t>ยาครีมพริก</t>
        </is>
      </c>
      <c r="F21" s="2" t="inlineStr">
        <is>
          <t>ยาเจลไพล</t>
        </is>
      </c>
      <c r="G21" s="2" t="inlineStr">
        <is>
          <t>ยาประสะไพล</t>
        </is>
      </c>
      <c r="H21" s="2" t="inlineStr">
        <is>
          <t>ยาผสมเถาวัลย์เปรียง</t>
        </is>
      </c>
      <c r="I21" s="8" t="n">
        <v>1</v>
      </c>
      <c r="J21" s="2" t="inlineStr">
        <is>
          <t>✅ คำตอบที่ถูกต้อง: ข้อ ก. ยาผงกล้วยน้ำว้าดิบ
💡 Background:
ยาผงกล้วยน้ำว้าดิบ (Musa sapientum) มีสารสำคัญคือ Tannins และ Serotonin ใช้สำหรับรักษาอาการทางระบบทางเดินอาหาร
🎯 ทำไมข้อนี้ถึงถูก:
ยาผงกล้วยน้ำว้าดิบมีข้อบ่งใช้ตามบัญชียาหลักแห่งชาติในการรักษาโรคแผลในกระเพาะอาหาร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
📖 Guideline อ้างอิง:
บัญชียาหลักแห่งชาติด้านสมุนไพร พ.ศ. 2566 &amp; Thai Herbal Pharmacopoeia (THP)
📌 จุดจำก่อนสอบ:
• ยาผงกล้วยดิบ: สมานแผลกระเพาะอาหาร กรดไหลย้อน ท้องเสีย ไม่ใช่ยาแก้ปวดข้อ</t>
        </is>
      </c>
      <c r="K21" s="2" t="n"/>
      <c r="L21" s="2" t="inlineStr">
        <is>
          <t>Herbal Extraction methods</t>
        </is>
      </c>
      <c r="M21" s="2" t="inlineStr">
        <is>
          <t>Herbal Medicine &amp; Extract</t>
        </is>
      </c>
      <c r="N21" s="2" t="inlineStr">
        <is>
          <t>PLE_CC1_2563_Q ข้อ 101</t>
        </is>
      </c>
      <c r="O21" s="2" t="n"/>
      <c r="P21" s="2" t="n"/>
    </row>
    <row r="22" ht="13.2" customHeight="1" s="49">
      <c r="A22" s="2" t="n">
        <v>20</v>
      </c>
      <c r="B22" s="2"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C22" s="2" t="n"/>
      <c r="D22" s="2" t="inlineStr">
        <is>
          <t>เจลว่านหางจระเข้</t>
        </is>
      </c>
      <c r="E22" s="2" t="inlineStr">
        <is>
          <t>Diclofenac tablet</t>
        </is>
      </c>
      <c r="F22" s="2" t="inlineStr">
        <is>
          <t>Tramadol capsule</t>
        </is>
      </c>
      <c r="G22" s="2" t="inlineStr">
        <is>
          <t>Indomethacin spray</t>
        </is>
      </c>
      <c r="H22" s="2" t="inlineStr">
        <is>
          <t>Paracetamol tablet</t>
        </is>
      </c>
      <c r="I22" s="2" t="n">
        <v>2</v>
      </c>
      <c r="J22" s="2" t="inlineStr">
        <is>
          <t>✅ คำตอบที่ถูกต้อง: ข้อ ข. Diclofenac tablet
💡 Background:
แนวทางเวชปฏิบัติการรักษาโรคข้อเข่าเสื่อม (Osteoarthritis) แนะนำการใช้ยาลำดับขั้นตามความรุนแรงของอาการปวดและการตอบสนองต่อการรักษา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
📖 Guideline อ้างอิง:
2019 ACR/Arthritis Foundation Guideline for the Management of Osteoarthritis &amp; แนวทางเวชปฏิบัติโรคข้อเข่าเสื่อม ราชวิทยาลัยแพทย์ออร์โธปิดิกส์แห่งประเทศไทย
📌 จุดจำก่อนสอบ:
• การรักษาปวดข้อเข่าเสื่อม: Topical NSAIDs -&gt; Oral NSAIDs (Diclofenac, Celecoxib) พิจารณาให้ร่วมกับ PPI หากมีความเสี่ยงทางเดินอาหาร</t>
        </is>
      </c>
      <c r="K22" s="2" t="n"/>
      <c r="L22" s="2" t="inlineStr">
        <is>
          <t>Herbal Extraction methods</t>
        </is>
      </c>
      <c r="M22" s="2" t="inlineStr">
        <is>
          <t>Product</t>
        </is>
      </c>
      <c r="N22" s="2" t="inlineStr">
        <is>
          <t>ข้อ 3 (PLE_CC1_2562_Key.md)</t>
        </is>
      </c>
      <c r="O22" s="2" t="n"/>
      <c r="P22" s="2" t="n"/>
    </row>
    <row r="23" ht="13.2" customHeight="1" s="49">
      <c r="A23" s="2" t="n">
        <v>21</v>
      </c>
      <c r="B23" s="2"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C23" s="2" t="n"/>
      <c r="D23" s="2" t="inlineStr">
        <is>
          <t>ผื่นคัน ลมพิษ ตาบวม หน้าบวม ริมฝีปากบวม และหายใจลำบาก</t>
        </is>
      </c>
      <c r="E23" s="2" t="inlineStr">
        <is>
          <t>ปัสสาวะมีสีเหลืองเข้ม</t>
        </is>
      </c>
      <c r="F23" s="2" t="inlineStr">
        <is>
          <t>อุจจาระมีสีดำคล้ำ</t>
        </is>
      </c>
      <c r="G23" s="2" t="inlineStr">
        <is>
          <t>มีอาการง่วงนอนเล็กน้อยหลังรับประทาน</t>
        </is>
      </c>
      <c r="H23" s="2" t="inlineStr">
        <is>
          <t>มีอาการเจริญอาหารมากขึ้น</t>
        </is>
      </c>
      <c r="I23" s="2" t="n">
        <v>1</v>
      </c>
      <c r="J23" s="2" t="inlineStr">
        <is>
          <t>✅ คำตอบที่ถูกต้อง: ข้อ ก. ผื่นคัน ลมพิษ ตาบวม หน้าบวม ริมฝีปากบวม และหายใจลำบาก
💡 Background:
ฟ้าทะลายโจร (Andrographis paniculata) แม้เป็นสมุนไพรที่นิยมใช้รักษาโรคหวัดและเจ็บคอ แต่สามารถก่อให้เกิดปฏิกิริยาการแพ้ยาได้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
📖 Guideline อ้างอิง:
ประกาศกระทรวงสาธารณสุข เรื่อง ระบุคำเตือนในฉลากยาฟ้าทะลายโจร &amp; บัญชียาหลักแห่งชาติด้านสมุนไพร พ.ศ. 2566
📌 จุดจำก่อนสอบ:
• ฟ้าทะลายโจร: หากเกิด ลมพิษ บวมที่หน้า ตา ปาก แน่นหน้าอก หายใจไม่ออก -&gt; หยุดยาทันที!
• ห้ามใช้ในหญิงตั้งครรภ์และให้นมบุตร (เสี่ยงทารกพิการ)</t>
        </is>
      </c>
      <c r="K23" s="2" t="n"/>
      <c r="L23" s="2" t="inlineStr">
        <is>
          <t>Herbal Extraction methods</t>
        </is>
      </c>
      <c r="M23" s="2" t="inlineStr">
        <is>
          <t>Product</t>
        </is>
      </c>
      <c r="N23" s="2" t="inlineStr">
        <is>
          <t>ข้อ 31 (PLE_CC1_2562_Key.md)</t>
        </is>
      </c>
      <c r="O23" s="2" t="n"/>
      <c r="P23" s="2" t="n"/>
    </row>
    <row r="24" ht="13.2" customHeight="1" s="49">
      <c r="A24" s="2" t="n">
        <v>22</v>
      </c>
      <c r="B24" s="2"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C24" s="2" t="n"/>
      <c r="D24" s="2" t="inlineStr">
        <is>
          <t>รางจืด</t>
        </is>
      </c>
      <c r="E24" s="2" t="inlineStr">
        <is>
          <t>เถาวัลย์เปรียง</t>
        </is>
      </c>
      <c r="F24" s="2" t="inlineStr">
        <is>
          <t>หญ้าปักกิ่ง</t>
        </is>
      </c>
      <c r="G24" s="2" t="inlineStr">
        <is>
          <t>กระเจี๊ยบแดง</t>
        </is>
      </c>
      <c r="H24" s="2" t="inlineStr">
        <is>
          <t>พญายอ</t>
        </is>
      </c>
      <c r="I24" s="2" t="n">
        <v>1</v>
      </c>
      <c r="J24" s="2" t="inlineStr">
        <is>
          <t>✅ คำตอบที่ถูกต้อง: ข้อ ก. รางจืด
💡 Background:
รางจืด (Thunbergia laurifolia) วงศ์ Acanthaceae มีสรรพคุณเด่นในการถอนพิษไข้ ล้างพิษยาฆ่าแมลง และสารเคมี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
📖 Guideline อ้างอิง:
ประกาศกระทรวงสาธารณสุข เรื่อง สมุนไพรในงานสาธารณสุขมูลฐาน &amp; Thai Herbal Pharmacopoeia (THP)
📌 จุดจำก่อนสอบ:
• รางจืด (Thunbergia laurifolia): ราชาแห่งการล้างพิษ ถอนพิษไข้ ถอนพิษสารเคมี
• ระวังใช้ในผู้ป่วยเบาหวาน เสี่ยงเกิด Hypoglycemia และไม่ควรดื่มติดต่อกันนานเกินไป</t>
        </is>
      </c>
      <c r="K24" s="2" t="n"/>
      <c r="L24" s="2" t="inlineStr">
        <is>
          <t>Herbal Extraction methods</t>
        </is>
      </c>
      <c r="M24" s="2" t="inlineStr">
        <is>
          <t>Product</t>
        </is>
      </c>
      <c r="N24" s="2" t="inlineStr">
        <is>
          <t>ข้อ 65 (PLE_CC1_2562_Key.md)</t>
        </is>
      </c>
      <c r="O24" s="2" t="n"/>
      <c r="P24" s="2" t="n"/>
    </row>
    <row r="25" ht="13.2" customHeight="1" s="49">
      <c r="A25" s="2" t="n">
        <v>23</v>
      </c>
      <c r="B25" s="2" t="inlineStr">
        <is>
          <t>สารเคมีบำบัดกลุ่มต้านมะเร็ง Vincristine และ Vinblastine มีสารสำคัญที่เป็นอนุพันธ์ Vinca alkaloids ซึ่งสกัดได้จากพืชสมุนไพรชนิดใด</t>
        </is>
      </c>
      <c r="C25" s="2" t="n"/>
      <c r="D25" s="2" t="inlineStr">
        <is>
          <t>แพงพวยฝรั่ง</t>
        </is>
      </c>
      <c r="E25" s="2" t="inlineStr">
        <is>
          <t>ดองดึง</t>
        </is>
      </c>
      <c r="F25" s="2" t="inlineStr">
        <is>
          <t>เสนียด</t>
        </is>
      </c>
      <c r="G25" s="2" t="inlineStr">
        <is>
          <t>ระย่อม</t>
        </is>
      </c>
      <c r="H25" s="2" t="inlineStr">
        <is>
          <t>ต้นสนแปซิฟิก (Pacific Yew)</t>
        </is>
      </c>
      <c r="I25" s="2" t="n">
        <v>1</v>
      </c>
      <c r="J25" s="2" t="inlineStr">
        <is>
          <t>✅ คำตอบที่ถูกต้อง: ข้อ ก. แพงพวยฝรั่ง
💡 Background:
แพงพวยฝรั่ง (Catharanthus roseus / Vinca rosea) วงศ์ Apocynaceae เป็นพืชสมุนไพรที่มีความสำคัญอย่างยิ่งในประวัติศาสตร์เภสัชเวทและการรักษามะเร็ง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
📖 Guideline อ้างอิง:
Trease and Evans Pharmacognosy 16th Edition &amp; WHO Monographs on Selected Medicinal Plants
📌 จุดจำก่อนสอบ:
• Catharanthus roseus (แพงพวยฝรั่ง) -&gt; Vincristine, Vinblastine (Vinca alkaloids)
• กลไก: Inhibit tubulin polymerization ขัดขวาง Mitosis</t>
        </is>
      </c>
      <c r="K25" s="2" t="n"/>
      <c r="L25" s="2" t="inlineStr">
        <is>
          <t>Herbal Extraction methods</t>
        </is>
      </c>
      <c r="M25" s="2" t="inlineStr">
        <is>
          <t>Product</t>
        </is>
      </c>
      <c r="N25" s="2" t="inlineStr">
        <is>
          <t>ข้อ 61 (PLE_CC1_2562_Key.md)</t>
        </is>
      </c>
      <c r="O25" s="2" t="n"/>
      <c r="P25" s="2" t="n"/>
    </row>
    <row r="26" ht="13.2" customHeight="1" s="49">
      <c r="A26" s="2" t="n">
        <v>24</v>
      </c>
      <c r="B26" s="2"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C26" s="2" t="n"/>
      <c r="D26" s="2" t="inlineStr">
        <is>
          <t>ยาผสมเถาวัลย์เปรียง</t>
        </is>
      </c>
      <c r="E26" s="2" t="inlineStr">
        <is>
          <t>เหง้าขิง</t>
        </is>
      </c>
      <c r="F26" s="2" t="inlineStr">
        <is>
          <t>พญาสัตบรรณ</t>
        </is>
      </c>
      <c r="G26" s="2" t="inlineStr">
        <is>
          <t>ยาประสะกะเพรา</t>
        </is>
      </c>
      <c r="H26" s="2" t="inlineStr">
        <is>
          <t>ยาชงชุมเห็ดเทศ</t>
        </is>
      </c>
      <c r="I26" s="2" t="n">
        <v>1</v>
      </c>
      <c r="J26" s="2" t="inlineStr">
        <is>
          <t>✅ คำตอบที่ถูกต้อง: ข้อ ก. ยาผสมเถาวัลย์เปรียง
💡 Background:
เถาวัลย์เปรียงเป็นยาสมุนไพรในบัญชียาหลักแห่งชาติด้านสมุนไพร หมวดเภสัชกรรมแผนไทย/สมุนไพรเดี่ยว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
📖 Guideline อ้างอิง:
บัญชียาหลักแห่งชาติด้านสมุนไพร พ.ศ. 2566 &amp; Thai Herbal Pharmacopoeia (THP)
📌 จุดจำก่อนสอบ:
• เถาวัลย์เปรียง (Derris scandens): แก้อาการปวดกล้ามเนื้อ ปวดข้อเข่าเสื่อม</t>
        </is>
      </c>
      <c r="K26" s="2" t="n"/>
      <c r="L26" s="2" t="inlineStr">
        <is>
          <t>Herbal Extraction methods</t>
        </is>
      </c>
      <c r="M26" s="2" t="inlineStr">
        <is>
          <t>Product</t>
        </is>
      </c>
      <c r="N26" s="2" t="inlineStr">
        <is>
          <t>ข้อ 19 (PLE_CC1_2561_Key.md)</t>
        </is>
      </c>
      <c r="O26" s="2" t="n"/>
      <c r="P26" s="2" t="n"/>
    </row>
    <row r="27" ht="13.2" customHeight="1" s="49">
      <c r="A27" s="2" t="n">
        <v>25</v>
      </c>
      <c r="B27" s="2" t="inlineStr">
        <is>
          <t>ยาพัฒนาจากสมุนไพรในข้อใดที่ใช้สำหรับทาภายนอกเพื่อรักษาแผลจากไวรัสเริม (Herpes Simplex) และโรคงูสวัด (Herpes Zoster)</t>
        </is>
      </c>
      <c r="C27" s="2" t="n"/>
      <c r="D27" s="2" t="inlineStr">
        <is>
          <t>ใบพญายอ</t>
        </is>
      </c>
      <c r="E27" s="2" t="inlineStr">
        <is>
          <t>เหง้าขิง</t>
        </is>
      </c>
      <c r="F27" s="2" t="inlineStr">
        <is>
          <t>ใบบัวบก</t>
        </is>
      </c>
      <c r="G27" s="2" t="inlineStr">
        <is>
          <t>ใบพลู</t>
        </is>
      </c>
      <c r="H27" s="2" t="inlineStr">
        <is>
          <t>ใบทองพันชั่ง</t>
        </is>
      </c>
      <c r="I27" s="2" t="n">
        <v>1</v>
      </c>
      <c r="J27" s="2" t="inlineStr">
        <is>
          <t>✅ คำตอบที่ถูกต้อง: ข้อ ก. ใบพญายอ
💡 Background:
สารสกัดจากใบพญายอ (เสลดพังพอนตัวเมีย) ได้รับการพัฒนาเป็นยาแผนปัจจุบันที่ผลิตจากสมุนไพรในรูปแบบ ครีม โลชั่น และยาน้ำกลีเซอรีน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
📖 Guideline อ้างอิง:
บัญชียาหลักแห่งชาติด้านสมุนไพร พ.ศ. 2566 &amp; Thai Herbal Pharmacopoeia (THP)
📌 จุดจำก่อนสอบ:
• ใบพญายอ: ทารักษาแผลเริมที่ริมฝีปากและอวัยวะเพศ แผลโรคงูสวัด ทาวันละ 4-5 ครั้ง</t>
        </is>
      </c>
      <c r="K27" s="2" t="n"/>
      <c r="L27" s="2" t="inlineStr">
        <is>
          <t>Herbal Extraction methods</t>
        </is>
      </c>
      <c r="M27" s="2" t="inlineStr">
        <is>
          <t>Product</t>
        </is>
      </c>
      <c r="N27" s="2" t="inlineStr">
        <is>
          <t>ข้อ 26 (PLE_CC1_2561_Key.md)</t>
        </is>
      </c>
      <c r="O27" s="2" t="n"/>
      <c r="P27" s="2" t="n"/>
    </row>
    <row r="28" ht="13.2" customHeight="1" s="49">
      <c r="A28" s="2" t="n">
        <v>26</v>
      </c>
      <c r="B28" s="2"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C28" s="2" t="n"/>
      <c r="D28" s="2" t="inlineStr">
        <is>
          <t>พบเซลล์คุม ปากใบ (Stomata) และเนื้อเยื่อพาลิเซด (Palisade mesophyll)</t>
        </is>
      </c>
      <c r="E28" s="2" t="inlineStr">
        <is>
          <t>พบเนื้อเยื่อคอร์ก (Cork) และแคมเบียม (Cambium) หนาแน่น</t>
        </is>
      </c>
      <c r="F28" s="2" t="inlineStr">
        <is>
          <t>พบเซลล์สเคอรีด (Sclereids) รูปหิน และท่อน้ำเรซิน</t>
        </is>
      </c>
      <c r="G28" s="2" t="inlineStr">
        <is>
          <t>พบเนื้อเยื่อคอร์เทกซ์ (Cortex) และไซเลม (Xylem) โดยไม่มีปากใบ</t>
        </is>
      </c>
      <c r="H28" s="2" t="inlineStr">
        <is>
          <t>พบเม็ดแป้งขนาดใหญ่และผลึกแคลเซียมออกซาเลตเฉพาะในเซลล์หัว</t>
        </is>
      </c>
      <c r="I28" s="2" t="n">
        <v>1</v>
      </c>
      <c r="J28" s="2" t="inlineStr">
        <is>
          <t>✅ คำตอบที่ถูกต้อง: ข้อ ก. พบเซลล์คุม ปากใบ (Stomata) และเนื้อเยื่อพาลิเซด (Palisade mesophyll)
💡 Background:
การตรวจเอกลักษณ์ทางกายวิภาคของสมุนไพรผง (Microscopic evaluation of powdered crude drugs) ตามเภสัชตำรับสมุนไพรไทย (THP) ใช้เพื่อระบุส่วนของพืชที่นำมาทำยาและตรวจหาการปลอมปน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
📖 Guideline อ้างอิง:
Thai Herbal Pharmacopoeia (THP) General Chapters: Microscopic Evaluation of Crude Drugs
📌 จุดจำก่อนสอบ:
• เอกลักษณ์ส่วนใบ (Leaves): Epidermis, Stomata, Trichomes, Palisade &amp; Spongy mesophyll
• เอกลักษณ์ส่วนเปลือกต้น (Bark): Cork, Phloem fibers, Sclereids, ไม่มี Xylem/Stomata</t>
        </is>
      </c>
      <c r="K28" s="2" t="n"/>
      <c r="L28" s="2" t="inlineStr">
        <is>
          <t>Herbal Extraction methods</t>
        </is>
      </c>
      <c r="M28" s="2" t="inlineStr">
        <is>
          <t>Product</t>
        </is>
      </c>
      <c r="N28" s="2" t="inlineStr">
        <is>
          <t>ข้อ 27 (PLE_CC1_2561_Key.md)</t>
        </is>
      </c>
      <c r="O28" s="2" t="n"/>
      <c r="P28" s="2" t="n"/>
    </row>
    <row r="29" ht="13.2" customHeight="1" s="49">
      <c r="A29" s="2" t="n">
        <v>27</v>
      </c>
      <c r="B29" s="2" t="inlineStr">
        <is>
          <t>สมุนไพรในข้อใดต่อไปนี้ไม่มีสรรพคุณเด่นในการบรรเทาอาการไอและขับเสมหะโดยตรงตามงานสาธารณสุขมูลฐาน</t>
        </is>
      </c>
      <c r="C29" s="2" t="n"/>
      <c r="D29" s="2" t="inlineStr">
        <is>
          <t>ฟ้าทะลายโจร</t>
        </is>
      </c>
      <c r="E29" s="2" t="inlineStr">
        <is>
          <t>มะแว้งต้น</t>
        </is>
      </c>
      <c r="F29" s="2" t="inlineStr">
        <is>
          <t>ชะเอมเทศ</t>
        </is>
      </c>
      <c r="G29" s="2" t="inlineStr">
        <is>
          <t>มะขามป้อม</t>
        </is>
      </c>
      <c r="H29" s="2" t="inlineStr">
        <is>
          <t>ขิง</t>
        </is>
      </c>
      <c r="I29" s="2" t="n">
        <v>1</v>
      </c>
      <c r="J29" s="2" t="inlineStr">
        <is>
          <t>✅ คำตอบที่ถูกต้อง: ข้อ ก. ฟ้าทะลายโจร
💡 Background:
สมุนไพรแก้ไอ ขับเสมหะ ในงานสาธารณสุขมูลฐานและบัญชียาหลักแห่งชาติ มีกลไกกระตุ้นการหลั่งสารคัดหลั่งเพื่อละลายเสมหะ บรรเทาอาการระคายคอ หรือกดศูนย์ควบคุมการไอ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
📖 Guideline อ้างอิง:
ประกาศกระทรวงสาธารณสุข เรื่อง สมุนไพรในงานสาธารณสุขมูลฐาน &amp; Thai Herbal Pharmacopoeia (THP)
📌 จุดจำก่อนสอบ:
• สมุนไพรแก้ไอ ขับเสมหะ: มะแว้งต้น, มะแว้งเครือ, มะขามป้อม, ชะเอมเทศ, มะนาว
• ฟ้าทะลายโจร: บรรเทาอาการเจ็บคอ ไข้หวัด ท้องเสียไม่ติดเชื้อ</t>
        </is>
      </c>
      <c r="K29" s="2" t="n"/>
      <c r="L29" s="2" t="inlineStr">
        <is>
          <t>Herbal Extraction methods</t>
        </is>
      </c>
      <c r="M29" s="2" t="inlineStr">
        <is>
          <t>Product</t>
        </is>
      </c>
      <c r="N29" s="2" t="inlineStr">
        <is>
          <t>ข้อ 35 (PLE_CC1_2561_Key.md)</t>
        </is>
      </c>
      <c r="O29" s="2" t="n"/>
      <c r="P29" s="2" t="n"/>
    </row>
    <row r="30" ht="13.2" customHeight="1" s="49">
      <c r="A30" s="2" t="n">
        <v>28</v>
      </c>
      <c r="B30" s="2"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t>
        </is>
      </c>
      <c r="C30" s="2" t="n"/>
      <c r="D30" s="2" t="inlineStr">
        <is>
          <t>ยาทิงเจอร์พลู</t>
        </is>
      </c>
      <c r="E30" s="2" t="inlineStr">
        <is>
          <t>ยาครีมพญายอ</t>
        </is>
      </c>
      <c r="F30" s="2" t="inlineStr">
        <is>
          <t>ยาเจลเปลือกมังคุด</t>
        </is>
      </c>
      <c r="G30" s="2" t="inlineStr">
        <is>
          <t>ยาเจลว่านหางจระเข้</t>
        </is>
      </c>
      <c r="H30" s="2" t="inlineStr">
        <is>
          <t>ยาครีมบัวบก</t>
        </is>
      </c>
      <c r="I30" s="2" t="n">
        <v>1</v>
      </c>
      <c r="J30" s="2" t="inlineStr">
        <is>
          <t>✅ คำตอบที่ถูกต้อง: ข้อ ก. ยาทิงเจอร์พลู
💡 Background:
พลู (Piper betle) วงศ์ Piperaceae เป็นสมุนไพรไทยที่มีน้ำมันหอมระเหยและสารฟีนอลิกที่มีฤทธิ์ต้านจุลชีพสูง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
📖 Guideline อ้างอิง:
บัญชียาหลักแห่งชาติด้านสมุนไพร พ.ศ. 2566 &amp; Thai Herbal Pharmacopoeia (THP)
📌 จุดจำก่อนสอบ:
• ทิงเจอร์พลู / ทิงเจอร์ทองพันชั่ง = ยาต้านเชื้อรา รักษาโรคผิวหนัง กลาก เกลื้อน คัน</t>
        </is>
      </c>
      <c r="K30" s="2" t="n"/>
      <c r="L30" s="2" t="inlineStr">
        <is>
          <t>Herbal Extraction methods</t>
        </is>
      </c>
      <c r="M30" s="2" t="inlineStr">
        <is>
          <t>Product</t>
        </is>
      </c>
      <c r="N30" s="2" t="inlineStr">
        <is>
          <t>ข้อ 40 (PLE_CC1_2561_Key.md)</t>
        </is>
      </c>
      <c r="O30" s="2" t="n"/>
      <c r="P30" s="2" t="n"/>
    </row>
    <row r="31" ht="13.2" customHeight="1" s="49">
      <c r="A31" s="2" t="n">
        <v>29</v>
      </c>
      <c r="B31" s="2"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t>
        </is>
      </c>
      <c r="C31" s="2" t="n"/>
      <c r="D31" s="2" t="inlineStr">
        <is>
          <t>ยาประสะไพล</t>
        </is>
      </c>
      <c r="E31" s="2" t="inlineStr">
        <is>
          <t>ยาสหัสธารา</t>
        </is>
      </c>
      <c r="F31" s="2" t="inlineStr">
        <is>
          <t>ยาจันทน์ลีลา</t>
        </is>
      </c>
      <c r="G31" s="2" t="inlineStr">
        <is>
          <t>ยาหอมอินทรจักร</t>
        </is>
      </c>
      <c r="H31" s="2" t="inlineStr">
        <is>
          <t>ยาประสะกะเพรา</t>
        </is>
      </c>
      <c r="I31" s="2" t="n">
        <v>1</v>
      </c>
      <c r="J31" s="2" t="inlineStr">
        <is>
          <t>✅ คำตอบที่ถูกต้อง: ข้อ ก. ยาประสะไพล
💡 Background:
ยาประสะไพลเป็นตำรับยาแผนไทยในบัญชียาหลักแห่งชาติด้านสมุนไพร มีไพล (Zingiber montanum) เป็นตัวยาตรงในสัดส่วนครึ่งหนึ่งของตำรับ
🎯 ทำไมข้อนี้ถึงถูก:
ยาประสะไพลมีข้อบ่งใช้ตามบัญชียาหลักแห่งชาติในการ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
📖 Guideline อ้างอิง:
ประกาศคณะกรรมการพัฒนาระบบยาแห่งชาติ เรื่อง บัญชียาหลักแห่งชาติด้านสมุนไพร พ.ศ. 2566
📌 จุดจำก่อนสอบ:
• ยาประสะไพล: ไพล 50% แก้ปวดประจำเดือน ประจำเดือนมาไม่ปกติ ขับน้ำคาวปลา
• ข้อห้ามใช้: หญิงตั้งครรภ์ และผู้ที่มีไข้สูง</t>
        </is>
      </c>
      <c r="K31" s="2" t="n"/>
      <c r="L31" s="2" t="inlineStr">
        <is>
          <t>Herbal Extraction methods</t>
        </is>
      </c>
      <c r="M31" s="2" t="inlineStr">
        <is>
          <t>Product</t>
        </is>
      </c>
      <c r="N31" s="2" t="inlineStr">
        <is>
          <t>ข้อ 58 (PLE_CC1_2561_Key.md)</t>
        </is>
      </c>
      <c r="O31" s="2" t="n"/>
      <c r="P31" s="2" t="n"/>
    </row>
    <row r="32" ht="13.2" customHeight="1" s="49">
      <c r="A32" s="2" t="n">
        <v>30</v>
      </c>
      <c r="B32" s="2" t="inlineStr">
        <is>
          <t>สมุนไพรในงานสาธารณสุขมูลฐานข้อใดที่มีสาร Cucurbitine และมีสรรพคุณในการถ่ายพยาธิ โดยเฉพาะพยาธิตัวตืด (Tapeworms)</t>
        </is>
      </c>
      <c r="C32" s="2" t="n"/>
      <c r="D32" s="2" t="inlineStr">
        <is>
          <t>เมล็ดฟักทอง</t>
        </is>
      </c>
      <c r="E32" s="2" t="inlineStr">
        <is>
          <t>ใบตำลึง</t>
        </is>
      </c>
      <c r="F32" s="2" t="inlineStr">
        <is>
          <t>เปลือกมังคุด</t>
        </is>
      </c>
      <c r="G32" s="2" t="inlineStr">
        <is>
          <t>ผลแก่แมงลัก</t>
        </is>
      </c>
      <c r="H32" s="2" t="inlineStr">
        <is>
          <t>น้ำมันมะพร้าว</t>
        </is>
      </c>
      <c r="I32" s="2" t="n">
        <v>1</v>
      </c>
      <c r="J32" s="2" t="inlineStr">
        <is>
          <t>✅ คำตอบที่ถูกต้อง: ข้อ ก. เมล็ดฟักทอง
💡 Background:
ฟักทอง (Cucurbita moschata) มีการนำส่วนเมล็ดแก่มาใช้เป็นยาสมุนไพรถ่ายพยาธิในระบบการแพทย์พื้นบ้านและสาธารณสุขมูลฐาน
🎯 ทำไมข้อนี้ถึงถูก:
เมล็ดฟักทองมีสารสำคัญคือ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
📖 Guideline อ้างอิง:
ประกาศกระทรวงสาธารณสุข เรื่อง สมุนไพรในงานสาธารณสุขมูลฐาน &amp; WHO Monographs on Selected Medicinal Plants
📌 จุดจำก่อนสอบ:
• เมล็ดฟักทอง (Cucurbitine): ถ่ายพยาธิตัวตืด
• มะเกลือ (Diospyrol): ถ่ายพยาธิปากขอ พยาธิไส้เดือน (ห้ามใช้ในเด็กต่ำกว่า 10 ปี เสี่ยงตาบอด)</t>
        </is>
      </c>
      <c r="K32" s="2" t="n"/>
      <c r="L32" s="2" t="inlineStr">
        <is>
          <t>Herbal Extraction methods</t>
        </is>
      </c>
      <c r="M32" s="2" t="inlineStr">
        <is>
          <t>Product</t>
        </is>
      </c>
      <c r="N32" s="2" t="inlineStr">
        <is>
          <t>ข้อ 65 (PLE_CC1_2561_Key.md)</t>
        </is>
      </c>
      <c r="O32" s="2" t="n"/>
      <c r="P32" s="2" t="n"/>
    </row>
    <row r="33" ht="13.2" customHeight="1" s="49">
      <c r="A33" s="2" t="n">
        <v>31</v>
      </c>
      <c r="B33" s="2"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C33" s="2" t="n"/>
      <c r="D33" s="2" t="inlineStr">
        <is>
          <t>กระเจี๊ยบแดง</t>
        </is>
      </c>
      <c r="E33" s="2" t="inlineStr">
        <is>
          <t>ชาพลู</t>
        </is>
      </c>
      <c r="F33" s="2" t="inlineStr">
        <is>
          <t>รางจืด</t>
        </is>
      </c>
      <c r="G33" s="2" t="inlineStr">
        <is>
          <t>หญ้าปักกิ่ง</t>
        </is>
      </c>
      <c r="H33" s="2" t="inlineStr">
        <is>
          <t>ฟ้าทะลายโจร</t>
        </is>
      </c>
      <c r="I33" s="2" t="n">
        <v>1</v>
      </c>
      <c r="J33" s="2" t="inlineStr">
        <is>
          <t>✅ คำตอบที่ถูกต้อง: ข้อ ก. กระเจี๊ยบแดง
💡 Background:
อาการขัดเบา ปัสสาวะแสบขัดเล็กน้อยหลังจากการกลั้นปัสสาวะเป็นเวลานานโดยไม่มีไข้หรือตกขาวผิดปกติ มักเป็นอาการเริ่มต้นของการระคายเคืองทางเดินปัสสาวะ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
📖 Guideline อ้างอิง:
ประกาศกระทรวงสาธารณสุข เรื่อง สมุนไพรในงานสาธารณสุขมูลฐาน &amp; Thai Herbal Pharmacopoeia (THP)
📌 จุดจำก่อนสอบ:
• สมุนไพรแก้ขัดเบา: กระเจี๊ยบแดง, หญ้าหนวดแมว, สับปะรด (เหง้า)</t>
        </is>
      </c>
      <c r="K33" s="2" t="n"/>
      <c r="L33" s="2" t="inlineStr">
        <is>
          <t>Herbal Extraction methods</t>
        </is>
      </c>
      <c r="M33" s="2" t="inlineStr">
        <is>
          <t>Product</t>
        </is>
      </c>
      <c r="N33" s="2" t="inlineStr">
        <is>
          <t>ข้อ 75 (PLE_CC1_2561_Key.md)</t>
        </is>
      </c>
      <c r="O33" s="2" t="n"/>
      <c r="P33" s="2" t="n"/>
    </row>
    <row r="34" ht="13.2" customHeight="1" s="49">
      <c r="A34" s="2" t="n">
        <v>32</v>
      </c>
      <c r="B34" s="2"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C34" s="2" t="n"/>
      <c r="D34" s="2" t="inlineStr">
        <is>
          <t>ขิง</t>
        </is>
      </c>
      <c r="E34" s="2" t="inlineStr">
        <is>
          <t>รางจืด</t>
        </is>
      </c>
      <c r="F34" s="2" t="inlineStr">
        <is>
          <t>ขมิ้นชัน</t>
        </is>
      </c>
      <c r="G34" s="2" t="inlineStr">
        <is>
          <t>เถาวัลย์เปรียง</t>
        </is>
      </c>
      <c r="H34" s="2" t="inlineStr">
        <is>
          <t>ฟ้าทะลายโจร</t>
        </is>
      </c>
      <c r="I34" s="2" t="n">
        <v>1</v>
      </c>
      <c r="J34" s="2" t="inlineStr">
        <is>
          <t>✅ คำตอบที่ถูกต้อง: ข้อ ก. ขิง
💡 Background:
อาการแพ้ท้อง คลื่นไส้อาเจียนในหญิงตั้งครรภ์ (Nausea and vomiting of pregnancy: NVP) พบได้บ่อยถึง 70-80% ในไตรมาสแรก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
📖 Guideline อ้างอิง:
ACOG Practice Bulletin No. 189: Nausea and Vomiting of Pregnancy &amp; บัญชียาหลักแห่งชาติด้านสมุนไพร พ.ศ. 2566
📌 จุดจำก่อนสอบ:
• ขิง (Zingiber officinale): First-line non-pharmacologic option สำหรับ Morning sickness ในหญิงตั้งครรภ์
• สมุนไพรต้องห้ามในหญิงตั้งครรภ์: ฟ้าทะลายโจร, เถาวัลย์เปรียง, ขี้เหล็ก, มะขามแขก</t>
        </is>
      </c>
      <c r="K34" s="2" t="n"/>
      <c r="L34" s="2" t="inlineStr">
        <is>
          <t>Herbal Extraction methods</t>
        </is>
      </c>
      <c r="M34" s="2" t="inlineStr">
        <is>
          <t>Product</t>
        </is>
      </c>
      <c r="N34" s="2" t="inlineStr">
        <is>
          <t>ข้อ 82 (PLE_CC1_2561_Key.md)</t>
        </is>
      </c>
      <c r="O34" s="2" t="n"/>
      <c r="P34" s="2" t="n"/>
    </row>
    <row r="35" ht="13.2" customHeight="1" s="49">
      <c r="A35" s="2" t="n">
        <v>33</v>
      </c>
      <c r="B35" s="2"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C35" s="2" t="n"/>
      <c r="D35" s="2" t="inlineStr">
        <is>
          <t>พญายอ</t>
        </is>
      </c>
      <c r="E35" s="2" t="inlineStr">
        <is>
          <t>ขมิ้นชัน</t>
        </is>
      </c>
      <c r="F35" s="2" t="inlineStr">
        <is>
          <t>เหง้าไพล</t>
        </is>
      </c>
      <c r="G35" s="2" t="inlineStr">
        <is>
          <t>เปลือกมังคุด</t>
        </is>
      </c>
      <c r="H35" s="2" t="inlineStr">
        <is>
          <t>ว่านหางจระเข้</t>
        </is>
      </c>
      <c r="I35" s="2" t="n">
        <v>1</v>
      </c>
      <c r="J35" s="2" t="inlineStr">
        <is>
          <t>✅ คำตอบที่ถูกต้อง: ข้อ ก. พญายอ
💡 Background:
พญายอ หรือ เสลดพังพอนตัวเมีย (Clinacanthus nutans) เป็นสมุนไพรอเนกประสงค์ด้านโรคผิวหนัง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
📖 Guideline อ้างอิง:
ประกาศกระทรวงสาธารณสุข เรื่อง สมุนไพรในงานสาธารณสุขมูลฐาน &amp; Thai Herbal Pharmacopoeia (THP)
📌 จุดจำก่อนสอบ:
• พญายอ (เสลดพังพอนตัวเมีย): แมลงสัตว์กัดต่อย เริม งูสวัด</t>
        </is>
      </c>
      <c r="K35" s="2" t="n"/>
      <c r="L35" s="2" t="inlineStr">
        <is>
          <t>Herbal Extraction methods</t>
        </is>
      </c>
      <c r="M35" s="2" t="inlineStr">
        <is>
          <t>Product</t>
        </is>
      </c>
      <c r="N35" s="2" t="inlineStr">
        <is>
          <t>ข้อ 122 (PLE_CC1_2561_Key.md)</t>
        </is>
      </c>
      <c r="O35" s="2" t="n"/>
      <c r="P35" s="2" t="n"/>
    </row>
    <row r="36" ht="13.2" customHeight="1" s="49">
      <c r="A36" s="2" t="n">
        <v>34</v>
      </c>
      <c r="B36" s="2"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C36" s="2" t="n"/>
      <c r="D36" s="2" t="inlineStr">
        <is>
          <t>ขิง</t>
        </is>
      </c>
      <c r="E36" s="2" t="inlineStr">
        <is>
          <t>ไพล</t>
        </is>
      </c>
      <c r="F36" s="2" t="inlineStr">
        <is>
          <t>ดีปลี</t>
        </is>
      </c>
      <c r="G36" s="2" t="inlineStr">
        <is>
          <t>มะขามแขก</t>
        </is>
      </c>
      <c r="H36" s="2" t="inlineStr">
        <is>
          <t>ฟ้าทะลายโจร</t>
        </is>
      </c>
      <c r="I36" s="2" t="n">
        <v>1</v>
      </c>
      <c r="J36" s="2" t="inlineStr">
        <is>
          <t>✅ คำตอบที่ถูกต้อง: ข้อ ก. ขิง
💡 Background:
ขิง (Zingiber officinale Roscoe) ได้รับการขึ้นทะเบียนเป็นยาพัฒนาจากสมุนไพรในบัญชียาหลักแห่งชาติ หมวดยาระบบทางเดินอาหาร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
📖 Guideline อ้างอิง:
บัญชียาหลักแห่งชาติด้านสมุนไพร พ.ศ. 2566 &amp; Thai Herbal Pharmacopoeia (THP)
📌 จุดจำก่อนสอบ:
• ยาขิง: คลื่นไส้อาเจียนจาก เมารถ เมาเรือ, อาการแพ้ท้อง, และหลังผ่าตัด</t>
        </is>
      </c>
      <c r="K36" s="2" t="n"/>
      <c r="L36" s="2" t="inlineStr">
        <is>
          <t>Herbal Extraction methods</t>
        </is>
      </c>
      <c r="M36" s="2" t="inlineStr">
        <is>
          <t>Product</t>
        </is>
      </c>
      <c r="N36" s="2" t="inlineStr">
        <is>
          <t>ข้อ 4 (PLE_CC1_2560 22 April Set 1.md)</t>
        </is>
      </c>
      <c r="O36" s="2" t="n"/>
      <c r="P36" s="2" t="n"/>
    </row>
    <row r="37" ht="13.2" customHeight="1" s="49">
      <c r="A37" s="2" t="n">
        <v>35</v>
      </c>
      <c r="B37" s="2"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C37" s="2" t="n"/>
      <c r="D37" s="2" t="inlineStr">
        <is>
          <t>หญ้าหนวดแมว</t>
        </is>
      </c>
      <c r="E37" s="2" t="inlineStr">
        <is>
          <t>ขิง</t>
        </is>
      </c>
      <c r="F37" s="2" t="inlineStr">
        <is>
          <t>กระชาย</t>
        </is>
      </c>
      <c r="G37" s="2" t="inlineStr">
        <is>
          <t>ข่า</t>
        </is>
      </c>
      <c r="H37" s="2" t="inlineStr">
        <is>
          <t>ทองพันชั่ง</t>
        </is>
      </c>
      <c r="I37" s="2" t="n">
        <v>1</v>
      </c>
      <c r="J37" s="2" t="inlineStr">
        <is>
          <t>✅ คำตอบที่ถูกต้อง: ข้อ ก. หญ้าหนวดแมว
💡 Background:
หญ้าหนวดแมว (Orthosiphon aristatus) วงศ์ Lamiaceae เป็นสมุนไพรขับปัสสาวะและรักษานิ่ว
🎯 ทำไมข้อนี้ถึงถูก:
หญ้าหนวดแมวมีเกลือโพแทสเซียมอนินทรีย์สูงมากตามธรรมชาติ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
📖 Guideline อ้างอิง:
บัญชียาหลักแห่งชาติด้านสมุนไพร พ.ศ. 2566 &amp; Thai Herbal Pharmacopoeia (THP)
📌 จุดจำก่อนสอบ:
• หญ้าหนวดแมว: โพแทสเซียมสูง ห้ามใช้ในโรคไตและโรคหัวใจล้มเหลว!</t>
        </is>
      </c>
      <c r="K37" s="2" t="n"/>
      <c r="L37" s="2" t="inlineStr">
        <is>
          <t>Herbal Extraction methods</t>
        </is>
      </c>
      <c r="M37" s="2" t="inlineStr">
        <is>
          <t>Product</t>
        </is>
      </c>
      <c r="N37" s="2" t="inlineStr">
        <is>
          <t>ข้อ 5 (PLE_CC1_2559.md)</t>
        </is>
      </c>
      <c r="O37" s="2" t="n"/>
      <c r="P37" s="2" t="n"/>
    </row>
    <row r="38" ht="13.2" customHeight="1" s="49">
      <c r="A38" s="2" t="n">
        <v>36</v>
      </c>
      <c r="B38" s="2"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C38" s="2" t="n"/>
      <c r="D38" s="2" t="inlineStr">
        <is>
          <t>หญ้าดอกขาว</t>
        </is>
      </c>
      <c r="E38" s="2" t="inlineStr">
        <is>
          <t>เพชรสังฆาต</t>
        </is>
      </c>
      <c r="F38" s="2" t="inlineStr">
        <is>
          <t>พริก</t>
        </is>
      </c>
      <c r="G38" s="2" t="inlineStr">
        <is>
          <t>ขลู่</t>
        </is>
      </c>
      <c r="H38" s="2" t="inlineStr">
        <is>
          <t>มะระขี้นก</t>
        </is>
      </c>
      <c r="I38" s="2" t="n">
        <v>1</v>
      </c>
      <c r="J38" s="2" t="inlineStr">
        <is>
          <t>✅ คำตอบที่ถูกต้อง: ข้อ ก. หญ้าดอกขาว
💡 Background:
หญ้าดอกขาว หรือ หญ้าหมอน้อย (Vernonia cinerea (L.) Less.) วงศ์ Asteraceae เป็นสมุนไพรไทยที่ได้รับการยอมรับในระดับสากลเกี่ยวกับการช่วยเลิกบุหรี่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
📖 Guideline อ้างอิง:
บัญชียาหลักแห่งชาติด้านสมุนไพร พ.ศ. 2566 &amp; แนวทางเวชปฏิบัติการบำบัดรักษาผู้เสพติดบุหรี่ ประเทศไทย
📌 จุดจำก่อนสอบ:
• หญ้าดอกขาว (Vernonia cinerea): ช่วยเลิกบุหรี่ ทำให้ลิ้นชา บุหรี่รสชาติแย่ลง
• ข้อควรระวัง: ระวังในผู้ป่วยโรคหัวใจและโรคไตเนื่องจากมีโพแทสเซียมสูง</t>
        </is>
      </c>
      <c r="K38" s="2" t="n"/>
      <c r="L38" s="2" t="inlineStr">
        <is>
          <t>Herbal Extraction methods</t>
        </is>
      </c>
      <c r="M38" s="2" t="inlineStr">
        <is>
          <t>Product</t>
        </is>
      </c>
      <c r="N38" s="2" t="inlineStr">
        <is>
          <t>ข้อ 14 (PLE_CC1_2559.md)</t>
        </is>
      </c>
      <c r="O38" s="2" t="n"/>
      <c r="P38" s="2" t="n"/>
    </row>
    <row r="39" ht="13.2" customHeight="1" s="49">
      <c r="A39" s="2" t="n">
        <v>37</v>
      </c>
      <c r="B39" s="2"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C39" s="2" t="n"/>
      <c r="D39" s="2" t="inlineStr">
        <is>
          <t>ยามหานิลแท่งทอง</t>
        </is>
      </c>
      <c r="E39" s="2" t="inlineStr">
        <is>
          <t>ยาจันทน์ลีลา</t>
        </is>
      </c>
      <c r="F39" s="2" t="inlineStr">
        <is>
          <t>ยาเบญจกูล</t>
        </is>
      </c>
      <c r="G39" s="2" t="inlineStr">
        <is>
          <t>ยาเบญจโลกวิเชียร</t>
        </is>
      </c>
      <c r="H39" s="2" t="inlineStr">
        <is>
          <t>ยาหอมอินทรจักร</t>
        </is>
      </c>
      <c r="I39" s="2" t="n">
        <v>1</v>
      </c>
      <c r="J39" s="2" t="inlineStr">
        <is>
          <t>✅ คำตอบที่ถูกต้อง: ข้อ ก. ยามหานิลแท่งทอง
💡 Background:
ยามหานิลแท่งทอง เป็นตำรับยาแผนไทยในบัญชียาหลักแห่งชาติ มีส่วนประกอบของสมุนไพรดับพิษร้อนและสารจากธรรมชาติที่มีสีดำ
🎯 ทำไมข้อนี้ถึงถูก:
ยามหานิลแท่งทองมีข้อบ่งใช้ตามบัญชียาหลักแห่งชาติในการ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
📖 Guideline อ้างอิง:
ประกาศคณะกรรมการพัฒนาระบบยาแห่งชาติ เรื่อง บัญชียาหลักแห่งชาติด้านสมุนไพร พ.ศ. 2566
📌 จุดจำก่อนสอบ:
• ยามหานิลแท่งทอง: แก้ไข้กาฬ ไข้ออกผื่น อีสุกอีใส หัด ตุ่มแผลในปาก</t>
        </is>
      </c>
      <c r="K39" s="2" t="n"/>
      <c r="L39" s="2" t="inlineStr">
        <is>
          <t>Herbal Extraction methods</t>
        </is>
      </c>
      <c r="M39" s="2" t="inlineStr">
        <is>
          <t>Product</t>
        </is>
      </c>
      <c r="N39" s="2" t="inlineStr">
        <is>
          <t>ข้อ 38 (PLE_CC1_2559.md)</t>
        </is>
      </c>
      <c r="O39" s="2" t="n"/>
      <c r="P39" s="2" t="n"/>
    </row>
    <row r="40" ht="13.2" customHeight="1" s="49">
      <c r="A40" s="2" t="n">
        <v>38</v>
      </c>
      <c r="B40" s="2" t="inlineStr">
        <is>
          <t>สมุนไพรในข้อใดที่ได้รับการพิสูจน์ทางคลินิกว่ามีประสิทธิผลในการลดอาการปวดข้อและข้ออักเสบเทียบเท่ากับยาแผนปัจจุบันกลุ่ม NSAIDs</t>
        </is>
      </c>
      <c r="C40" s="2" t="n"/>
      <c r="D40" s="2" t="inlineStr">
        <is>
          <t>เถาวัลย์เปรียง</t>
        </is>
      </c>
      <c r="E40" s="2" t="inlineStr">
        <is>
          <t>ขมิ้นชัน</t>
        </is>
      </c>
      <c r="F40" s="2" t="inlineStr">
        <is>
          <t>ใบฝรั่ง</t>
        </is>
      </c>
      <c r="G40" s="2" t="inlineStr">
        <is>
          <t>เมล็ดน้อยหน่า</t>
        </is>
      </c>
      <c r="H40" s="2" t="inlineStr">
        <is>
          <t>เจลพริก</t>
        </is>
      </c>
      <c r="I40" s="2" t="n">
        <v>1</v>
      </c>
      <c r="J40" s="2" t="inlineStr">
        <is>
          <t>✅ คำตอบที่ถูกต้อง: ข้อ ก. เถาวัลย์เปรียง
💡 Background:
สารสกัดเถาวัลย์เปรียง (Derris scandens extract) เป็นหนึ่งในสมุนไพร Champion Products ของประเทศไทย
🎯 ทำไมข้อนี้ถึงถูก:
งานวิจัยทางคลินิกแบบ Randomized Controlled Trial (RCT) หลายโครงการยืนยันว่า สารสกัดมาตรฐานเถาวัลย์เปรียงขนาด 400 มก. วันละ 3 ครั้ง มีประสิทธิผลในการลดความเจ็บปวดและเพิ่มความสามารถในการเคลื่อนไหวของข้อเข่าในผู้ป่วยโรคข้อเข่าเสื่อม เทียบเท่ากับยา Naproxen (250 mg วันละ 2 ครั้ง) และ Diclofenac โดยมีอุบัติการณ์ระคายเคืองกระเพาะอาหารต่ำกว่า
🔍 ข้ออื่นผิดเพราะอะไร:
• ข้อ ข. (ขมิ้นชัน): เด่นเรื่องทางเดินอาหารและต้านอนุมูลอิสระ
• ข้อ ค. (ใบฝรั่ง): สมานแผล ดับกลิ่นปาก แก้ท้องเสีย
• ข้อ ง. (เมล็ดน้อยหน่า): กำจัดเหา
• ข้อ จ. (เจลพริก): เป็นยาทาภายนอกลดปวดปลายประสาท
📖 Guideline อ้างอิง:
บัญชียาหลักแห่งชาติด้านสมุนไพร พ.ศ. 2566 &amp; Thai Herbal Pharmacopoeia (THP)
📌 จุดจำก่อนสอบ:
• เถาวัลย์เปรียง = สมุนไพรลดปวดข้อเทียบเท่า NSAIDs</t>
        </is>
      </c>
      <c r="K40" s="2" t="n"/>
      <c r="L40" s="2" t="inlineStr">
        <is>
          <t>Herbal Extraction methods</t>
        </is>
      </c>
      <c r="M40" s="2" t="inlineStr">
        <is>
          <t>Product</t>
        </is>
      </c>
      <c r="N40" s="2" t="inlineStr">
        <is>
          <t>ข้อ 64 (PLE_CC1_2558_Key.md)</t>
        </is>
      </c>
      <c r="O40" s="2" t="n"/>
      <c r="P40" s="2" t="n"/>
    </row>
    <row r="41" ht="13.2" customHeight="1" s="49">
      <c r="A41" s="2" t="n">
        <v>39</v>
      </c>
      <c r="B41" s="2" t="inlineStr">
        <is>
          <t>สมุนไพรในข้อใดที่มีข้อบ่งใช้ตามบัญชียาหลักแห่งชาติในการรักษากลาก เกลื้อน และโรคน้ำกัดเท้าที่เกิดจากเชื้อรา</t>
        </is>
      </c>
      <c r="C41" s="2" t="n"/>
      <c r="D41" s="2" t="inlineStr">
        <is>
          <t>ยาทาทองพันชั่ง</t>
        </is>
      </c>
      <c r="E41" s="2" t="inlineStr">
        <is>
          <t>ยาทาขลู่</t>
        </is>
      </c>
      <c r="F41" s="2" t="inlineStr">
        <is>
          <t>ครีมพญายอ</t>
        </is>
      </c>
      <c r="G41" s="2" t="inlineStr">
        <is>
          <t>ครีมบัวบก</t>
        </is>
      </c>
      <c r="H41" s="2" t="inlineStr">
        <is>
          <t>เจลว่านหางจระเข้</t>
        </is>
      </c>
      <c r="I41" s="2" t="n">
        <v>1</v>
      </c>
      <c r="J41" s="2" t="inlineStr">
        <is>
          <t>✅ คำตอบที่ถูกต้อง: ข้อ ก. ยาทาทองพันชั่ง
💡 Background:
ทองพันชั่ง (Rhinacanthus nasutus) สารสำคัญคือ Rhinacanthin มีฤทธิ์ Antifungal เด่นชัด
🎯 ทำไมข้อนี้ถึงถูก:
ยาทิงเจอร์หรือยาทาทองพันชั่งมีฤทธิ์ยับยั้งการเจริญเติบโตของเชื้อรา Dermatophytes (Trichophyton rubrum, Trichophyton mentagrophytes) จึงใช้รักษากลาก เกลื้อน และน้ำกัดเท้าได้อย่างมีประสิทธิภาพ
🔍 ข้ออื่นผิดเพราะอะไร:
• ข้อ ข. (ยาทาขลู่): ขลู่ใช้ขับปัสสาวะ รักษาริดสีดวงทวาร
• ข้อ ค. (ครีมพญายอ): รักษาเริมและงูสวัด (ไวรัส)
• ข้อ ง. (ครีมบัวบก): สมานแผล
• ข้อ จ. (เจลว่านหางจระเข้): แผลไฟไหม้น้ำร้อนลวก
📖 Guideline อ้างอิง:
บัญชียาหลักแห่งชาติด้านสมุนไพร พ.ศ. 2566 &amp; Thai Herbal Pharmacopoeia (THP)
📌 จุดจำก่อนสอบ:
• ทองพันชั่ง = ทิงเจอร์ต้านเชื้อรา กลาก เกลื้อน น้ำกัดเท้า</t>
        </is>
      </c>
      <c r="K41" s="2" t="n"/>
      <c r="L41" s="2" t="inlineStr">
        <is>
          <t>Herbal Extraction methods</t>
        </is>
      </c>
      <c r="M41" s="2" t="inlineStr">
        <is>
          <t>Product</t>
        </is>
      </c>
      <c r="N41" s="2" t="inlineStr">
        <is>
          <t>ข้อ 98 (PLE_CC1_2558_Key.md)</t>
        </is>
      </c>
      <c r="O41" s="2" t="n"/>
      <c r="P41" s="2" t="n"/>
    </row>
    <row r="42" ht="13.2" customHeight="1" s="49">
      <c r="A42" s="2" t="n">
        <v>40</v>
      </c>
      <c r="B42" s="2" t="inlineStr">
        <is>
          <t>ผู้ป่วยเป็นโรคงูสวัด (Herpes Zoster) มีตุ่มน้ำใสและปวดแสบร้อนตามรอยโรค สมุนไพรในข้อใดมีข้อบ่งใช้ตามบัญชียาหลักแห่งชาติในการรักษาอาการดังกล่าว</t>
        </is>
      </c>
      <c r="C42" s="2" t="n"/>
      <c r="D42" s="2" t="inlineStr">
        <is>
          <t>ครีมพญายอ</t>
        </is>
      </c>
      <c r="E42" s="2" t="inlineStr">
        <is>
          <t>เจลว่านหางจระเข้</t>
        </is>
      </c>
      <c r="F42" s="2" t="inlineStr">
        <is>
          <t>ยาเปลือกมังคุด</t>
        </is>
      </c>
      <c r="G42" s="2" t="inlineStr">
        <is>
          <t>ทิงเจอร์พลู</t>
        </is>
      </c>
      <c r="H42" s="2" t="inlineStr">
        <is>
          <t>ยาบัวบก</t>
        </is>
      </c>
      <c r="I42" s="2" t="n">
        <v>1</v>
      </c>
      <c r="J42" s="2" t="inlineStr">
        <is>
          <t>✅ คำตอบที่ถูกต้อง: ข้อ ก. ครีมพญายอ
💡 Background:
พญายอ (Clinacanthus nutans) ได้รับการบรรจุในบัญชียาหลักแห่งชาติในรูปแบบ ครีม โลชั่น และยาน้ำกลีเซอรีน
🎯 ทำไมข้อนี้ถึงถูก:
ครีมพญายอมีฤทธิ์ต้านไวรัส Varicella Zoster Virus (VZV) และต้านการอักเสบ ช่วยลดความรุนแรงของตุ่มน้ำใส บรรเทาอาการปวดแสบร้อน และช่วยให้แผลตกสะเก็ดหายเร็วขึ้น
🔍 ข้ออื่นผิดเพราะอะไร:
• ข้อ ข. ว่านหางจระเข้, ข้อ ค. เปลือกมังคุด, ข้อ ง. ทิงเจอร์พลู, ข้อ จ. ยาบัวบก: ไม่มีฤทธิ์ต้านไวรัส VZV จำเพาะเหมือนพญายอ
📖 Guideline อ้างอิง:
บัญชียาหลักแห่งชาติด้านสมุนไพร พ.ศ. 2566 &amp; Thai Herbal Pharmacopoeia (THP)
📌 จุดจำก่อนสอบ:
• งูสวัด / เริม = ครีมพญายอ</t>
        </is>
      </c>
      <c r="K42" s="2" t="n"/>
      <c r="L42" s="2" t="inlineStr">
        <is>
          <t>Herbal Extraction methods</t>
        </is>
      </c>
      <c r="M42" s="2" t="inlineStr">
        <is>
          <t>Product</t>
        </is>
      </c>
      <c r="N42" s="2" t="inlineStr">
        <is>
          <t>ข้อ 15 (Pharmtutor_2024_Set1.md)</t>
        </is>
      </c>
      <c r="O42" s="2" t="n"/>
      <c r="P42" s="2" t="n"/>
    </row>
    <row r="43" ht="13.2" customHeight="1" s="49">
      <c r="A43" s="2" t="n">
        <v>41</v>
      </c>
      <c r="B43" s="2" t="inlineStr">
        <is>
          <t>สมุนไพรในข้อใดที่มีการศึกษาวิจัยและนำมาใช้เป็นผลิตภัณฑ์เสริมอาหารเพื่อช่วยลดระดับไขมันคอเลสเตอรอลและไตรกลีเซอไรด์ในเลือด</t>
        </is>
      </c>
      <c r="C43" s="2" t="n"/>
      <c r="D43" s="2" t="inlineStr">
        <is>
          <t>กระเทียม</t>
        </is>
      </c>
      <c r="E43" s="2" t="inlineStr">
        <is>
          <t>บอระเพ็ด</t>
        </is>
      </c>
      <c r="F43" s="2" t="inlineStr">
        <is>
          <t>ฟ้าทะลายโจร</t>
        </is>
      </c>
      <c r="G43" s="2" t="inlineStr">
        <is>
          <t>ชุมเห็ดเทศ</t>
        </is>
      </c>
      <c r="H43" s="2" t="inlineStr">
        <is>
          <t>บัวบก</t>
        </is>
      </c>
      <c r="I43" s="2" t="n">
        <v>1</v>
      </c>
      <c r="J43" s="2" t="inlineStr">
        <is>
          <t>✅ คำตอบที่ถูกต้อง: ข้อ ก. กระเทียม
💡 Background:
กระเทียม (Allium sativum) อุดมไปด้วยสารประกอบออร์กาโนซัลเฟอร์ เช่น Allicin, Ajoene, และ S-allylcysteine
🎯 ทำไมข้อนี้ถึงถูก:
สารสกัดกระเทียมมีฤทธิ์ยับยั้งเอนไซม์ HMG-CoA reductase ในการสังเคราะห์คอเลสเตอรอลที่ตับ และยับยั้งการดูดซึมไขมันจากทางเดินอาหาร งานวิจัยทางคลินิกพบว่าช่วยลดระดับ Total Cholesterol และ Triglycerides ได้ในระดับเล็กน้อยถึงปานกลาง
🔍 ข้ออื่นผิดเพราะอะไร:
• ข้อ ข. (บอระเพ็ด): รสขม ช่วยเจริญอาหาร แก้ไข้
• ข้อ ค. (ฟ้าทะลายโจร): แก้ไข้หวัด เจ็บคอ
• ข้อ ง. (ชุมเห็ดเทศ): ยาระบาย แก้ท้องผูก
• ข้อ จ. (บัวบก): สมานแผล แก้ช้ำใน
📖 Guideline อ้างอิง:
Natural Medicines Comprehensive Database &amp; Thai Herbal Pharmacopoeia (THP)
📌 จุดจำก่อนสอบ:
• กระเทียม: ลดไขมันในเลือด ต้านการรวมกลุ่มของเกล็ดเลือด ระวังอันตรกิริยากับ Warfarin และยาต้านเกล็ดเลือด</t>
        </is>
      </c>
      <c r="K43" s="2" t="n"/>
      <c r="L43" s="2" t="inlineStr">
        <is>
          <t>Herbal Extraction methods</t>
        </is>
      </c>
      <c r="M43" s="2" t="inlineStr">
        <is>
          <t>Product</t>
        </is>
      </c>
      <c r="N43" s="2" t="inlineStr">
        <is>
          <t>ข้อ 22 (Pharmtutor_2024_Set1.md)</t>
        </is>
      </c>
      <c r="O43" s="2" t="n"/>
      <c r="P43" s="2" t="n"/>
    </row>
    <row r="44" ht="13.2" customHeight="1" s="49">
      <c r="A44" s="2" t="n">
        <v>42</v>
      </c>
      <c r="B44" s="2" t="inlineStr">
        <is>
          <t>สมุนไพรในงานสาธารณสุขมูลฐานข้อใดที่ใช้สำหรับบรรเทาอาการท้องอืด ท้องเฟ้อ แน่น จุกเสียด และมีฤทธิ์ขับลมในลำไส้ได้ดีที่สุด</t>
        </is>
      </c>
      <c r="C44" s="2" t="n"/>
      <c r="D44" s="2" t="inlineStr">
        <is>
          <t>ขมิ้นชัน</t>
        </is>
      </c>
      <c r="E44" s="2" t="inlineStr">
        <is>
          <t>ชุมเห็ดเทศ</t>
        </is>
      </c>
      <c r="F44" s="2" t="inlineStr">
        <is>
          <t>มะขามแขก</t>
        </is>
      </c>
      <c r="G44" s="2" t="inlineStr">
        <is>
          <t>ฟ้าทะลายโจร</t>
        </is>
      </c>
      <c r="H44" s="2" t="inlineStr">
        <is>
          <t>หญ้าหนวดแมว</t>
        </is>
      </c>
      <c r="I44" s="2" t="n">
        <v>1</v>
      </c>
      <c r="J44" s="2" t="inlineStr">
        <is>
          <t>✅ คำตอบที่ถูกต้อง: ข้อ ก. ขมิ้นชัน
💡 Background:
ขมิ้นชัน (Curcuma longa) เป็นสมุนไพรหลักประจำบ้านของไทยที่ใช้รักษาความผิดปกติของระบบทางเดินอาหาร
🎯 ทำไมข้อนี้ถึงถูก:
เหง้าขมิ้นชันมีน้ำมันหอมระเหย (Volatile oils) และสาร Curcuminoids ซึ่งมีฤทธิ์ขับลม กระตุ้นการหลั่งน้ำดีเพื่อช่วยย่อยไขมัน และลดการบีบเกร็งของกล้ามเนื้อเรียบในทางเดินอาหาร บัญชียาหลักแห่งชาติจึงแนะนำขมิ้นชันเป็นอันดับแรกสำหรับบรรเทาอาการแน่นจุกเสียด ท้องอืด ท้องเฟ้อ
🔍 ข้ออื่นผิดเพราะอะไร:
• ข้อ ข. ชุมเห็ดเทศ, ข้อ ค. มะขามแขก: เป็นยาระบาย ไม่ใช่ยาขับลม
• ข้อ ง. ฟ้าทะลายโจร: แก้เจ็บคอ ไข้หวัด
• ข้อ จ. หญ้าหนวดแมว: ขับปัสสาวะ
📖 Guideline อ้างอิง:
บัญชียาหลักแห่งชาติด้านสมุนไพร พ.ศ. 2566 &amp; Thai Herbal Pharmacopoeia (THP)
📌 จุดจำก่อนสอบ:
• ขมิ้นชัน: ขับลม แก้ท้องอืด ท้องเฟ้อ รักษาแผลในกระเพาะอาหาร ห้ามใช้ในท่อน้ำดีอุดตัน</t>
        </is>
      </c>
      <c r="K44" s="2" t="n"/>
      <c r="L44" s="2" t="inlineStr">
        <is>
          <t>Herbal Extraction methods</t>
        </is>
      </c>
      <c r="M44" s="2" t="inlineStr">
        <is>
          <t>Product</t>
        </is>
      </c>
      <c r="N44" s="2" t="inlineStr">
        <is>
          <t>ข้อ 26 (Pharmtutor_2024_Set1.md)</t>
        </is>
      </c>
      <c r="O44" s="2" t="n"/>
      <c r="P44" s="2" t="n"/>
    </row>
    <row r="45" ht="13.2" customHeight="1" s="49">
      <c r="A45" s="2" t="n">
        <v>43</v>
      </c>
      <c r="B45" s="2" t="inlineStr">
        <is>
          <t>สมุนไพรในข้อใดมีสารสำคัญกลุ่ม Anthraquinone glycosides ที่ออกฤทธิ์กระตุ้นการบีบตัวของลำไส้ใหญ่ ใช้เป็นยาระบายบรรเทาอาการท้องผูก</t>
        </is>
      </c>
      <c r="C45" s="2" t="n"/>
      <c r="D45" s="2" t="inlineStr">
        <is>
          <t>มะขามแขก</t>
        </is>
      </c>
      <c r="E45" s="2" t="inlineStr">
        <is>
          <t>ขมิ้นชัน</t>
        </is>
      </c>
      <c r="F45" s="2" t="inlineStr">
        <is>
          <t>ขิง</t>
        </is>
      </c>
      <c r="G45" s="2" t="inlineStr">
        <is>
          <t>พญายอ</t>
        </is>
      </c>
      <c r="H45" s="2" t="inlineStr">
        <is>
          <t>บัวบก</t>
        </is>
      </c>
      <c r="I45" s="2" t="n">
        <v>1</v>
      </c>
      <c r="J45" s="2" t="inlineStr">
        <is>
          <t>✅ คำตอบที่ถูกต้อง: ข้อ ก. มะขามแขก
💡 Background:
มะขามแขก (Senna alexandrina / Cassia angustifolia) นิยมใช้ใบและฝักเป็นยาระบาย
🎯 ทำไมข้อนี้ถึงถูก:
มะขามแขกมีสารสำคัญ Sennosides A &amp; B ซึ่งเป็น Stimulant laxative แบคทีเรียในลำไส้ใหญ่จะเปลี่ยน Sennosides เป็น Rhein anthrone กระตุ้น Myenteric plexus เพิ่มการบีบตัวของลำไส้ใหญ่และลดการดูดซึมน้ำกลับ ทำให้อุจจาระนิ่มและถ่ายสะดวกหลังรับประทาน 6-12 ชั่วโมง
🔍 ข้ออื่นผิดเพราะอะไร:
• ข้อ ข. ขมิ้นชัน, ข้อ ค. ขิง: ยาขับลม ขับน้ำดี
• ข้อ ง. พญายอ: ต้านไวรัสเริม งูสวัด
• ข้อ จ. บัวบก: สมานแผล
📖 Guideline อ้างอิง:
บัญชียาหลักแห่งชาติด้านสมุนไพร พ.ศ. 2566 &amp; Thai Herbal Pharmacopoeia (THP)
📌 จุดจำก่อนสอบ:
• มะขามแขก / ชุมเห็ดเทศ: สารสำคัญ Anthraquinones (Sennosides) กระตุ้นการบีบตัวของลำไส้ใหญ่
• ผลข้างเคียง: ปวดมวนท้อง ลำไส้ขี้เกียจ (Melanosis coli) หากใช้นานเกินไป</t>
        </is>
      </c>
      <c r="K45" s="2" t="n"/>
      <c r="L45" s="2" t="inlineStr">
        <is>
          <t>Herbal Extraction methods</t>
        </is>
      </c>
      <c r="M45" s="2" t="inlineStr">
        <is>
          <t>Product</t>
        </is>
      </c>
      <c r="N45" s="2" t="inlineStr">
        <is>
          <t>ข้อ 87 (Pharmtutor_2024_Set1.md)</t>
        </is>
      </c>
      <c r="O45" s="2" t="n"/>
      <c r="P45" s="2" t="n"/>
    </row>
    <row r="46" ht="13.2" customHeight="1" s="49">
      <c r="A46" s="2" t="n">
        <v>44</v>
      </c>
      <c r="B46" s="2" t="inlineStr">
        <is>
          <t>สมุนไพรในข้อใดที่มีสารประกอบ Eugenol และ Gingerol ซึ่งมีฤทธิ์ขับลม บรรเทาอาการจุกเสียด และช่วยกระตุ้นการเคลื่อนไหวของระบบทางเดินอาหาร</t>
        </is>
      </c>
      <c r="C46" s="2" t="n"/>
      <c r="D46" s="2" t="inlineStr">
        <is>
          <t>ขิง</t>
        </is>
      </c>
      <c r="E46" s="2" t="inlineStr">
        <is>
          <t>ชุมเห็ดเทศ</t>
        </is>
      </c>
      <c r="F46" s="2" t="inlineStr">
        <is>
          <t>มะขามแขก</t>
        </is>
      </c>
      <c r="G46" s="2" t="inlineStr">
        <is>
          <t>บัวบก</t>
        </is>
      </c>
      <c r="H46" s="2" t="inlineStr">
        <is>
          <t>รางจืด</t>
        </is>
      </c>
      <c r="I46" s="2" t="n">
        <v>1</v>
      </c>
      <c r="J46" s="2" t="inlineStr">
        <is>
          <t>✅ คำตอบที่ถูกต้อง: ข้อ ก. ขิง
💡 Background:
ขิง (Zingiber officinale) มีน้ำมันหอมระเหยและสารเผ็ดร้อนกลุ่มฟีนอล
🎯 ทำไมข้อนี้ถึงถูก:
เหง้าขิงมีสาร Gingerols และ Shogaols มีฤทธิ์ขับลม (Carminative) กระตุ้นการหลั่งเอนไซม์ย่อยอาหาร เร่งการบีบตัวของกระเพาะอาหาร (Gastric emptying) จึงช่วยบรรเทาอาการจุกแน่น ท้องอืด ท้องเฟ้อ ได้อย่างมีประสิทธิภาพ
🔍 ข้ออื่นผิดเพราะอะไร:
• ข้อ ข. ชุมเห็ดเทศ, ข้อ ค. มะขามแขก: ยาระบาย
• ข้อ ง. บัวบก: สมานแผล
• ข้อ จ. รางจืด: ล้างพิษ
📖 Guideline อ้างอิง:
ประกาศกระทรวงสาธารณสุข เรื่อง สมุนไพรในงานสาธารณสุขมูลฐาน &amp; Thai Herbal Pharmacopoeia (THP)
📌 จุดจำก่อนสอบ:
• ขิง: ขับลม แก้คลื่นไส้อาเจียน เร่งการขับอาหารออกจากกระเพาะอาหาร</t>
        </is>
      </c>
      <c r="K46" s="2" t="n"/>
      <c r="L46" s="2" t="inlineStr">
        <is>
          <t>Herbal Extraction methods</t>
        </is>
      </c>
      <c r="M46" s="2" t="inlineStr">
        <is>
          <t>Product</t>
        </is>
      </c>
      <c r="N46" s="2" t="inlineStr">
        <is>
          <t>ข้อ 16 (Pharmtutor_2024_Set2.md)</t>
        </is>
      </c>
      <c r="O46" s="2" t="n"/>
      <c r="P46" s="2" t="n"/>
    </row>
    <row r="47" ht="13.2" customHeight="1" s="49">
      <c r="A47" s="2" t="n">
        <v>45</v>
      </c>
      <c r="B47" s="2"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C47" s="2" t="n"/>
      <c r="D47" s="2" t="inlineStr">
        <is>
          <t>มะแว้งต้น</t>
        </is>
      </c>
      <c r="E47" s="2" t="inlineStr">
        <is>
          <t>มะขามป้อม</t>
        </is>
      </c>
      <c r="F47" s="2" t="inlineStr">
        <is>
          <t>มะระขี้นก</t>
        </is>
      </c>
      <c r="G47" s="2" t="inlineStr">
        <is>
          <t>มะนาว</t>
        </is>
      </c>
      <c r="H47" s="2" t="inlineStr">
        <is>
          <t>มะหาด</t>
        </is>
      </c>
      <c r="I47" s="2" t="n">
        <v>3</v>
      </c>
      <c r="J47" s="2" t="inlineStr">
        <is>
          <t>✅ คำตอบที่ถูกต้อง: ข้อ ค. มะระขี้นก
💡 Background:
มะระขี้นก (Momordica charantia) วงศ์ Cucurbitaceae เป็นสมุนไพรยอดนิยมในการควบคุมระดับน้ำตาล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Charantin, Polypeptide-p ลดน้ำตาลในเลือด ระวังภาวะ Hypoglycemia</t>
        </is>
      </c>
      <c r="K47" s="2" t="n"/>
      <c r="L47" s="2" t="inlineStr">
        <is>
          <t>Herbal Extraction methods</t>
        </is>
      </c>
      <c r="M47" s="2" t="inlineStr">
        <is>
          <t>Product</t>
        </is>
      </c>
      <c r="N47" s="2" t="inlineStr">
        <is>
          <t>ข้อ 17 (PLE_CC1_2557.md)</t>
        </is>
      </c>
      <c r="O47" s="2" t="n"/>
      <c r="P47" s="2" t="n"/>
    </row>
    <row r="48" ht="13.2" customHeight="1" s="49">
      <c r="A48" s="2" t="n">
        <v>46</v>
      </c>
      <c r="B48" s="2"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C48" s="2" t="n"/>
      <c r="D48" s="2" t="inlineStr">
        <is>
          <t>1A 301/50</t>
        </is>
      </c>
      <c r="E48" s="2" t="inlineStr">
        <is>
          <t>2D 11/51</t>
        </is>
      </c>
      <c r="F48" s="2" t="inlineStr">
        <is>
          <t>3G 32/52</t>
        </is>
      </c>
      <c r="G48" s="2" t="inlineStr">
        <is>
          <t>2G 18/53</t>
        </is>
      </c>
      <c r="H48" s="2" t="inlineStr">
        <is>
          <t>1J 102/54</t>
        </is>
      </c>
      <c r="I48" s="2" t="n">
        <v>4</v>
      </c>
      <c r="J48" s="2" t="inlineStr">
        <is>
          <t>✅ คำตอบที่ถูกต้อง: ข้อ ง. 2G 18/53
💡 Background:
ระบบรหัสทะเบียนตำรับยาของสำนักงานคณะกรรมการอาหารและยา (อย.) ประเทศไทย มีการใช้ตัวอักษรภาษาอังกฤษเพื่อระบุประเภทของยาอย่างเคร่งครัด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
📖 Guideline อ้างอิง:
คู่มือการขึ้นทะเบียนตำรับยา สำนักงานคณะกรรมการอาหารและยา (อย.) กระทรวงสาธารณสุข
📌 จุดจำก่อนสอบ:
• ทะเบียนยา อย.: A = ยาแผนปัจจุบันผลิตในประเทศ, B = ยาแผนปัจจุบันนำเข้า, G = ยาแผนโบราณผลิตในประเทศ, K = ยาแผนโบราณนำเข้า</t>
        </is>
      </c>
      <c r="K48" s="2" t="n"/>
      <c r="L48" s="2" t="inlineStr">
        <is>
          <t>Herbal Extraction methods</t>
        </is>
      </c>
      <c r="M48" s="2" t="inlineStr">
        <is>
          <t>Product</t>
        </is>
      </c>
      <c r="N48" s="2" t="inlineStr">
        <is>
          <t>ข้อ 18 (PLE_CC1_2557.md)</t>
        </is>
      </c>
      <c r="O48" s="2" t="n"/>
      <c r="P48" s="2" t="n"/>
    </row>
    <row r="49" ht="13.2" customHeight="1" s="49">
      <c r="A49" s="2" t="n">
        <v>47</v>
      </c>
      <c r="B49" s="2"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C49" s="2" t="n"/>
      <c r="D49" s="2" t="inlineStr">
        <is>
          <t>เหง้าขิงแก่</t>
        </is>
      </c>
      <c r="E49" s="2" t="inlineStr">
        <is>
          <t>ผลยอสุก</t>
        </is>
      </c>
      <c r="F49" s="2" t="inlineStr">
        <is>
          <t>ผลฝรั่งอ่อน</t>
        </is>
      </c>
      <c r="G49" s="2" t="inlineStr">
        <is>
          <t>ใบชุมเห็ดเทศ</t>
        </is>
      </c>
      <c r="H49" s="2" t="inlineStr">
        <is>
          <t>ดอกกานพลู</t>
        </is>
      </c>
      <c r="I49" s="2" t="n">
        <v>1</v>
      </c>
      <c r="J49" s="2" t="inlineStr">
        <is>
          <t>✅ คำตอบที่ถูกต้อง: ข้อ ก. เหง้าขิงแก่
💡 Background:
ขิงแก่มีปริมาณน้ำมันหอมระเหยและสารกลุ่มฟีนอลิกเข้มข้นกว่าขิงอ่อน นิยมใช้เป็นยาขับลมและแก้อาเจียน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
📖 Guideline อ้างอิง:
ประกาศกระทรวงสาธารณสุข เรื่อง สมุนไพรในงานสาธารณสุขมูลฐาน &amp; Thai Herbal Pharmacopoeia (THP)
📌 จุดจำก่อนสอบ:
• เหง้าขิงแก่: ขับลม แก้คลื่นไส้อาเจียน เมารถ เมาเรือ แพ้ท้อง</t>
        </is>
      </c>
      <c r="K49" s="2" t="n"/>
      <c r="L49" s="2" t="inlineStr">
        <is>
          <t>Herbal Extraction methods</t>
        </is>
      </c>
      <c r="M49" s="2" t="inlineStr">
        <is>
          <t>Product</t>
        </is>
      </c>
      <c r="N49" s="2" t="inlineStr">
        <is>
          <t>ข้อ 24 (PLE_CC1_2557.md)</t>
        </is>
      </c>
      <c r="O49" s="2" t="n"/>
      <c r="P49" s="2" t="n"/>
    </row>
    <row r="50" ht="13.2" customHeight="1" s="49">
      <c r="A50" s="2" t="n">
        <v>48</v>
      </c>
      <c r="B50" s="2"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C50" s="2" t="n"/>
      <c r="D50" s="2" t="inlineStr">
        <is>
          <t>ขมิ้นชัน</t>
        </is>
      </c>
      <c r="E50" s="2" t="inlineStr">
        <is>
          <t>ขี้เหล็ก</t>
        </is>
      </c>
      <c r="F50" s="2" t="inlineStr">
        <is>
          <t>ขิง</t>
        </is>
      </c>
      <c r="G50" s="2" t="inlineStr">
        <is>
          <t>กระเจี๊ยบแดง</t>
        </is>
      </c>
      <c r="H50" s="2" t="inlineStr">
        <is>
          <t>หญ้าหนวดแมว</t>
        </is>
      </c>
      <c r="I50" s="2" t="n">
        <v>2</v>
      </c>
      <c r="J50" s="2" t="inlineStr">
        <is>
          <t>✅ คำตอบที่ถูกต้อง: ข้อ ข. ขี้เหล็ก
💡 Background:
ใบและดอกขี้เหล็ก (Cassia siamea) เดิมใช้เป็นยาแผนโบราณช่วยให้นอนหลับและเจริญอาหาร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 ห้ามใช้ในโรคตับ!</t>
        </is>
      </c>
      <c r="K50" s="2" t="n"/>
      <c r="L50" s="2" t="inlineStr">
        <is>
          <t>Herbal Extraction methods</t>
        </is>
      </c>
      <c r="M50" s="2" t="inlineStr">
        <is>
          <t>Product</t>
        </is>
      </c>
      <c r="N50" s="2" t="inlineStr">
        <is>
          <t>ข้อ 61 (PLE_CC1_2557.md)</t>
        </is>
      </c>
      <c r="O50" s="2" t="n"/>
      <c r="P50" s="2" t="n"/>
    </row>
    <row r="51" ht="13.2" customHeight="1" s="49">
      <c r="A51" s="2" t="n">
        <v>49</v>
      </c>
      <c r="B51" s="2"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C51" s="2" t="n"/>
      <c r="D51" s="2" t="inlineStr">
        <is>
          <t>ชะเอมเทศ</t>
        </is>
      </c>
      <c r="E51" s="2" t="inlineStr">
        <is>
          <t>กวาวเครือขาว</t>
        </is>
      </c>
      <c r="F51" s="2" t="inlineStr">
        <is>
          <t>ยี่โถ</t>
        </is>
      </c>
      <c r="G51" s="2" t="inlineStr">
        <is>
          <t>มะคำดีควาย</t>
        </is>
      </c>
      <c r="H51" s="2" t="inlineStr">
        <is>
          <t>บัวบก</t>
        </is>
      </c>
      <c r="I51" s="2" t="n">
        <v>2</v>
      </c>
      <c r="J51" s="2" t="inlineStr">
        <is>
          <t>✅ คำตอบที่ถูกต้อง: ข้อ ข. กวาวเครือขาว
💡 Background:
กวาวเครือขาว (Pueraria mirifica) วงศ์ Fabaceae เป็นสมุนไพรไทยที่มีสารออกฤทธิ์เสมือนฮอร์โมนเพศหญิง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
📖 Guideline อ้างอิง:
ประกาศกระทรวงสาธารณสุข เรื่อง การควบคุมการใช้กวาวเครือ &amp; Thai Herbal Pharmacopoeia (THP)
📌 จุดจำก่อนสอบ:
• กวาวเครือขาว (Pueraria mirifica): Miroestrol &amp; Deoxymiroestrol มีฤทธิ์คล้าย Estrogen
• ข้อห้ามใช้: ผู้ป่วยมะเร็งเต้านม มะเร็งมดลูก หรือเนื้องอกที่ตอบสนองต่อฮอร์โมน</t>
        </is>
      </c>
      <c r="K51" s="2" t="n"/>
      <c r="L51" s="2" t="inlineStr">
        <is>
          <t>Herbal Extraction methods</t>
        </is>
      </c>
      <c r="M51" s="2" t="inlineStr">
        <is>
          <t>Product</t>
        </is>
      </c>
      <c r="N51" s="2" t="inlineStr">
        <is>
          <t>ข้อ 42 (PLE_CC1_2557.md)</t>
        </is>
      </c>
      <c r="O51" s="2" t="n"/>
      <c r="P51" s="2" t="n"/>
    </row>
    <row r="52" ht="13.2" customHeight="1" s="49">
      <c r="A52" s="2" t="n">
        <v>50</v>
      </c>
      <c r="B52" s="2"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C52" s="2" t="n"/>
      <c r="D52" s="2" t="inlineStr">
        <is>
          <t>ดื่มน้ำคั้นมะระขี้นก 100 mL ก่อนอาหารกลางวันเป็นประจำ</t>
        </is>
      </c>
      <c r="E52" s="2" t="inlineStr">
        <is>
          <t>ดื่มชาชงชุมเห็ดเทศเป็นครั้งคราวเมื่อมีอาการท้องผูก</t>
        </is>
      </c>
      <c r="F52" s="2" t="inlineStr">
        <is>
          <t>รับประทานแคปซูลขมิ้นชันหลังอาหารเพื่อขับลม</t>
        </is>
      </c>
      <c r="G52" s="2" t="inlineStr">
        <is>
          <t>รับประทานยาเม็ดฟ้าทะลายโจรเมื่อมีอาการเจ็บคอ</t>
        </is>
      </c>
      <c r="H52" s="2" t="inlineStr">
        <is>
          <t>รับประทานแคปซูลใบบัวบกเพื่อบรรเทาอาการฟกช้ำ</t>
        </is>
      </c>
      <c r="I52" s="2" t="n">
        <v>1</v>
      </c>
      <c r="J52" s="2" t="inlineStr">
        <is>
          <t>✅ คำตอบที่ถูกต้อง: ข้อ ก. ดื่มน้ำคั้นมะระขี้นก 100 mL ก่อนอาหารกลางวันเป็นประจำ
💡 Background:
มะระขี้นก (Momordica charantia) มีฤทธิ์ลดระดับน้ำตาลในเลือดที่ทรงพลังผ่านสาร Charantin และ Polypeptide-p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
📖 Guideline อ้างอิง:
แนวทางเวชปฏิบัติสำหรับโรคเบาหวาน พ.ศ. 2566 สมาคมโรคเบาหวานแห่งประเทศไทย &amp; ประกาศกระทรวงสาธารณสุข เรื่อง สมุนไพรในงานสาธารณสุขมูลฐาน
📌 จุดจำก่อนสอบ:
• มะระขี้นก เสริมฤทธิ์ยาลดน้ำตาล -&gt; เกิด Hypoglycemia ได้ ต้องติดตามระดับน้ำตาลสม่ำเสมอ</t>
        </is>
      </c>
      <c r="K52" s="2" t="n"/>
      <c r="L52" s="2" t="inlineStr">
        <is>
          <t>Herbal Extraction methods</t>
        </is>
      </c>
      <c r="M52" s="2" t="inlineStr">
        <is>
          <t>Product</t>
        </is>
      </c>
      <c r="N52" s="2" t="inlineStr">
        <is>
          <t>ข้อ 5 (PLE_CC1_2556.md)</t>
        </is>
      </c>
      <c r="O52" s="2" t="n"/>
      <c r="P52" s="2" t="n"/>
    </row>
    <row r="53" ht="13.2" customHeight="1" s="49">
      <c r="A53" s="2" t="n">
        <v>51</v>
      </c>
      <c r="B53" s="2"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C53" s="2" t="n"/>
      <c r="D53" s="2" t="inlineStr">
        <is>
          <t>กระเทียม</t>
        </is>
      </c>
      <c r="E53" s="2" t="inlineStr">
        <is>
          <t>ยอ</t>
        </is>
      </c>
      <c r="F53" s="2" t="inlineStr">
        <is>
          <t>ขมิ้นชัน</t>
        </is>
      </c>
      <c r="G53" s="2" t="inlineStr">
        <is>
          <t>พญายอ</t>
        </is>
      </c>
      <c r="H53" s="2" t="inlineStr">
        <is>
          <t>ฟ้าทะลายโจร</t>
        </is>
      </c>
      <c r="I53" s="2" t="n">
        <v>4</v>
      </c>
      <c r="J53" s="2" t="inlineStr">
        <is>
          <t>✅ คำตอบที่ถูกต้อง: ข้อ ง. พญายอ
💡 Background:
โรคงูสวัด (Herpes Zoster) เกิดจากการกำเริบของเชื้อไวรัส Varicella Zoster Virus (VZV) ที่แฝงตัวอยู่ในปมประสาทรับความรู้สึก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พญายอ (ส่วนใบ): สมุนไพรสาธารณสุขมูลฐานรักษางูสวัดและเริม</t>
        </is>
      </c>
      <c r="K53" s="2" t="n"/>
      <c r="L53" s="2" t="inlineStr">
        <is>
          <t>Herbal Extraction methods</t>
        </is>
      </c>
      <c r="M53" s="2" t="inlineStr">
        <is>
          <t>Product</t>
        </is>
      </c>
      <c r="N53" s="2" t="inlineStr">
        <is>
          <t>ข้อ 3 (PLE_CC1_2554 SET2.md)</t>
        </is>
      </c>
      <c r="O53" s="2" t="n"/>
      <c r="P53" s="2" t="n"/>
    </row>
    <row r="54" ht="13.2" customHeight="1" s="49">
      <c r="A54" s="2" t="n">
        <v>52</v>
      </c>
      <c r="B54" s="2"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C54" s="2" t="n"/>
      <c r="D54" s="2" t="inlineStr">
        <is>
          <t>ฝรั่ง</t>
        </is>
      </c>
      <c r="E54" s="2" t="inlineStr">
        <is>
          <t>ขมิ้นชัน</t>
        </is>
      </c>
      <c r="F54" s="2" t="inlineStr">
        <is>
          <t>หอมแดง</t>
        </is>
      </c>
      <c r="G54" s="2" t="inlineStr">
        <is>
          <t>กานพลู</t>
        </is>
      </c>
      <c r="H54" s="2" t="inlineStr">
        <is>
          <t>ฟ้าทะลายโจร</t>
        </is>
      </c>
      <c r="I54" s="2" t="n">
        <v>2</v>
      </c>
      <c r="J54" s="2" t="inlineStr">
        <is>
          <t>✅ คำตอบที่ถูกต้อง: ข้อ ข. ขมิ้นชัน
💡 Background:
อาการอาหารไม่ย่อยแบบไม่พบแผล (Functional dyspepsia) มักสัมพันธ์กับการบีบตัวของทางเดินอาหารช้าลงและการย่อยไขมันไม่มีประสิทธิภาพ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
📖 Guideline อ้างอิง:
ประกาศกระทรวงสาธารณสุข เรื่อง สมุนไพรในงานสาธารณสุขมูลฐาน &amp; Thai Herbal Pharmacopoeia (THP)
📌 จุดจำก่อนสอบ:
• ขมิ้นชัน: ขับน้ำดี ย่อยไขมัน ขับลม บรรเทาอาการจุกเสียด ท้องอืด</t>
        </is>
      </c>
      <c r="K54" s="2" t="n"/>
      <c r="L54" s="2" t="inlineStr">
        <is>
          <t>Herbal Extraction methods</t>
        </is>
      </c>
      <c r="M54" s="2" t="inlineStr">
        <is>
          <t>Product</t>
        </is>
      </c>
      <c r="N54" s="2" t="inlineStr">
        <is>
          <t>ข้อ 7 (PLE_CC1_2533.md)</t>
        </is>
      </c>
      <c r="O54" s="2" t="n"/>
      <c r="P54" s="2" t="n"/>
    </row>
    <row r="55" ht="13.2" customHeight="1" s="49">
      <c r="A55" s="2" t="n">
        <v>53</v>
      </c>
      <c r="B55" s="2"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C55" s="2" t="n"/>
      <c r="D55" s="2" t="inlineStr">
        <is>
          <t>น้ำมันหอมระเหย (Volatile oils เช่น Turmerone, Zingiberene)</t>
        </is>
      </c>
      <c r="E55" s="2" t="inlineStr">
        <is>
          <t>สารสกัดเคอร์คูมินอยด์ (Curcuminoids)</t>
        </is>
      </c>
      <c r="F55" s="2" t="inlineStr">
        <is>
          <t>สารแทนนิน (Tannins)</t>
        </is>
      </c>
      <c r="G55" s="2" t="inlineStr">
        <is>
          <t>สารอัลคาลอยด์ (Alkaloids)</t>
        </is>
      </c>
      <c r="H55" s="2" t="inlineStr">
        <is>
          <t>สารไกลโคไซด์ (Glycosides)</t>
        </is>
      </c>
      <c r="I55" s="2" t="n">
        <v>1</v>
      </c>
      <c r="J55" s="2" t="inlineStr">
        <is>
          <t>✅ คำตอบที่ถูกต้อง: ข้อ ก. น้ำมันหอมระเหย (Volatile oils เช่น Turmerone, Zingiberene)
💡 Background:
ขมิ้นชันมีองค์ประกอบทางเคมีที่สำคัญ 2 กลุ่มหลัก คือ สารสีเหลืองส้มเคอร์คูมินอยด์ และน้ำมันหอมระเหย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
📖 Guideline อ้างอิง:
Thai Herbal Pharmacopoeia (THP) Monograph: Curcuma Longa Rhizome &amp; WHO Monographs on Selected Medicinal Plants
📌 จุดจำก่อนสอบ:
• ขมิ้นชัน: Volatile oils (Turmerones) = ฤทธิ์ขับลม, Curcuminoids = ฤทธิ์ต้านอักเสบ/สมานแผลกระเพาะอาหาร</t>
        </is>
      </c>
      <c r="K55" s="2" t="n"/>
      <c r="L55" s="2" t="inlineStr">
        <is>
          <t>Herbal Extraction methods</t>
        </is>
      </c>
      <c r="M55" s="2" t="inlineStr">
        <is>
          <t>Product</t>
        </is>
      </c>
      <c r="N55" s="2" t="inlineStr">
        <is>
          <t>ข้อ 5 (PLE_CC1_2533.md)</t>
        </is>
      </c>
      <c r="O55" s="2" t="n"/>
      <c r="P55" s="2" t="n"/>
    </row>
    <row r="56" ht="13.2" customHeight="1" s="49">
      <c r="A56" s="2" t="n">
        <v>54</v>
      </c>
      <c r="B56" s="2"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C56" s="2" t="n"/>
      <c r="D56" s="2" t="inlineStr">
        <is>
          <t>โรคธาลัสซีเมีย (Thalassemia)</t>
        </is>
      </c>
      <c r="E56" s="2" t="inlineStr">
        <is>
          <t>ภาวะโลหิตจางจากการขาดโฟเลต (Folate deficiency anemia)</t>
        </is>
      </c>
      <c r="F56" s="2" t="inlineStr">
        <is>
          <t>โรคกระดูกพรุน (Osteoporosis)</t>
        </is>
      </c>
      <c r="G56" s="2" t="inlineStr">
        <is>
          <t>โรคแผลในกระเพาะอาหาร (Peptic ulcer disease)</t>
        </is>
      </c>
      <c r="H56" s="2" t="inlineStr">
        <is>
          <t>ภาวะโลหิตจางจากการขาดธาตุเหล็ก (Iron deficiency anemia)</t>
        </is>
      </c>
      <c r="I56" s="2" t="n">
        <v>1</v>
      </c>
      <c r="J56" s="2" t="inlineStr">
        <is>
          <t>✅ คำตอบที่ถูกต้อง: ข้อ ก. โรคธาลัสซีเมีย (Thalassemia)
💡 Background:
โรคธาลัสซีเมีย (Thalassemia) เป็นโรคทางพันธุกรรมที่มีความผิดปกติในการสังเคราะห์สายโกลบิน ทำให้เม็ดเลือดแดงแตกง่ายเรื้อรัง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
📖 Guideline อ้างอิง:
แนวทางเวชปฏิบัติการดูแลรักษาผู้ป่วยโรคธาลัสซีเมียในประเทศไทย พ.ศ. 2560 &amp; Thalassaemia International Federation (TIF) Guidelines
📌 จุดจำก่อนสอบ:
• Thalassemia ห้ามให้ยาเสริมธาตุเหล็กโดยเด็ดขาด ยกเว้นได้รับการตรวจยืนยันว่ามีภาวะขาดเหล็กร่วมด้วยจริง</t>
        </is>
      </c>
      <c r="K56" s="2" t="n"/>
      <c r="L56" s="2" t="inlineStr">
        <is>
          <t>Herbal Extraction methods</t>
        </is>
      </c>
      <c r="M56" s="2" t="inlineStr">
        <is>
          <t>Product</t>
        </is>
      </c>
      <c r="N56" s="2" t="inlineStr">
        <is>
          <t>ข้อ 7 (PLE_CC1_2533.md)</t>
        </is>
      </c>
      <c r="O56" s="2" t="n"/>
      <c r="P56" s="2" t="n"/>
    </row>
    <row r="57" ht="13.2" customHeight="1" s="49">
      <c r="A57" s="2" t="n">
        <v>55</v>
      </c>
      <c r="B57" s="2" t="inlineStr">
        <is>
          <t>สมุนไพรในงานสาธารณสุขมูลฐานข้อใดที่มีรสขมจัด มีสารสำคัญช่วยกระตุ้นการหลั่งน้ำย่อยและแก้อาการเบื่ออาหาร</t>
        </is>
      </c>
      <c r="C57" s="2" t="n"/>
      <c r="D57" s="2" t="inlineStr">
        <is>
          <t>บอระเพ็ด</t>
        </is>
      </c>
      <c r="E57" s="2" t="inlineStr">
        <is>
          <t>ขิง</t>
        </is>
      </c>
      <c r="F57" s="2" t="inlineStr">
        <is>
          <t>มังคุด</t>
        </is>
      </c>
      <c r="G57" s="2" t="inlineStr">
        <is>
          <t>ไพล</t>
        </is>
      </c>
      <c r="H57" s="2" t="inlineStr">
        <is>
          <t>ชุมเห็ดเทศ</t>
        </is>
      </c>
      <c r="I57" s="2" t="n">
        <v>1</v>
      </c>
      <c r="J57" s="2" t="inlineStr">
        <is>
          <t>✅ คำตอบที่ถูกต้อง: ข้อ ก. บอระเพ็ด
💡 Background:
บอระเพ็ด (Tinospora crispa) วงศ์ Menispermaceae เป็นสมุนไพรรสขมจัดที่มีการใช้ในตำรับยาแก้ไข้และยาบำรุงธาตุ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
📖 Guideline อ้างอิง:
ประกาศกระทรวงสาธารณสุข เรื่อง สมุนไพรในงานสาธารณสุขมูลฐาน &amp; Thai Herbal Pharmacopoeia (THP)
📌 จุดจำก่อนสอบ:
• บอระเพ็ด (เถา): รสขม แก้ไข้ เจริญอาหาร แก้อาการเบื่ออาหาร</t>
        </is>
      </c>
      <c r="K57" s="2" t="n"/>
      <c r="L57" s="2" t="inlineStr">
        <is>
          <t>Herbal Extraction methods</t>
        </is>
      </c>
      <c r="M57" s="2" t="inlineStr">
        <is>
          <t>Product</t>
        </is>
      </c>
      <c r="N57" s="2" t="inlineStr">
        <is>
          <t>ข้อ 5 (PLE_CC1_2533.md)</t>
        </is>
      </c>
      <c r="O57" s="2" t="n"/>
      <c r="P57" s="2" t="n"/>
    </row>
    <row r="58" ht="13.2" customHeight="1" s="49">
      <c r="A58" s="2" t="n">
        <v>56</v>
      </c>
      <c r="B58" s="2"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C58" s="2" t="n"/>
      <c r="D58" s="2" t="inlineStr">
        <is>
          <t>ถูกต้อง หากได้รับอนุญาตให้ขึ้นทะเบียนตำรับยาสมุนไพรแล้ว</t>
        </is>
      </c>
      <c r="E58" s="2" t="inlineStr">
        <is>
          <t>ถูกต้อง หากเป็นผลิตภัณฑ์สมุนไพรที่จำหน่ายในร้านขายยา</t>
        </is>
      </c>
      <c r="F58" s="2"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58" s="2" t="inlineStr">
        <is>
          <t>ไม่ถูกต้อง เฉพาะกรณีที่ไม่ได้ส่งมอบยาโดยแพทย์แผนปัจจุบัน</t>
        </is>
      </c>
      <c r="H58" s="2" t="inlineStr">
        <is>
          <t>ถูกต้อง หากผลิตภัณฑ์นั้นได้รับเครื่องหมายมาตรฐานอุตสาหกรรม (มอก.)</t>
        </is>
      </c>
      <c r="I58" s="2" t="n">
        <v>3</v>
      </c>
      <c r="J58" s="2"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Background:
การคุ้มครองผู้บริโภคด้านผลิตภัณฑ์สุขภาพตาม พ.ร.บ. ผลิตภัณฑ์สมุนไพร พ.ศ. 2562 และ พ.ร.บ. ยา พ.ศ. 2510 มีบทบัญญัติควบคุมการโฆษณาอย่างเข้มงวด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
📖 Guideline อ้างอิง:
พระราชบัญญัติผลิตภัณฑ์สมุนไพร พ.ศ. 2562 (หมวด 8 การโฆษณา มาตรา 69-74) &amp; พระราชบัญญัติยา พ.ศ. 2510 (มาตรา 88)
📌 จุดจำก่อนสอบ:
• การโฆษณายา/สมุนไพร: ต้องขออนุญาตก่อน, ห้ามโอ้อวดเกินจริง, ห้ามใช้บุคคลรับรอง, ห้ามโฆษณาโรคต้องห้าม (มะเร็ง, เบาหวาน, เอดส์, อัมพาต, กามโรค)</t>
        </is>
      </c>
      <c r="K58" s="2" t="n"/>
      <c r="L58" s="2" t="inlineStr">
        <is>
          <t>Herbal Extraction methods</t>
        </is>
      </c>
      <c r="M58" s="2" t="inlineStr">
        <is>
          <t>Product</t>
        </is>
      </c>
      <c r="N58" s="2" t="inlineStr">
        <is>
          <t>ข้อ 3 (PLE_CC1_2533.md)</t>
        </is>
      </c>
      <c r="O58" s="2" t="n"/>
      <c r="P58" s="2" t="n"/>
    </row>
    <row r="59" ht="13.2" customHeight="1" s="49">
      <c r="A59" s="2" t="n">
        <v>57</v>
      </c>
      <c r="B59" s="2"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C59" s="2" t="n"/>
      <c r="D59" s="2" t="inlineStr">
        <is>
          <t>มะแว้งต้น</t>
        </is>
      </c>
      <c r="E59" s="2" t="inlineStr">
        <is>
          <t>ขมิ้นชัน</t>
        </is>
      </c>
      <c r="F59" s="2" t="inlineStr">
        <is>
          <t>ฟ้าทะลายโจร</t>
        </is>
      </c>
      <c r="G59" s="2" t="inlineStr">
        <is>
          <t>ชุมเห็ดเทศ</t>
        </is>
      </c>
      <c r="H59" s="2" t="inlineStr">
        <is>
          <t>บัวบก</t>
        </is>
      </c>
      <c r="I59" s="2" t="n">
        <v>1</v>
      </c>
      <c r="J59" s="2" t="inlineStr">
        <is>
          <t>✅ คำตอบที่ถูกต้อง: ข้อ ก. มะแว้งต้น
💡 Background:
มะแว้งต้น (Solanum trilobatum) และมะแว้งเครือ (Solanum indicum) เป็นสมุนไพรแก้ไอขับเสมหะที่สำคัญในตำรับยาประสะมะแว้ง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
📖 Guideline อ้างอิง:
ประกาศกระทรวงสาธารณสุข เรื่อง สมุนไพรในงานสาธารณสุขมูลฐาน &amp; Thai Herbal Pharmacopoeia (THP)
📌 จุดจำก่อนสอบ:
• มะแว้งต้น / มะแว้งเครือ: ผลสดเคี้ยวกลืนน้ำ หรือ ยาประสะมะแว้ง แก้ไอ ขับเสมหะ</t>
        </is>
      </c>
      <c r="K59" s="2" t="n"/>
      <c r="L59" s="2" t="inlineStr">
        <is>
          <t>Herbal Extraction methods</t>
        </is>
      </c>
      <c r="M59" s="2" t="inlineStr">
        <is>
          <t>Product</t>
        </is>
      </c>
      <c r="N59" s="2" t="inlineStr">
        <is>
          <t>ข้อ 14 (PLE_CC1_Practice_Exam.md)</t>
        </is>
      </c>
      <c r="O59" s="2" t="n"/>
      <c r="P59" s="2" t="n"/>
    </row>
    <row r="60" ht="13.2" customHeight="1" s="49">
      <c r="A60" s="2" t="n">
        <v>58</v>
      </c>
      <c r="B60" s="2"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C60" s="2" t="n"/>
      <c r="D60" s="2" t="inlineStr">
        <is>
          <t>เปลี่ยนยา Amlodipine เป็นยารักษาความดันโลหิตสูงกลุ่มอื่น เช่น ACEI หรือ ARB</t>
        </is>
      </c>
      <c r="E60" s="2" t="inlineStr">
        <is>
          <t>ใช้ยาตามเดิมและติดตามอาการเป็นระยะ</t>
        </is>
      </c>
      <c r="F60" s="2" t="inlineStr">
        <is>
          <t>เปลี่ยนยาสำหรับรักษาความดันโลหิตทั้ง 2 ตัว พร้อมออกบัตรแพ้ยาให้แก่ผู้ป่วย</t>
        </is>
      </c>
      <c r="G60" s="2" t="inlineStr">
        <is>
          <t>ปรับลดขนาดยา Metformin ลงครึ่งหนึ่งเนื่องจากสงสัยไตวาย</t>
        </is>
      </c>
      <c r="H60" s="2" t="inlineStr">
        <is>
          <t>ให้ยาขับปัสสาวะขนาดสูงทันทีโดยไม่ปรับเปลี่ยน Amlodipine</t>
        </is>
      </c>
      <c r="I60" s="2" t="n">
        <v>1</v>
      </c>
      <c r="J60" s="2" t="inlineStr">
        <is>
          <t>✅ คำตอบที่ถูกต้อง: ข้อ ก. เปลี่ยนยา Amlodipine เป็นยารักษาความดันโลหิตสูงกลุ่มอื่น เช่น ACEI หรือ ARB
💡 Background:
อาการบวมบริเวณข้อเท้าและปลายเท้า (Peripheral edema) เป็นผลข้างเคียงที่ขึ้นกับขนาดยา (Dose-dependent adverse effect) ที่พบบ่อยของยากลุ่ม Dihydropyridine Calcium Channel Blockers (DHP-CCBs) เช่น Amlodipine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
📖 Guideline อ้างอิง:
2020 International Society of Hypertension (ISH) Global Hypertension Practice Guidelines &amp; แนวทางการรักษาโรคความดันโลหิตสูง สมาคมความดันโลหิตสูงแห่งประเทศไทย
📌 จุดจำก่อนสอบ:
• Amlodipine induced peripheral edema: เกิดจาก Precapillary vasodilation
• การจัดการ: ลดขนาดยา, เปลี่ยนยา, หรือใช้ร่วมกับ ACEI/ARB</t>
        </is>
      </c>
      <c r="K60" s="2" t="n"/>
      <c r="L60" s="2" t="inlineStr">
        <is>
          <t>Herbal Extraction methods</t>
        </is>
      </c>
      <c r="M60" s="2" t="inlineStr">
        <is>
          <t>Product</t>
        </is>
      </c>
      <c r="N60" s="2" t="inlineStr">
        <is>
          <t>ข้อ 32 (PLE_CC1_Practice_Exam.md)</t>
        </is>
      </c>
      <c r="O60" s="2" t="n"/>
      <c r="P60" s="2" t="n"/>
    </row>
    <row r="61" ht="13.2" customHeight="1" s="49">
      <c r="A61" s="2" t="n">
        <v>59</v>
      </c>
      <c r="B61" s="2"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C61" s="2" t="n"/>
      <c r="D61" s="2" t="inlineStr">
        <is>
          <t>เพกา</t>
        </is>
      </c>
      <c r="E61" s="2" t="inlineStr">
        <is>
          <t>ขมิ้นชัน</t>
        </is>
      </c>
      <c r="F61" s="2" t="inlineStr">
        <is>
          <t>ฟ้าทะลายโจร</t>
        </is>
      </c>
      <c r="G61" s="2" t="inlineStr">
        <is>
          <t>พริกไทย</t>
        </is>
      </c>
      <c r="H61" s="2" t="inlineStr">
        <is>
          <t>ตะไคร้</t>
        </is>
      </c>
      <c r="I61" s="2" t="n">
        <v>1</v>
      </c>
      <c r="J61" s="2" t="inlineStr">
        <is>
          <t>✅ คำตอบที่ถูกต้อง: ข้อ ก. เพกา
💡 Background:
เพกา (Oroxylum indicum) หรือลิ้นฟ้า วงศ์ Bignoniaceae นิยมใช้ส่วนเปลือกต้นและฝักอ่อนเป็นยาสมุนไพรและอาหาร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
📖 Guideline อ้างอิง:
ประกาศกระทรวงสาธารณสุข เรื่อง สมุนไพรในงานสาธารณสุขมูลฐาน &amp; Thai Herbal Pharmacopoeia (THP)
📌 จุดจำก่อนสอบ:
• เพกา (เปลือกต้น/เมล็ด): บรรเทาอาการไอ ขับเสมหะ ต้านการอักเสบ</t>
        </is>
      </c>
      <c r="K61" s="2" t="n"/>
      <c r="L61" s="2" t="inlineStr">
        <is>
          <t>Herbal Extraction methods</t>
        </is>
      </c>
      <c r="M61" s="2" t="inlineStr">
        <is>
          <t>Product</t>
        </is>
      </c>
      <c r="N61" s="2" t="inlineStr">
        <is>
          <t>ข้อ 1 (PLE_CC1_Practice_Exam.md)</t>
        </is>
      </c>
      <c r="O61" s="2" t="n"/>
      <c r="P61" s="2" t="n"/>
    </row>
    <row r="62" ht="13.2" customHeight="1" s="49">
      <c r="A62" s="2" t="n">
        <v>60</v>
      </c>
      <c r="B62" s="2"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C62" s="2" t="n"/>
      <c r="D62" s="2" t="inlineStr">
        <is>
          <t>ว่านหางจระเข้</t>
        </is>
      </c>
      <c r="E62" s="2" t="inlineStr">
        <is>
          <t>ผักคราดหัวแหวน</t>
        </is>
      </c>
      <c r="F62" s="2" t="inlineStr">
        <is>
          <t>ฝรั่ง</t>
        </is>
      </c>
      <c r="G62" s="2" t="inlineStr">
        <is>
          <t>ตะไคร้</t>
        </is>
      </c>
      <c r="H62" s="2" t="inlineStr">
        <is>
          <t>บอระเพ็ด</t>
        </is>
      </c>
      <c r="I62" s="2" t="n">
        <v>1</v>
      </c>
      <c r="J62" s="2" t="inlineStr">
        <is>
          <t>✅ คำตอบที่ถูกต้อง: ข้อ ก. ว่านหางจระเข้
💡 Background:
ว่านหางจระเข้ (Aloe vera) เป็นสมุนไพรสาธารณสุขมูลฐานอันดับหนึ่งสำหรับแผลไฟไหม้ น้ำร้อนลวก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
📖 Guideline อ้างอิง:
ประกาศกระทรวงสาธารณสุข เรื่อง สมุนไพรในงานสาธารณสุขมูลฐาน &amp; Thai Herbal Pharmacopoeia (THP)
📌 จุดจำก่อนสอบ:
• ว่านหางจระเข้: ปอกเปลือก ล้างยางสีเหลือง (Aloin) ออกให้หมด ใช้วุ้นใสนปิดแผลไฟไหม้ น้ำร้อนลวก</t>
        </is>
      </c>
      <c r="K62" s="2" t="n"/>
      <c r="L62" s="2" t="inlineStr">
        <is>
          <t>Herbal Extraction methods</t>
        </is>
      </c>
      <c r="M62" s="2" t="inlineStr">
        <is>
          <t>Product</t>
        </is>
      </c>
      <c r="N62" s="2" t="inlineStr">
        <is>
          <t>ข้อ 2 (PLE_CC1_Practice_Exam.md)</t>
        </is>
      </c>
      <c r="O62" s="2" t="n"/>
      <c r="P62" s="2" t="n"/>
    </row>
    <row r="63" ht="13.2" customHeight="1" s="49">
      <c r="A63" s="2" t="n">
        <v>61</v>
      </c>
      <c r="B63" s="2" t="inlineStr">
        <is>
          <t>สมุนไพรในข้อใดที่มีสารอัลคาลอยด์ Arecoline และมีสรรพคุณตามตำรายาไทยในการถ่ายพยาธิตัวตืดและพยาธิใบไม้</t>
        </is>
      </c>
      <c r="C63" s="2" t="n"/>
      <c r="D63" s="2" t="inlineStr">
        <is>
          <t>หมาก</t>
        </is>
      </c>
      <c r="E63" s="2" t="inlineStr">
        <is>
          <t>สับปะรด</t>
        </is>
      </c>
      <c r="F63" s="2" t="inlineStr">
        <is>
          <t>กระเจี๊ยบมอญ</t>
        </is>
      </c>
      <c r="G63" s="2" t="inlineStr">
        <is>
          <t>กานพลู</t>
        </is>
      </c>
      <c r="H63" s="2" t="inlineStr">
        <is>
          <t>ตะไคร้</t>
        </is>
      </c>
      <c r="I63" s="2" t="n">
        <v>1</v>
      </c>
      <c r="J63" s="2" t="inlineStr">
        <is>
          <t>✅ คำตอบที่ถูกต้อง: ข้อ ก. หมาก
💡 Background:
หมาก (Areca catechu) วงศ์ Arecaceae เมล็ดหมากมีประวัติการใช้เป็นยาถ่ายพยาธิในสัตว์และมนุษย์มาแต่โบราณ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
📖 Guideline อ้างอิง:
Thai Herbal Pharmacopoeia (THP) &amp; WHO Monographs on Selected Medicinal Plants
📌 จุดจำก่อนสอบ:
• หมาก (Arecoline) = ถ่ายพยาธิตัวตืด
• เมล็ดฟักทอง (Cucurbitine) = ถ่ายพยาธิตัวตืด
• มะเกลือ (Diospyrol) = ถ่ายพยาธิไส้เดือน พยาธิปากขอ</t>
        </is>
      </c>
      <c r="K63" s="2" t="n"/>
      <c r="L63" s="2" t="inlineStr">
        <is>
          <t>Herbal Extraction methods</t>
        </is>
      </c>
      <c r="M63" s="2" t="inlineStr">
        <is>
          <t>Product</t>
        </is>
      </c>
      <c r="N63" s="2" t="inlineStr">
        <is>
          <t>ข้อ 5 (PLE_CC1_Practice_Exam.md)</t>
        </is>
      </c>
      <c r="O63" s="2" t="n"/>
      <c r="P63" s="2" t="n"/>
    </row>
    <row r="64" ht="13.2" customHeight="1" s="49">
      <c r="A64" s="2" t="n">
        <v>62</v>
      </c>
      <c r="B64" s="2" t="inlineStr">
        <is>
          <t>ยาเคมีบำบัดรักษามะเร็ง Vincristine และ Vinblastine มีสารตั้งต้นทางชีวภาพที่สกัดได้จากสมุนไพรชนิดใด</t>
        </is>
      </c>
      <c r="C64" s="2" t="n"/>
      <c r="D64" s="2" t="inlineStr">
        <is>
          <t>แพงพวยฝรั่ง</t>
        </is>
      </c>
      <c r="E64" s="2" t="inlineStr">
        <is>
          <t>Pacific Yew</t>
        </is>
      </c>
      <c r="F64" s="2" t="inlineStr">
        <is>
          <t>ลำโพง</t>
        </is>
      </c>
      <c r="G64" s="2" t="inlineStr">
        <is>
          <t>ดองดึง</t>
        </is>
      </c>
      <c r="H64" s="2" t="inlineStr">
        <is>
          <t>เสนียด</t>
        </is>
      </c>
      <c r="I64" s="2" t="n">
        <v>1</v>
      </c>
      <c r="J64" s="2" t="inlineStr">
        <is>
          <t>✅ คำตอบที่ถูกต้อง: ข้อ ก. แพงพวยฝรั่ง
💡 Background:
แพงพวยฝรั่ง (Catharanthus roseus / Vinca rosea) เป็นแหล่งผลิตสารต้านมะเร็งที่สำคัญระดับโลก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
📖 Guideline อ้างอิง:
Trease and Evans Pharmacognosy &amp; Goodman &amp; Gilman's The Pharmacological Basis of Therapeutics
📌 จุดจำก่อนสอบ:
• Catharanthus roseus = Vincristine, Vinblastine (Vinca alkaloids)</t>
        </is>
      </c>
      <c r="K64" s="2" t="n"/>
      <c r="L64" s="2" t="inlineStr">
        <is>
          <t>Herbal Extraction methods</t>
        </is>
      </c>
      <c r="M64" s="2" t="inlineStr">
        <is>
          <t>Product</t>
        </is>
      </c>
      <c r="N64" s="2" t="inlineStr">
        <is>
          <t>ข้อ 13 (PLE_CC1_Practice_Exam.md)</t>
        </is>
      </c>
      <c r="O64" s="2" t="n"/>
      <c r="P64" s="2" t="n"/>
    </row>
    <row r="65" ht="13.2" customHeight="1" s="49">
      <c r="A65" s="2" t="n">
        <v>63</v>
      </c>
      <c r="B65" s="2"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C65" s="2" t="n"/>
      <c r="D65" s="2" t="inlineStr">
        <is>
          <t>โคคา (Coca)</t>
        </is>
      </c>
      <c r="E65" s="2" t="inlineStr">
        <is>
          <t>บอระเพ็ด</t>
        </is>
      </c>
      <c r="F65" s="2" t="inlineStr">
        <is>
          <t>Pacific Yew</t>
        </is>
      </c>
      <c r="G65" s="2" t="inlineStr">
        <is>
          <t>เสลดพังพอน</t>
        </is>
      </c>
      <c r="H65" s="2" t="inlineStr">
        <is>
          <t>ว่านมหากาฬ</t>
        </is>
      </c>
      <c r="I65" s="2" t="n">
        <v>1</v>
      </c>
      <c r="J65" s="2" t="inlineStr">
        <is>
          <t>✅ คำตอบที่ถูกต้อง: ข้อ ก. โคคา (Coca)
💡 Background:
โคคา (Erythroxylum coca) เป็นพืชพื้นเมืองของทวีปอเมริกาใต้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
📖 Guideline อ้างอิง:
Trease and Evans Pharmacognosy &amp; Goodman &amp; Gilman's The Pharmacological Basis of Therapeutics
📌 จุดจำก่อนสอบ:
• Erythroxylum coca -&gt; Cocaine (Local anesthetic ตัวแรก บล็อก Na+ channels + หดหลอดเลือด)</t>
        </is>
      </c>
      <c r="K65" s="2" t="n"/>
      <c r="L65" s="2" t="inlineStr">
        <is>
          <t>Herbal Extraction methods</t>
        </is>
      </c>
      <c r="M65" s="2" t="inlineStr">
        <is>
          <t>Product</t>
        </is>
      </c>
      <c r="N65" s="2" t="inlineStr">
        <is>
          <t>ข้อ 15 (PLE_CC1_Practice_Exam.md)</t>
        </is>
      </c>
      <c r="O65" s="2" t="n"/>
      <c r="P65" s="2" t="n"/>
    </row>
    <row r="66" ht="13.2" customHeight="1" s="49">
      <c r="A66" s="2" t="n">
        <v>64</v>
      </c>
      <c r="B66" s="2"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C66" s="2" t="n"/>
      <c r="D66" s="2" t="inlineStr">
        <is>
          <t>ขิง</t>
        </is>
      </c>
      <c r="E66" s="2" t="inlineStr">
        <is>
          <t>พริกไทย</t>
        </is>
      </c>
      <c r="F66" s="2" t="inlineStr">
        <is>
          <t>กระวาน</t>
        </is>
      </c>
      <c r="G66" s="2" t="inlineStr">
        <is>
          <t>ขมิ้น</t>
        </is>
      </c>
      <c r="H66" s="2" t="inlineStr">
        <is>
          <t>ตะไคร้</t>
        </is>
      </c>
      <c r="I66" s="2" t="n">
        <v>1</v>
      </c>
      <c r="J66" s="2" t="inlineStr">
        <is>
          <t>✅ คำตอบที่ถูกต้อง: ข้อ ก. ขิง
💡 Background:
ขิง (Zingiber officinale) มีสารสำคัญกลุ่ม Gingerols และ Shogaols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
📖 Guideline อ้างอิง:
ประกาศกระทรวงสาธารณสุข เรื่อง สมุนไพรในงานสาธารณสุขมูลฐาน &amp; Thai Herbal Pharmacopoeia (THP)
📌 จุดจำก่อนสอบ:
• ขิง: แก้อาการคลื่นไส้อาเจียน เมารถ เมาเรือ แพ้ท้อง</t>
        </is>
      </c>
      <c r="K66" s="2" t="n"/>
      <c r="L66" s="2" t="inlineStr">
        <is>
          <t>Herbal Extraction methods</t>
        </is>
      </c>
      <c r="M66" s="2" t="inlineStr">
        <is>
          <t>Product</t>
        </is>
      </c>
      <c r="N66" s="2" t="inlineStr">
        <is>
          <t>ข้อ 16 (PLE_CC1_Practice_Exam.md)</t>
        </is>
      </c>
      <c r="O66" s="2" t="n"/>
      <c r="P66" s="2" t="n"/>
    </row>
    <row r="67" ht="13.2" customHeight="1" s="49">
      <c r="A67" s="2" t="n">
        <v>65</v>
      </c>
      <c r="B67" s="2"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C67" s="2" t="n"/>
      <c r="D67" s="2" t="inlineStr">
        <is>
          <t>มะคำดีควาย</t>
        </is>
      </c>
      <c r="E67" s="2" t="inlineStr">
        <is>
          <t>กระเจี๊ยบแดง</t>
        </is>
      </c>
      <c r="F67" s="2" t="inlineStr">
        <is>
          <t>หญ้าคา</t>
        </is>
      </c>
      <c r="G67" s="2" t="inlineStr">
        <is>
          <t>อ้อยแดง</t>
        </is>
      </c>
      <c r="H67" s="2" t="inlineStr">
        <is>
          <t>ขลู่</t>
        </is>
      </c>
      <c r="I67" s="2" t="n">
        <v>1</v>
      </c>
      <c r="J67" s="2" t="inlineStr">
        <is>
          <t>✅ คำตอบที่ถูกต้อง: ข้อ ก. มะคำดีควาย
💡 Background:
มะคำดีควาย (Sapindus rarak) วงศ์ Sapindaceae นิยมใช้ผลแก่ต้มน้ำสระผม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
📖 Guideline อ้างอิง:
ประกาศกระทรวงสาธารณสุข เรื่อง สมุนไพรในงานสาธารณสุขมูลฐาน &amp; Thai Herbal Pharmacopoeia (THP)
📌 จุดจำก่อนสอบ:
• มะคำดีควาย (Sapindus rarak): สาร Saponin ต้านเชื้อรา สระผมรักษาชันนะตุ รังแค</t>
        </is>
      </c>
      <c r="K67" s="2" t="n"/>
      <c r="L67" s="2" t="inlineStr">
        <is>
          <t>Herbal Extraction methods</t>
        </is>
      </c>
      <c r="M67" s="2" t="inlineStr">
        <is>
          <t>Product</t>
        </is>
      </c>
      <c r="N67" s="2" t="inlineStr">
        <is>
          <t>ข้อ 33 (PLE_CC1_Practice_Exam.md)</t>
        </is>
      </c>
      <c r="O67" s="2" t="n"/>
      <c r="P67" s="2" t="n"/>
    </row>
    <row r="68" ht="13.2" customHeight="1" s="49">
      <c r="A68" s="2" t="n">
        <v>66</v>
      </c>
      <c r="B68" s="2" t="inlineStr">
        <is>
          <t>สมุนไพรในข้อใดต่อไปนี้สามารถใช้แก้อาการท้องผูกได้ ยกเว้นข้อใด</t>
        </is>
      </c>
      <c r="C68" s="2" t="n"/>
      <c r="D68" s="2" t="inlineStr">
        <is>
          <t>ขิง</t>
        </is>
      </c>
      <c r="E68" s="2" t="inlineStr">
        <is>
          <t>มะขามแขก</t>
        </is>
      </c>
      <c r="F68" s="2" t="inlineStr">
        <is>
          <t>ชุมเห็ดเทศ</t>
        </is>
      </c>
      <c r="G68" s="2" t="inlineStr">
        <is>
          <t>มะขามเปียก</t>
        </is>
      </c>
      <c r="H68" s="2" t="inlineStr">
        <is>
          <t>คูน (เนื้อในฝัก)</t>
        </is>
      </c>
      <c r="I68" s="2" t="n">
        <v>1</v>
      </c>
      <c r="J68" s="2" t="inlineStr">
        <is>
          <t>✅ คำตอบที่ถูกต้อง: ข้อ ก. ขิง
💡 Background:
ยาระบายจากสมุนไพรส่วนใหญ่มีสารสำคัญกลุ่ม Anthraquinone glycosides ที่กระตุ้นการบีบตัวของลำไส้ใหญ่ หรือกลุ่ม Osmotic laxatives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(ข้ออื่นเป็นยาระบาย):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
📖 Guideline อ้างอิง:
ประกาศกระทรวงสาธารณสุข เรื่อง สมุนไพรในงานสาธารณสุขมูลฐาน &amp; Thai Herbal Pharmacopoeia (THP)
📌 จุดจำก่อนสอบ:
• สมุนไพรยาระบาย: มะขามแขก, ชุมเห็ดเทศ, คูน, ขี้เหล็ก, มะขาม, แมงลัก
• ขิง = ขับลม แก้คลื่นไส้ ไม่ใช่ยาระบาย</t>
        </is>
      </c>
      <c r="K68" s="2" t="n"/>
      <c r="L68" s="2" t="inlineStr">
        <is>
          <t>Herbal Extraction methods</t>
        </is>
      </c>
      <c r="M68" s="2" t="inlineStr">
        <is>
          <t>Product</t>
        </is>
      </c>
      <c r="N68" s="2" t="inlineStr">
        <is>
          <t>ข้อ 36 (PLE_CC1_Practice_Exam.md)</t>
        </is>
      </c>
      <c r="O68" s="2" t="n"/>
      <c r="P68" s="2" t="n"/>
    </row>
    <row r="69" ht="13.2" customHeight="1" s="49">
      <c r="A69" s="2" t="n">
        <v>67</v>
      </c>
      <c r="B69" s="2"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C69" s="2" t="n"/>
      <c r="D69" s="2" t="inlineStr">
        <is>
          <t>ฤทธิ์สมานแผลและต้านเชื้อแบคทีเรียสำหรับล้างแผลสด แผลเรื้อรัง</t>
        </is>
      </c>
      <c r="E69" s="2" t="inlineStr">
        <is>
          <t>ฤทธิ์ขับปัสสาวะและขับนิ่ว</t>
        </is>
      </c>
      <c r="F69" s="2" t="inlineStr">
        <is>
          <t>ฤทธิ์ลดระดับไขมันในเลือด</t>
        </is>
      </c>
      <c r="G69" s="2" t="inlineStr">
        <is>
          <t>ฤทธิ์ระงับอาการปวดข้อเข่าเสื่อม</t>
        </is>
      </c>
      <c r="H69" s="2" t="inlineStr">
        <is>
          <t>ฤทธิ์ช่วยให้นอนหลับ</t>
        </is>
      </c>
      <c r="I69" s="2" t="n">
        <v>1</v>
      </c>
      <c r="J69" s="2" t="inlineStr">
        <is>
          <t>✅ คำตอบที่ถูกต้อง: ข้อ ก. ฤทธิ์สมานแผลและต้านเชื้อแบคทีเรียสำหรับล้างแผลสด แผลเรื้อรัง
💡 Background:
เปลือกผลมังคุด (Mangosteen pericarp) เป็นสมุนไพรที่ได้รับการยอมรับในเภสัชตำรับสมุนไพรไทย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
📖 Guideline อ้างอิง:
Thai Herbal Pharmacopoeia (THP) Monograph: Garcinia Mangostana Pericarp &amp; บัญชียาหลักแห่งชาติด้านสมุนไพร
📌 จุดจำก่อนสอบ:
• เปลือกมังคุด: สารสำคัญ Mangostin &amp; Tannins สมานแผล ต้านแบคทีเรีย ฆ่าเชื้อแผลสด แผลเรื้อรัง</t>
        </is>
      </c>
      <c r="K69" s="2" t="n"/>
      <c r="L69" s="2" t="inlineStr">
        <is>
          <t>Herbal Extraction methods</t>
        </is>
      </c>
      <c r="M69" s="2" t="inlineStr">
        <is>
          <t>Product</t>
        </is>
      </c>
      <c r="N69" s="2" t="inlineStr">
        <is>
          <t>ข้อ 38 (PLE_CC1_Practice_Exam.md)</t>
        </is>
      </c>
      <c r="O69" s="2" t="n"/>
      <c r="P69" s="2" t="n"/>
    </row>
    <row r="70" ht="13.2" customHeight="1" s="49">
      <c r="A70" s="2" t="n">
        <v>68</v>
      </c>
      <c r="B70" s="2" t="inlineStr">
        <is>
          <t>ข้อใดระบุ 'ส่วนที่ใช้' ของสมุนไพรที่มีสรรพคุณแก้ท้องอืด ท้องเฟ้อ แน่น จุกเสียด ในงานสาธารณสุขมูลฐาน ไม่ถูกต้อง</t>
        </is>
      </c>
      <c r="C70" s="2" t="n"/>
      <c r="D70" s="2" t="inlineStr">
        <is>
          <t>กะเพรา ใช้ส่วนรากแก่</t>
        </is>
      </c>
      <c r="E70" s="2" t="inlineStr">
        <is>
          <t>ขมิ้นชัน ใช้ส่วนเหง้าแก่ใต้ดิน</t>
        </is>
      </c>
      <c r="F70" s="2" t="inlineStr">
        <is>
          <t>ขิง ใช้ส่วนเหง้าแก่ใต้ดิน</t>
        </is>
      </c>
      <c r="G70" s="2" t="inlineStr">
        <is>
          <t>กระชาย ใช้ส่วนเหง้าและรากใต้ดิน</t>
        </is>
      </c>
      <c r="H70" s="2" t="inlineStr">
        <is>
          <t>ตะไคร้ ใช้ส่วนโคนต้นและลำต้นแก่</t>
        </is>
      </c>
      <c r="I70" s="2" t="n">
        <v>1</v>
      </c>
      <c r="J70" s="2" t="inlineStr">
        <is>
          <t>✅ คำตอบที่ถูกต้อง: ข้อ ก. กะเพรา ใช้ส่วนรากแก่
💡 Background:
การนำสมุนไพรมาใช้เป็นยาจำเป็นต้องเลือกใช้ส่วนของพืช (Plant parts) ที่ถูกต้องตามเภสัชตำรับ เพื่อให้ได้สารสำคัญในการออกฤทธิ์สูงสุด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(ข้ออื่นระบุส่วนที่ใช้ถูกต้อง):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
📖 Guideline อ้างอิง:
ประกาศกระทรวงสาธารณสุข เรื่อง สมุนไพรในงานสาธารณสุขมูลฐาน &amp; Thai Herbal Pharmacopoeia (THP)
📌 จุดจำก่อนสอบ:
• กะเพรา: ใช้ 'ใบหรือทั้งต้น' ขับลม แก้ปวดท้องจุกเสียด</t>
        </is>
      </c>
      <c r="K70" s="2" t="n"/>
      <c r="L70" s="2" t="inlineStr">
        <is>
          <t>Herbal Extraction methods</t>
        </is>
      </c>
      <c r="M70" s="2" t="inlineStr">
        <is>
          <t>Product</t>
        </is>
      </c>
      <c r="N70" s="2" t="inlineStr">
        <is>
          <t>ข้อ 40 (PLE_CC1_Practice_Exam.md)</t>
        </is>
      </c>
      <c r="O70" s="2" t="n"/>
      <c r="P70" s="2" t="n"/>
    </row>
    <row r="71" ht="13.2" customHeight="1" s="49">
      <c r="A71" s="2" t="n">
        <v>69</v>
      </c>
      <c r="B71" s="2" t="inlineStr">
        <is>
          <t>สมุนไพรในข้อใดที่มีสารสำคัญ Allicin และได้รับการยอมรับว่ามีฤทธิ์ลดระดับไขมันคอเลสเตอรอลในเลือด</t>
        </is>
      </c>
      <c r="C71" s="2" t="n"/>
      <c r="D71" s="2" t="inlineStr">
        <is>
          <t>กระเทียม</t>
        </is>
      </c>
      <c r="E71" s="2" t="inlineStr">
        <is>
          <t>บอระเพ็ด</t>
        </is>
      </c>
      <c r="F71" s="2" t="inlineStr">
        <is>
          <t>ฟ้าทะลายโจร</t>
        </is>
      </c>
      <c r="G71" s="2" t="inlineStr">
        <is>
          <t>ขมิ้นชัน</t>
        </is>
      </c>
      <c r="H71" s="2" t="inlineStr">
        <is>
          <t>ชุมเห็ดเทศ</t>
        </is>
      </c>
      <c r="I71" s="2" t="n">
        <v>1</v>
      </c>
      <c r="J71" s="2" t="inlineStr">
        <is>
          <t>✅ คำตอบที่ถูกต้อง: ข้อ ก. กระเทียม
💡 Background:
กระเทียม (Allium sativum) วงศ์ Amaryllidaceae มีการศึกษาทางคลินิกอย่างกว้างขวางเกี่ยวกับระบบหัวใจและหลอดเลือด
🎯 ทำไมข้อนี้ถึงถูก:
สารสำคัญ Allicin และสารกลุ่มไตรซัลไฟด์ในกระเทียม ยับยั้งเอนไซม์ HMG-CoA reductase และกระตุ้นการขับคอเลสเตอรอลออกทางน้ำดี จึงช่วยลดระดับ Total Cholesterol และ LDL-C ในเลือด
🔍 ข้ออื่นผิดเพราะอะไร:
• ข้อ ข. บอระเพ็ด: รสขม แก้ไข้ เจริญอาหาร
• ข้อ ค. ฟ้าทะลายโจร: บรรเทาหวัด เจ็บคอ
• ข้อ ง. ขมิ้นชัน: ขับลม แก้ท้องอืด
• ข้อ จ. ชุมเห็ดเทศ: ยาระบาย
📖 Guideline อ้างอิง:
Natural Medicines Comprehensive Database &amp; Thai Herbal Pharmacopoeia (THP)
📌 จุดจำก่อนสอบ:
• กระเทียม: ลดไขมัน ลดความดัน ต้านเกล็ดเลือด</t>
        </is>
      </c>
      <c r="K71" s="2" t="n"/>
      <c r="L71" s="2" t="inlineStr">
        <is>
          <t>Herbal Extraction methods</t>
        </is>
      </c>
      <c r="M71" s="2" t="inlineStr">
        <is>
          <t>Product</t>
        </is>
      </c>
      <c r="N71" s="2" t="inlineStr">
        <is>
          <t>ข้อ 9 (PLE_CC1_Key_Rx20_UBU.md)</t>
        </is>
      </c>
      <c r="O71" s="2" t="n"/>
      <c r="P71" s="2" t="n"/>
    </row>
    <row r="72" ht="13.2" customHeight="1" s="49">
      <c r="A72" s="2" t="n">
        <v>70</v>
      </c>
      <c r="B72" s="2" t="inlineStr">
        <is>
          <t>สมุนไพรในข้อใดต่อไปนี้จัดเป็นสมุนไพรสาธารณสุขมูลฐานสำหรับบรรเทาอาการท้องเสียชนิดที่ไม่เกิดจากการติดเชื้อ (Non-infectious diarrhea)</t>
        </is>
      </c>
      <c r="C72" s="2" t="n"/>
      <c r="D72" s="2" t="inlineStr">
        <is>
          <t>ผลฝรั่งอ่อน / ผลดิบ</t>
        </is>
      </c>
      <c r="E72" s="2" t="inlineStr">
        <is>
          <t>เนื้อมังคุดสุก</t>
        </is>
      </c>
      <c r="F72" s="2" t="inlineStr">
        <is>
          <t>เมล็ดทับทิม</t>
        </is>
      </c>
      <c r="G72" s="2" t="inlineStr">
        <is>
          <t>ใบสีเสียด</t>
        </is>
      </c>
      <c r="H72" s="2" t="inlineStr">
        <is>
          <t>กล้วยน้ำว้าสุกงอม</t>
        </is>
      </c>
      <c r="I72" s="2" t="n">
        <v>1</v>
      </c>
      <c r="J72" s="2" t="inlineStr">
        <is>
          <t>✅ คำตอบที่ถูกต้อง: ข้อ ก. ผลฝรั่งอ่อน / ผลดิบ
💡 Background:
อาการอุจจาระร่วงเฉียบพลันที่ไม่ติดเชื้อ (ไม่มีมูกเลือด ไม่มีไข้) สามารถใช้สมุนไพรรสฝาดเพื่อช่วยสมานลำไส้
🎯 ทำไมข้อนี้ถึงถูก:
ผลฝรั่งอ่อน ผลดิบ หรือใบแก่ของฝรั่ง (Psidium guajava) มีสารสำคัญกลุ่มแทนนิน (Tannins) สูง ออกฤทธิ์ฝาดสมาน (Astringent) โดยจับและตกตะกอนโปรตีนบนผิวเยื่อบุลำไส้ เกิดเป็นชั้นฟิล์มปกป้อง ลดการหลั่งน้ำและอิเล็กโทรไลต์เข้าสู่โพรงลำไส้ และลดการบีบตัวของลำไส้ บรรเทาอาการถ่ายเหลวได้อย่างรวดเร็ว
🔍 ข้ออื่นผิดเพราะอะไร:
• ข้อ ข. (เนื้อมังคุดสุก): รสหวาน อมเปรี้ยว ไม่มีแทนนิน (สารแทนนินอยู่ที่เปลือกผล)
• ข้อ ค. (เมล็ดทับทิม): ส่วนที่ใช้แก้ท้องเสียคือ เปลือกผลแห้งทับทิม ไม่ใช่เมล็ด
• ข้อ ง. (ใบสีเสียด): ส่วนที่ใช้คือ ก้อนสีเสียด หรือ เปลือกต้นสีเสียด ไม่ใช่ใบ
• ข้อ จ. (กล้วยน้ำว้าสุกงอม): กล้วยสุกมีฤทธิ์เป็นยาระบายอ่อนๆ (ส่วนที่แก้ท้องเสียคือกล้วยน้ำว้าดิบ)
📖 Guideline อ้างอิง:
ประกาศกระทรวงสาธารณสุข เรื่อง สมุนไพรในงานสาธารณสุขมูลฐาน &amp; Thai Herbal Pharmacopoeia (THP)
📌 จุดจำก่อนสอบ:
• สมุนไพรแก้ท้องเสีย: ผลฝรั่งอ่อน/ใบแก่, กล้วยน้ำว้าดิบ, เปลือกผลแห้งทับทิม, เปลือกผลแห้งมังคุด, เปลือกต้นสีเสียด (ทั้งหมดมี Tannins สูง)</t>
        </is>
      </c>
      <c r="K72" s="2" t="n"/>
      <c r="L72" s="2" t="inlineStr">
        <is>
          <t>Herbal Extraction methods</t>
        </is>
      </c>
      <c r="M72" s="2" t="inlineStr">
        <is>
          <t>Product</t>
        </is>
      </c>
      <c r="N72" s="2" t="inlineStr">
        <is>
          <t>ข้อ 31 (PLE_CC1_Key_Rx20_UBU.md)</t>
        </is>
      </c>
      <c r="O72" s="2" t="n"/>
      <c r="P72" s="2" t="n"/>
    </row>
    <row r="73" ht="13.2" customHeight="1" s="49">
      <c r="A73" s="2" t="n">
        <v>71</v>
      </c>
      <c r="B73" s="2" t="inlineStr">
        <is>
          <t>สมุนไพรในกลุ่มยาแก้ท้องเสียตามบัญชียาหลักแห่งชาติด้านสมุนไพรและสาธารณสุขมูลฐาน มีสมุนไพรข้อใดที่ใช้ 'เปลือกผลแห้ง' ในการต้มน้ำดื่มเพื่อรักษาอาการอุจจาระร่วง</t>
        </is>
      </c>
      <c r="C73" s="2" t="n"/>
      <c r="D73" s="2" t="inlineStr">
        <is>
          <t>เปลือกผลแห้งมังคุด และ เปลือกผลแห้งทับทิม</t>
        </is>
      </c>
      <c r="E73" s="2" t="inlineStr">
        <is>
          <t>เมล็ดแฟลกซ์ และ เมล็ดฟักทอง</t>
        </is>
      </c>
      <c r="F73" s="2" t="inlineStr">
        <is>
          <t>ใบฟ้าทะลายโจร และ ใบฝรั่ง</t>
        </is>
      </c>
      <c r="G73" s="2" t="inlineStr">
        <is>
          <t>เหง้าขิง และ เหง้าขมิ้นชัน</t>
        </is>
      </c>
      <c r="H73" s="2" t="inlineStr">
        <is>
          <t>เนื้อในฝักคูน และ เนื้อส้มแขก</t>
        </is>
      </c>
      <c r="I73" s="2" t="n">
        <v>1</v>
      </c>
      <c r="J73" s="2" t="inlineStr">
        <is>
          <t>✅ คำตอบที่ถูกต้อง: ข้อ ก. เปลือกผลแห้งมังคุด และ เปลือกผลแห้งทับทิม
💡 Background:
เปลือกผลแห้งของมังคุดและทับทิมเป็นแหล่งของสารแทนนินเข้มข้นที่ใช้ในการแพทย์แผนไทยมาแต่โบราณ
🎯 ทำไมข้อนี้ถึงถูก:
เปลือกผลแห้งมังคุด (Garcinia mangostana) และเปลือกผลแห้งทับทิม (Punica granatum) มีสารกลุ่ม Tannins (ทั้ง Hydrolyzable และ Condensed tannins) ปริมาณสูงมาก มีสรรพคุณตามบัญชียาหลักแห่งชาติในการรักษาอาการท้องเสีย ท้องเดินชนิดไม่ติดเชื้อ โดยต้มกับน้ำปูนใสหรือน้ำสะอาดดื่ม
🔍 ข้ออื่นผิดเพราะอะไร:
• ข้อ ข. เมล็ดแฟลกซ์ เมล็ดฟักทอง: ถ่ายพยาธิ ยาระบาย
• ข้อ ค. ใบฟ้าทะลายโจร ใบฝรั่ง: ใช้ส่วนใบ ไม่ใช่เปลือกผล
• ข้อ ง. เหง้าขิง เหง้าขมิ้นชัน: ขับลม
• ข้อ จ. ฝักคูน ส้มแขก: ยาระบาย
📖 Guideline อ้างอิง:
บัญชียาหลักแห่งชาติด้านสมุนไพร พ.ศ. 2566 &amp; Thai Herbal Pharmacopoeia (THP)
📌 จุดจำก่อนสอบ:
• เปลือกผลแห้งมังคุด / เปลือกผลแห้งทับทิม: แทนนินสูง ต้มดื่มแก้ท้องเสียไม่ติดเชื้อ</t>
        </is>
      </c>
      <c r="K73" s="2" t="n"/>
      <c r="L73" s="2" t="inlineStr">
        <is>
          <t>Herbal Extraction methods</t>
        </is>
      </c>
      <c r="M73" s="2" t="inlineStr">
        <is>
          <t>Product</t>
        </is>
      </c>
      <c r="N73" s="2" t="inlineStr">
        <is>
          <t>ข้อ 5 (PLE_CC1_Key_Rx20_UBU.md)</t>
        </is>
      </c>
      <c r="O73" s="2" t="n"/>
      <c r="P73" s="2" t="n"/>
    </row>
    <row r="74" ht="13.2" customHeight="1" s="49">
      <c r="A74" s="2" t="n">
        <v>72</v>
      </c>
      <c r="B74" s="2" t="inlineStr">
        <is>
          <t>ผู้ป่วยมาปรึกษาเภสัชกรที่ร้านยาเกี่ยวกับยาสมุนไพรรักษาเชื้อรา โดยนำขวดยาแผนโบราณที่ไม่มีเลขทะเบียนตำรับยามาแสดง เภสัชกรควรให้คำแนะนำและปฏิบัติอย่างไรจึงจะเหมาะสมที่สุด</t>
        </is>
      </c>
      <c r="C74" s="2" t="n"/>
      <c r="D74" s="2" t="inlineStr">
        <is>
          <t>แนะนำให้ผู้ป่วยหยุดใช้ยานี้ทันที อธิบายถึงอันตรายจากยาที่ไม่ได้ขึ้นทะเบียน และประเมินอาการเพื่อจ่ายยาที่มีทะเบียนถูกต้อง</t>
        </is>
      </c>
      <c r="E74" s="2" t="inlineStr">
        <is>
          <t>รับซื้อยานี้ไว้และวางจำหน่ายในร้านเพื่ออำนวยความสะดวกให้ผู้ป่วย</t>
        </is>
      </c>
      <c r="F74" s="2" t="inlineStr">
        <is>
          <t>แนะนำให้ผู้ป่วยใช้ต่อไปหากอาการดีขึ้นเพราะเป็นยาสมุนไพรธรรมชาติ</t>
        </is>
      </c>
      <c r="G74" s="2" t="inlineStr">
        <is>
          <t>นำยานี้ไปแบ่งบรรจุใส่ซองยาของร้านแล้วขายต่อ</t>
        </is>
      </c>
      <c r="H74" s="2" t="inlineStr">
        <is>
          <t>แนะนำให้ผู้ป่วยเพิ่มขนาดยาเป็นสองเท่าเพื่อให้เชื้อราหายขาด</t>
        </is>
      </c>
      <c r="I74" s="2" t="n">
        <v>1</v>
      </c>
      <c r="J74" s="2" t="inlineStr">
        <is>
          <t>✅ คำตอบที่ถูกต้อง: ข้อ ก. แนะนำให้ผู้ป่วยหยุดใช้ยานี้ทันที อธิบายถึงอันตรายจากยาที่ไม่ได้ขึ้นทะเบียน และประเมินอาการเพื่อจ่ายยาที่มีทะเบียนถูกต้อง
💡 Background:
ยาแผนโบราณหรือผลิตภัณฑ์สมุนไพรที่ไม่มีเลขทะเบียนตำรับยาจาก อย. จัดเป็นยาที่ไม่ได้ขึ้นทะเบียนตำรับ (Unregistered drug) ซึ่งมีความเสี่ยงสูงต่อการปนเปื้อนสารเคมีอันตราย สเตียรอยด์ โลหะหนัก หรือเชื้อจุลินทรีย์
🎯 ทำไมข้อนี้ถึงถูก:
เภสัชกรต้องยึดมั่นในความปลอดภัยของผู้ป่วยตามจรรยาบรรณวิชาชีพและกฎหมาย โดยแนะนำให้ผู้ป่วยหยุดใช้ยานี้ทันที ชี้แจงถึงความเสี่ยงอันตรายจากยาที่ไม่ผ่านการตรวจสอบมาตรฐาน และทำการซักประวัติ ตรวจดูลักษณะรอยโรคเชื้อรา เพื่อเลือกใช้ยาที่มีทะเบียนตำรับถูกต้อง ปลอดภัย และมีประสิทธิผล
🔍 ข้ออื่นผิดเพราะอะไร:
• ข้อ ข., ข้อ ง.: มีความผิดตามกฎหมายฐานจำหน่ายยาที่ไม่ได้ขึ้นทะเบียนตำรับ
• ข้อ ค., ข้อ จ.: เป็นอันตรายต่อผู้ป่วยอย่างยิ่ง ยาไม่มีทะเบียนอาจก่อให้เกิดผิวหนังอักเสบรุนแรงหรือการดูดซึมสารพิษ
📖 Guideline อ้างอิง:
พระราชบัญญัติยา พ.ศ. 2510 (มาตรา 72) &amp; พระราชบัญญัติผลิตภัณฑ์สมุนไพร พ.ศ. 2562
📌 จุดจำก่อนสอบ:
• ยาไม่มีทะเบียน อย. = ยาผิดกฎหมาย เสี่ยงปนเปื้อนสเตียรอยด์/สารพิษ ห้ามใช้ ห้ามขาย!</t>
        </is>
      </c>
      <c r="K74" s="2" t="n"/>
      <c r="L74" s="2" t="inlineStr">
        <is>
          <t>Herbal Extraction methods</t>
        </is>
      </c>
      <c r="M74" s="2" t="inlineStr">
        <is>
          <t>Product</t>
        </is>
      </c>
      <c r="N74" s="2" t="inlineStr">
        <is>
          <t>ข้อ 97 (PLE_CC1_Key_Rx20_UBU.md)</t>
        </is>
      </c>
      <c r="O74" s="2" t="n"/>
      <c r="P74" s="2" t="n"/>
    </row>
    <row r="75" ht="13.2" customHeight="1" s="49">
      <c r="A75" s="2" t="n">
        <v>73</v>
      </c>
      <c r="B75" s="2" t="inlineStr">
        <is>
          <t>จากข้อ 74 การที่ร้านขายยาจำหน่ายยาแผนโบราณหรือผลิตภัณฑ์สมุนไพรที่ไม่มีเลขทะเบียนตำรับยา ถือเป็นความผิดตามบทบัญญัติแห่งกฎหมายใด</t>
        </is>
      </c>
      <c r="C75" s="2" t="n"/>
      <c r="D75" s="2" t="inlineStr">
        <is>
          <t>เป็นความผิดตาม พ.ร.บ. ผลิตภัณฑ์สมุนไพร พ.ศ. 2562 และ พ.ร.บ. ยา พ.ศ. 2510 ฐานขายยาที่ไม่ได้ขึ้นทะเบียนตำรับ</t>
        </is>
      </c>
      <c r="E75" s="2" t="inlineStr">
        <is>
          <t>ไม่มีความผิด หากเป็นยาสมุนไพรที่ปรุงขึ้นตามภูมิปัญญาชาวบ้าน</t>
        </is>
      </c>
      <c r="F75" s="2" t="inlineStr">
        <is>
          <t>ไม่มีความผิด หากผู้ซื้อยินยอมรับความเสี่ยงด้วยตนเอง</t>
        </is>
      </c>
      <c r="G75" s="2" t="inlineStr">
        <is>
          <t>มีความผิดเฉพาะกรณีที่ผู้ป่วยเกิดอาการไม่พึงประสงค์รุนแรงเท่านั้น</t>
        </is>
      </c>
      <c r="H75" s="2" t="inlineStr">
        <is>
          <t>ไม่มีความผิด หากจำหน่ายในราคาไม่เกินราคากลาง</t>
        </is>
      </c>
      <c r="I75" s="2" t="n">
        <v>1</v>
      </c>
      <c r="J75" s="2" t="inlineStr">
        <is>
          <t>✅ คำตอบที่ถูกต้อง: ข้อ ก. เป็นความผิดตาม พ.ร.บ. ผลิตภัณฑ์สมุนไพร พ.ศ. 2562 และ พ.ร.บ. ยา พ.ศ. 2510 ฐานขายยาที่ไม่ได้ขึ้นทะเบียนตำรับ
💡 Background:
กฎหมายว่าด้วยยาและผลิตภัณฑ์สมุนไพรกำหนดให้การผลิต นำเข้า หรือขายยาและผลิตภัณฑ์สมุนไพรต้องได้รับการขึ้นทะเบียนตำรับยาอย่างถูกต้องก่อนออกสู่ท้องตลาด
🎯 ทำไมข้อนี้ถึงถูก:
การขายยาหรือผลิตภัณฑ์สมุนไพรที่ไม่ได้ขึ้นทะเบียนตำรับ เป็นความผิดทางอาญาตาม พ.ร.บ.ยา พ.ศ. 2510 (มาตรา 72(4) มีโทษจำคุกไม่เกิน 3 ปี หรือปรับไม่เกิน 5,000 บาท หรือทั้งจำทั้งปรับ) และตาม พ.ร.บ. ผลิตภัณฑ์สมุนไพร พ.ศ. 2562 มีโทษจำคุกไม่เกิน 1 ปี หรือปรับไม่เกิน 100,000 บาท หรือทั้งจำทั้งปรับ
🔍 ข้ออื่นผิดเพราะอะไร:
• ข้อ ข., ข้อ ค., ข้อ ง., ข้อ จ.: ผิด เพราะกฎหมายคุ้มครองความปลอดภัยสาธารณะ ความยินยอมของผู้ซื้อหรือการไม่มีผลข้างเคียงไม่สามารถยกเว้นความผิดทางอาญาได้
📖 Guideline อ้างอิง:
พระราชบัญญัติยา พ.ศ. 2510 &amp; พระราชบัญญัติผลิตภัณฑ์สมุนไพร พ.ศ. 2562
📌 จุดจำก่อนสอบ:
• ขายยาไม่ได้ขึ้นทะเบียนตำรับ = ความผิดอาญา โทษจำคุกและปรับ</t>
        </is>
      </c>
      <c r="K75" s="2" t="n"/>
      <c r="L75" s="2" t="inlineStr">
        <is>
          <t>Herbal Extraction methods</t>
        </is>
      </c>
      <c r="M75" s="2" t="inlineStr">
        <is>
          <t>Product</t>
        </is>
      </c>
      <c r="N75" s="2" t="inlineStr">
        <is>
          <t>ข้อ 3 (PLE_CC1_Key_Rx20_UBU.md)</t>
        </is>
      </c>
      <c r="O75" s="2" t="n"/>
      <c r="P75" s="2" t="n"/>
    </row>
    <row r="76" ht="13.2" customHeight="1" s="49">
      <c r="A76" s="2" t="n">
        <v>74</v>
      </c>
      <c r="B76" s="2" t="inlineStr">
        <is>
          <t>ผู้ป่วยเบาหวานชนิดที่ 2 รับประทานยา Glibenclamide ร่วมกับ Metformin มีอาการใจสั่น เหงื่อออก ตัวเย็น และระดับน้ำตาลในเลือดวัดได้ 48 mg/dL พฤติกรรมการรับประทานสมุนไพรในข้อใดเป็นสาเหตุเหนี่ยวนำให้เกิดภาวะนี้</t>
        </is>
      </c>
      <c r="C76" s="2" t="n"/>
      <c r="D76" s="2" t="inlineStr">
        <is>
          <t>ดื่มน้ำคั้นมะระขี้นก 100 mL ก่อนอาหารกลางวันเป็นประจำ</t>
        </is>
      </c>
      <c r="E76" s="2" t="inlineStr">
        <is>
          <t>รับประทานแคปซูลขมิ้นชัน 1 เม็ดหลังอาหารเย็น</t>
        </is>
      </c>
      <c r="F76" s="2" t="inlineStr">
        <is>
          <t>ดื่มน้ำขิงต้มอุ่นๆ วันละ 1 แก้วเพื่อขับลม</t>
        </is>
      </c>
      <c r="G76" s="2" t="inlineStr">
        <is>
          <t>รับประทานยาเม็ดฟ้าทะลายโจรเมื่อมีอาการเจ็บคอ</t>
        </is>
      </c>
      <c r="H76" s="2" t="inlineStr">
        <is>
          <t>รับประทานยาชงชุมเห็ดเทศสัปดาห์ละ 1 ครั้ง</t>
        </is>
      </c>
      <c r="I76" s="2" t="n">
        <v>1</v>
      </c>
      <c r="J76" s="2" t="inlineStr">
        <is>
          <t>✅ คำตอบที่ถูกต้อง: ข้อ ก. ดื่มน้ำคั้นมะระขี้นก 100 mL ก่อนอาหารกลางวันเป็นประจำ
💡 Background:
ภาวะน้ำตาลในเลือดต่ำ (Hypoglycemia: Blood glucose &lt; 70 mg/dL) มีอาการเด่นคือ ใจสั่น เหงื่อออก ตัวเย็น มือสั่น และอาจหมดสติ
🎯 ทำไมข้อนี้ถึงถูก:
มะระขี้นก (Momordica charantia) มีสาร Charantin และ Polypeptide-p ที่กระตุ้นการหลั่งอินซูลินและเพิ่มการใช้น้ำตาล เมื่อใช้ร่วมกับยาในกลุ่ม Sulfonylurea (Glibenclamide) ซึ่งเป็นยากระตุ้นการหลั่งอินซูลินอยู่แล้ว จะเกิดผลเสริมฤทธิ์กันอย่างรุนแรง (Pharmacodynamic synergism) ทำให้เกิดภาวะ Hypoglycemia รุนแรง
🔍 ข้ออื่นผิดเพราะอะไร:
• ข้อ ข. ขมิ้นชัน, ข้อ ค. น้ำขิง, ข้อ ง. ฟ้าทะลายโจร, ข้อ จ. ชุมเห็ดเทศ: ในขนาดปกติไม่มีฤทธิ์ลดน้ำตาลในเลือดรุนแรงจนทำให้เกิด Hypoglycemia
📖 Guideline อ้างอิง:
แนวทางเวชปฏิบัติสำหรับโรคเบาหวาน พ.ศ. 2566 สมาคมโรคเบาหวานแห่งประเทศไทย &amp; Natural Medicines Comprehensive Database
📌 จุดจำก่อนสอบ:
• มะระขี้นก + Sulfonylurea / Insulin = ความเสี่ยงสูงต่อ Hypoglycemia!</t>
        </is>
      </c>
      <c r="K76" s="2" t="n"/>
      <c r="L76" s="2" t="inlineStr">
        <is>
          <t>Herbal Extraction methods</t>
        </is>
      </c>
      <c r="M76" s="2" t="inlineStr">
        <is>
          <t>Product</t>
        </is>
      </c>
      <c r="N76" s="2" t="inlineStr">
        <is>
          <t>ข้อ 3 (PLE_CC1_Key_Rx20_UBU.md)</t>
        </is>
      </c>
      <c r="O76" s="2" t="n"/>
      <c r="P76" s="2" t="n"/>
    </row>
    <row r="77" ht="13.2" customHeight="1" s="49">
      <c r="A77" s="2" t="n">
        <v>75</v>
      </c>
      <c r="B77" s="2" t="inlineStr">
        <is>
          <t>สมุนไพรในบัญชียาหลักแห่งชาติตัวใดที่มีการวิจัยทางคลินิกยืนยันว่ามีฤทธิ์บรรเทาอาการปวดข้อเข่าและต้านการอักเสบเทียบเท่ากับยาแผนปัจจุบันกลุ่ม NSAIDs</t>
        </is>
      </c>
      <c r="C77" s="2" t="n"/>
      <c r="D77" s="2" t="inlineStr">
        <is>
          <t>แคปซูลเถาวัลย์เปรียง</t>
        </is>
      </c>
      <c r="E77" s="2" t="inlineStr">
        <is>
          <t>แคปซูลขมิ้นชัน</t>
        </is>
      </c>
      <c r="F77" s="2" t="inlineStr">
        <is>
          <t>แคปซูลชุมเห็ดเทศ</t>
        </is>
      </c>
      <c r="G77" s="2" t="inlineStr">
        <is>
          <t>แคปซูลตรีผลา</t>
        </is>
      </c>
      <c r="H77" s="2" t="inlineStr">
        <is>
          <t>แคปซูลดองดึง</t>
        </is>
      </c>
      <c r="I77" s="2" t="n">
        <v>1</v>
      </c>
      <c r="J77" s="2" t="inlineStr">
        <is>
          <t>✅ คำตอบที่ถูกต้อง: ข้อ ก. แคปซูลเถาวัลย์เปรียง
💡 Background:
สารสกัดเถาวัลย์เปรียง (Derris scandens extract) บรรจุในบัญชียาหลักแห่งชาติด้านสมุนไพร
🎯 ทำไมข้อนี้ถึงถูก:
การทดลองทางคลินิกแบบสุ่มเปรียบเทียบ (RCTs) แสดงให้เห็นว่า สารสกัดเถาวัลย์เปรียงสามารถลดอาการปวดข้อเข่าในผู้ป่วย Osteoarthritis ได้เทียบเท่ากับ Diclofenac และ Naproxen โดยยับยั้งเอนไซม์ COX-2 และกระบวนการอักเสบ
🔍 ข้ออื่นผิดเพราะอะไร:
• ข้อ ข. ขมิ้นชัน: เด่นเรื่องขับลม ทางเดินอาหาร
• ข้อ ค. ชุมเห็ดเทศ: ยาระบาย
• ข้อ ง. ตรีผลา: ปรับธาตุ ล้างพิษ
• ข้อ จ. ดองดึง: มี Colchicine เป็นพิษสูงมาก ไม่ได้ทำเป็นแคปซูลในบัญชียาหลัก
📖 Guideline อ้างอิง:
บัญชียาหลักแห่งชาติด้านสมุนไพร พ.ศ. 2566 &amp; Thai Herbal Pharmacopoeia (THP)
📌 จุดจำก่อนสอบ:
• แคปซูลเถาวัลย์เปรียง = ยาบรรเทาอาการปวดข้อเทียบเท่า NSAIDs</t>
        </is>
      </c>
      <c r="K77" s="2" t="n"/>
      <c r="L77" s="2" t="inlineStr">
        <is>
          <t>Herbal Extraction methods</t>
        </is>
      </c>
      <c r="M77" s="2" t="inlineStr">
        <is>
          <t>Product</t>
        </is>
      </c>
      <c r="N77" s="2" t="inlineStr">
        <is>
          <t>ข้อ 4 (PLE_CC1_Key_Rx20_UBU.md)</t>
        </is>
      </c>
      <c r="O77" s="2" t="n"/>
      <c r="P77" s="2" t="n"/>
    </row>
    <row r="78" ht="13.2" customHeight="1" s="49">
      <c r="A78" s="2" t="n">
        <v>76</v>
      </c>
      <c r="B78" s="2" t="inlineStr">
        <is>
          <t>อาการไม่พึงประสงค์ที่มักเกิดขึ้นในช่วงแรกของการใช้สมุนไพรมะขามแขก (Senna) ในขนาดที่สูงเกินไปหรือในผู้ที่ไวต่อยาคือข้อใด</t>
        </is>
      </c>
      <c r="C78" s="2" t="n"/>
      <c r="D78" s="2" t="inlineStr">
        <is>
          <t>ปวดมวนท้อง แน่นเกร็งในช่องท้อง (Abdominal cramping / pain)</t>
        </is>
      </c>
      <c r="E78" s="2" t="inlineStr">
        <is>
          <t>ไตวายเฉียบพลัน (Acute renal failure)</t>
        </is>
      </c>
      <c r="F78" s="2" t="inlineStr">
        <is>
          <t>ลำไส้เฉื่อยชา (Atonic colon)</t>
        </is>
      </c>
      <c r="G78" s="2" t="inlineStr">
        <is>
          <t>ความดันโลหิตสูงเฉียบพลัน</t>
        </is>
      </c>
      <c r="H78" s="2" t="inlineStr">
        <is>
          <t>ตับวายเฉียบพลัน</t>
        </is>
      </c>
      <c r="I78" s="2" t="n">
        <v>1</v>
      </c>
      <c r="J78" s="2" t="inlineStr">
        <is>
          <t>✅ คำตอบที่ถูกต้อง: ข้อ ก. ปวดมวนท้อง แน่นเกร็งในช่องท้อง (Abdominal cramping / pain)
💡 Background:
มะขามแขกเป็นยาระบายกลุ่มกระตุ้นการบีบตัวของลำไส้ (Stimulant laxative)
🎯 ทำไมข้อนี้ถึงถูก:
สารสำคัญ Sennosides ถูกแบคทีเรียในลำไส้ใหญ่เปลี่ยนเป็น Rhein anthrone ซึ่งกระตุ้นเส้นประสาท Myenteric plexus ทำให้กล้ามเนื้อเรียบลำไส้ใหญ่บีบเกร็งตัวอย่างรวดเร็วและรุนแรง ในระยะแรกของการรับประทานผู้ป่วยจึงมักเกิดอาการปวดมวนท้อง ปวดบิดเกร็ง (Abdominal cramping / Griping) ได้บ่อย
🔍 ข้ออื่นผิดเพราะอะไร:
• ข้อ ข. ไตวาย, ข้อ ง. ความดันสูง, ข้อ จ. ตับวาย: ไม่ใช่อาการข้างเคียงทั่วไปของมะขามแขก
• ข้อ ค. (Atonic colon): เป็นผลเสียจากการใช้ติดต่อกันเรื้อรังเป็นเวลานาน ไม่ใช่อาการในระยะแรก
📖 Guideline อ้างอิง:
Thai Herbal Pharmacopoeia (THP) &amp; บัญชียาหลักแห่งชาติด้านสมุนไพร พ.ศ. 2566
📌 จุดจำก่อนสอบ:
• มะขามแขก: ผลข้างเคียงระยะสั้น = ปวดมวนท้อง, ผลข้างเคียงระยะยาว = ลำไส้เฉื่อยชา (Melanosis coli), ขาดน้ำและอิเล็กโทรไลต์</t>
        </is>
      </c>
      <c r="K78" s="2" t="n"/>
      <c r="L78" s="2" t="inlineStr">
        <is>
          <t>Herbal Extraction methods</t>
        </is>
      </c>
      <c r="M78" s="2" t="inlineStr">
        <is>
          <t>Product</t>
        </is>
      </c>
      <c r="N78" s="2" t="inlineStr">
        <is>
          <t>ข้อ 10 (PLE_CC1_Key_Rx20_UBU.md)</t>
        </is>
      </c>
      <c r="O78" s="2" t="n"/>
      <c r="P78" s="2" t="n"/>
    </row>
    <row r="79" ht="13.2" customHeight="1" s="49">
      <c r="A79" s="2" t="n">
        <v>77</v>
      </c>
      <c r="B79" s="2" t="inlineStr">
        <is>
          <t>ผู้ป่วยที่มีประวัติเป็นโรคตับอักเสบเรื้อรังหรือตับแข็ง ห้ามใช้สมุนไพรในข้อใดโดยเด็ดขาด เนื่องจากมีสารสำคัญที่ก่อพิษทำลายตับอย่างรุนแรง</t>
        </is>
      </c>
      <c r="C79" s="2" t="n"/>
      <c r="D79" s="2" t="inlineStr">
        <is>
          <t>ขี้เหล็ก</t>
        </is>
      </c>
      <c r="E79" s="2" t="inlineStr">
        <is>
          <t>ขมิ้นชัน</t>
        </is>
      </c>
      <c r="F79" s="2" t="inlineStr">
        <is>
          <t>ขิง</t>
        </is>
      </c>
      <c r="G79" s="2" t="inlineStr">
        <is>
          <t>กระเจี๊ยบแดง</t>
        </is>
      </c>
      <c r="H79" s="2" t="inlineStr">
        <is>
          <t>หญ้าหนวดแมว</t>
        </is>
      </c>
      <c r="I79" s="2" t="n">
        <v>1</v>
      </c>
      <c r="J79" s="2" t="inlineStr">
        <is>
          <t>✅ คำตอบที่ถูกต้อง: ข้อ ก. ขี้เหล็ก
💡 Background:
ใบและดอกขี้เหล็ก (Cassia siamea) มีสารสำคัญคือ Barakol
🎯 ทำไมข้อนี้ถึงถูก:
สาร Barakol ในขี้เหล็กทำให้เกิดภาวะตับอักเสบเฉียบพลัน (Acute hepatitis) และตับวายในผู้ใช้ยา จึงมีประกาศถอนทะเบียนและเป็นข้อห้ามใช้เด็ดขาดในผู้ป่วยโรคตับ
🔍 ข้ออื่นผิดเพราะอะไร:
• ข้อ ข. ขมิ้นชัน, ข้อ ค. ขิง, ข้อ ง. กระเจี๊ยบแดง: ปลอดภัยต่อตับ
• ข้อ จ. หญ้าหนวดแมว: ห้ามในโรคไตและโรคหัวใจ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t>
        </is>
      </c>
      <c r="K79" s="2" t="n"/>
      <c r="L79" s="2" t="inlineStr">
        <is>
          <t>Herbal Extraction methods</t>
        </is>
      </c>
      <c r="M79" s="2" t="inlineStr">
        <is>
          <t>Product</t>
        </is>
      </c>
      <c r="N79" s="2" t="inlineStr">
        <is>
          <t>ข้อ 61 (PLE_CC1_Key_Rx20_UBU.md)</t>
        </is>
      </c>
      <c r="O79" s="2" t="n"/>
      <c r="P79" s="2" t="n"/>
    </row>
    <row r="80" ht="13.2" customHeight="1" s="49">
      <c r="A80" s="2" t="n">
        <v>78</v>
      </c>
      <c r="B80" s="2" t="inlineStr">
        <is>
          <t>ร้านขายยามีการติดป้ายโฆษณาหน้าร้านว่า 'ยาสมุนไพร อีอี สำหรับรักษาโรคเบาหวานให้หายขาด' การกระทำนี้มีความผิดตามกฎหมายหรือไม่ เพราะเหตุใด</t>
        </is>
      </c>
      <c r="C80" s="2" t="n"/>
      <c r="D80" s="2" t="inlineStr">
        <is>
          <t>ผิด เนื่องจากกฎหมายห้ามโฆษณาขายยาหรือผลิตภัณฑ์สมุนไพรที่บำบัดรักษาโรคที่รัฐมนตรีประกาศกำหนด (เช่น โรคเบาหวาน)</t>
        </is>
      </c>
      <c r="E80" s="2" t="inlineStr">
        <is>
          <t>ไม่มีความผิด หากยาสมุนไพรนั้นได้รับการรับรองจากกระทรวงสาธารณสุขแล้ว</t>
        </is>
      </c>
      <c r="F80" s="2" t="inlineStr">
        <is>
          <t>ไม่มีความผิด หากติดป้ายเฉพาะภายในบริเวณหน้าร้านของตนเอง</t>
        </is>
      </c>
      <c r="G80" s="2" t="inlineStr">
        <is>
          <t>ผิด เฉพาะกรณีที่ยาดังกล่าวมีส่วนผสมของสารสเตียรอยด์เท่านั้น</t>
        </is>
      </c>
      <c r="H80" s="2" t="inlineStr">
        <is>
          <t>ไม่มีความผิด หากมีงานวิจัยทางวิทยาศาสตร์รองรับ</t>
        </is>
      </c>
      <c r="I80" s="2" t="n">
        <v>1</v>
      </c>
      <c r="J80" s="2" t="inlineStr">
        <is>
          <t>✅ คำตอบที่ถูกต้อง: ข้อ ก. ผิด เนื่องจากกฎหมายห้ามโฆษณาขายยาหรือผลิตภัณฑ์สมุนไพรที่บำบัดรักษาโรคที่รัฐมนตรีประกาศกำหนด (เช่น โรคเบาหวาน)
💡 Background:
มาตรา 88 แห่ง พ.ร.บ. ยา พ.ศ. 2510 และมาตรา 70 แห่ง พ.ร.บ. ผลิตภัณฑ์สมุนไพร พ.ศ. 2562 มีข้อห้ามเด็ดขาดเกี่ยวกับการโฆษณาโรคต้องห้าม
🎯 ทำไมข้อนี้ถึงถูก:
กฎหมายห้ามมิให้โฆษณาขายยาหรือผลิตภัณฑ์สมุนไพรว่าสามารถบำบัด บรรเทา รักษา หรือป้องกันโรค หรืออาการของโรคที่รัฐมนตรีประกาศกำหนด ได้แก่ โรคมะเร็ง, โรคเบาหวาน, โรคเรื้อน, วัณโรค, โรคของต่อมไทรอยด์, หรือโรคเอดส์ การโฆษณาว่ารักษาเบาหวานจึงเป็นการกระทำความผิดตามกฎหมายโดยตรง
🔍 ข้ออื่นผิดเพราะอะไร:
• ข้อ ข., ข้อ ค., ข้อ จ.: ผิด เพราะข้อห้ามตามกฎหมายเป็นบทบังคับเด็ดขาดเพื่อคุ้มครองประชาชน ไม่สามารถอ้างสถานที่ติดป้ายหรือผลงานวิจัยมายกเว้นได้
• ข้อ ง.: ผิด ไม่ได้ขึ้นอยู่กับการมีสเตียรอยด์ แต่ผิดที่ข้อความการโฆษณาโรคต้องห้าม
📖 Guideline อ้างอิง:
พระราชบัญญัติยา พ.ศ. 2510 (มาตรา 88) &amp; พระราชบัญญัติผลิตภัณฑ์สมุนไพร พ.ศ. 2562 (มาตรา 70)
📌 จุดจำก่อนสอบ:
• ห้ามโฆษณารักษา: เบาหวาน, มะเร็ง, อัมพาต, เอดส์, วัณโรค, กามโรค</t>
        </is>
      </c>
      <c r="K80" s="2" t="n"/>
      <c r="L80" s="2" t="inlineStr">
        <is>
          <t>Herbal Extraction methods</t>
        </is>
      </c>
      <c r="M80" s="2" t="inlineStr">
        <is>
          <t>Product</t>
        </is>
      </c>
      <c r="N80" s="2" t="inlineStr">
        <is>
          <t>ข้อ 10 (PLE_CC1_Key_Rx20_UBU.md)</t>
        </is>
      </c>
      <c r="O80" s="2" t="n"/>
      <c r="P80" s="2" t="n"/>
    </row>
    <row r="81" ht="13.2" customHeight="1" s="49">
      <c r="A81" s="2" t="n">
        <v>79</v>
      </c>
      <c r="B81" s="2" t="inlineStr">
        <is>
          <t>สมุนไพรในบัญชียาหลักแห่งชาติด้านสมุนไพรตัวใดที่สามารถสั่งใช้ในรูปแบบยารับประทานเพื่อบรรเทาอาการปวดกล้ามเนื้อและปวดข้อได้เสมือนยา NSAIDs</t>
        </is>
      </c>
      <c r="C81" s="2" t="n"/>
      <c r="D81" s="2" t="inlineStr">
        <is>
          <t>เถาวัลย์เปรียง</t>
        </is>
      </c>
      <c r="E81" s="2" t="inlineStr">
        <is>
          <t>พริก</t>
        </is>
      </c>
      <c r="F81" s="2" t="inlineStr">
        <is>
          <t>เปล้าน้อย</t>
        </is>
      </c>
      <c r="G81" s="2" t="inlineStr">
        <is>
          <t>ขมิ้นชัน</t>
        </is>
      </c>
      <c r="H81" s="2" t="inlineStr">
        <is>
          <t>ชุมเห็ดเทศ</t>
        </is>
      </c>
      <c r="I81" s="2" t="n">
        <v>1</v>
      </c>
      <c r="J81" s="2" t="inlineStr">
        <is>
          <t>✅ คำตอบที่ถูกต้อง: ข้อ ก. เถาวัลย์เปรียง
💡 Background:
เถาวัลย์เปรียง (Derris scandens) ได้รับการบรรจุในบัญชียาหลักแห่งชาติตั้งแต่ พ.ศ. 2554
🎯 ทำไมข้อนี้ถึงถูก:
ยาผสมเถาวัลย์เปรียง (สารสกัดหรือผง) มีข้อบ่งใช้รับประทานเพื่อบรรเทาอาการปวดกล้ามเนื้อ ปวดข้อเข่าเสื่อม ออกฤทธิ์ยับยั้งการสร้างสารสื่ออักเสบ Prostaglandins เสมือนยากลุ่ม NSAIDs
🔍 ข้ออื่นผิดเพราะอะไร:
• ข้อ ข. (พริก): เป็นยาทาภายนอก (เจลพริก) บรรเทาอาการปวด
• ข้อ ค. (เปล้าน้อย): ใช้รักษาแผลในกระเพาะอาหาร (Plaunotol)
• ข้อ ง. (ขมิ้นชัน): ขับลม รักษาโรคกระเพาะ
• ข้อ จ. (ชุมเห็ดเทศ): ยาระบาย
📖 Guideline อ้างอิง:
บัญชียาหลักแห่งชาติด้านสมุนไพร พ.ศ. 2566 &amp; Thai Herbal Pharmacopoeia (THP)
📌 จุดจำก่อนสอบ:
• เถาวัลย์เปรียง = รับประทานแก้ปวดกล้ามเนื้อและข้อเข่าเสื่อม</t>
        </is>
      </c>
      <c r="K81" s="2" t="n"/>
      <c r="L81" s="2" t="inlineStr">
        <is>
          <t>Herbal Extraction methods</t>
        </is>
      </c>
      <c r="M81" s="2" t="inlineStr">
        <is>
          <t>Product</t>
        </is>
      </c>
      <c r="N81" s="2" t="inlineStr">
        <is>
          <t>ข้อ 4 (PLE_CC1_Key_Rx20_UBU.md)</t>
        </is>
      </c>
      <c r="O81" s="2" t="n"/>
      <c r="P81" s="2" t="n"/>
    </row>
    <row r="82" ht="13.2" customHeight="1" s="49">
      <c r="A82" s="2" t="n">
        <v>80</v>
      </c>
      <c r="B82" s="2" t="inlineStr">
        <is>
          <t>สมุนไพรในข้อใดที่ได้รับการบรรจุในบัญชียาหลักแห่งชาติด้านสมุนไพรสำหรับใช้ช่วยในการบำบัดรักษาผู้ติดบุหรี่ในคลินิกเลิกบุหรี่</t>
        </is>
      </c>
      <c r="C82" s="2" t="n"/>
      <c r="D82" s="2" t="inlineStr">
        <is>
          <t>หญ้าดอกขาว</t>
        </is>
      </c>
      <c r="E82" s="2" t="inlineStr">
        <is>
          <t>เพชรสังฆาต</t>
        </is>
      </c>
      <c r="F82" s="2" t="inlineStr">
        <is>
          <t>พริก</t>
        </is>
      </c>
      <c r="G82" s="2" t="inlineStr">
        <is>
          <t>ขลู่</t>
        </is>
      </c>
      <c r="H82" s="2" t="inlineStr">
        <is>
          <t>มะระขี้นก</t>
        </is>
      </c>
      <c r="I82" s="2" t="n">
        <v>1</v>
      </c>
      <c r="J82" s="2" t="inlineStr">
        <is>
          <t>✅ คำตอบที่ถูกต้อง: ข้อ ก. หญ้าดอกขาว
💡 Background:
ชาชงหญ้าดอกขาว (Vernonia cinerea) เป็นสมุนไพรช่วยเลิกบุหรี่ตัวแรกในบัญชียาหลักแห่งชาติ
🎯 ทำไมข้อนี้ถึงถูก:
สารสำคัญและโพแทสเซียมไนเตรตในหญ้าดอกขาวทำให้ต่อมรับรสที่ลิ้นชา รสชาติของบุหรี่เปลี่ยนไปเป็นรสเฝื่อนขม ทำให้ไม่อยากสูบบุหรี่ ช่วยเพิ่มอัตราการเลิกบุหรี่ได้อย่างมีนัยสำคัญ
🔍 ข้ออื่นผิดเพราะอะไร:
• ข้อ ข. เพชรสังฆาต: ริดสีดวงทวาร
• ข้อ ค. พริก: เจลลดปวด
• ข้อ ง. ขลู่: ขับปัสสาวะ
• ข้อ จ. มะระขี้นก: ลดน้ำตาล
📖 Guideline อ้างอิง:
บัญชียาหลักแห่งชาติด้านสมุนไพร พ.ศ. 2566 &amp; แนวทางเวชปฏิบัติการเลิกบุหรี่แห่งประเทศไทย
📌 จุดจำก่อนสอบ:
• หญ้าดอกขาว = ช่วยเลิกบุหรี่</t>
        </is>
      </c>
      <c r="K82" s="2" t="n"/>
      <c r="L82" s="2" t="inlineStr">
        <is>
          <t>Herbal Extraction methods</t>
        </is>
      </c>
      <c r="M82" s="2" t="inlineStr">
        <is>
          <t>Product</t>
        </is>
      </c>
      <c r="N82" s="2" t="inlineStr">
        <is>
          <t>ข้อ 7 (PLE_CC1_Key_Rx20_UBU.md)</t>
        </is>
      </c>
      <c r="O82" s="2" t="n"/>
      <c r="P82" s="2" t="n"/>
    </row>
    <row r="83" ht="13.2" customHeight="1" s="49">
      <c r="A83" s="2" t="n">
        <v>81</v>
      </c>
      <c r="B83" s="2" t="inlineStr">
        <is>
          <t>ข้อความโฆษณาในข้อใดต่อไปนี้ถือเป็นการกระทำความผิดตามพระราชบัญญัติผลิตภัณฑ์สมุนไพร พ.ศ. 2562 และพระราชบัญญัติยา พ.ศ. 2510</t>
        </is>
      </c>
      <c r="C83" s="2" t="n"/>
      <c r="D83" s="2" t="inlineStr">
        <is>
          <t>โฆษณาว่ายาสมุนไพรสามารถรักษาโรคเบาหวานให้หายขาดได้</t>
        </is>
      </c>
      <c r="E83" s="2" t="inlineStr">
        <is>
          <t>โฆษณาแสดงเลขทะเบียนตำรับผลิตภัณฑ์สมุนไพรที่ได้รับอนุญาต</t>
        </is>
      </c>
      <c r="F83" s="2" t="inlineStr">
        <is>
          <t>โฆษณาระบุข้อบ่งใช้ตามที่ระบุไว้ในฉลากและเอกสารกำกับยาที่ได้รับอนุมัติ</t>
        </is>
      </c>
      <c r="G83" s="2" t="inlineStr">
        <is>
          <t>โฆษณาระบุชื่อและที่ตั้งของผู้ผลิตอย่างถูกต้อง</t>
        </is>
      </c>
      <c r="H83" s="2" t="inlineStr">
        <is>
          <t>โฆษณาคำเตือนและข้อควรระวังตามประกาศของกระทรวงสาธารณสุข</t>
        </is>
      </c>
      <c r="I83" s="2" t="n">
        <v>1</v>
      </c>
      <c r="J83" s="2" t="inlineStr">
        <is>
          <t>✅ คำตอบที่ถูกต้อง: ข้อ ก. โฆษณาว่ายาสมุนไพรสามารถรักษาโรคเบาหวานให้หายขาดได้
💡 Background:
กฎหมายควบคุมการโฆษณายาและผลิตภัณฑ์สมุนไพรมีเป้าหมายเพื่อป้องกันการหลอกลวงประชาชน
🎯 ทำไมข้อนี้ถึงถูก:
การโฆษณาว่า 'รักษาโรคเบาหวานให้หายขาด' ผิดกฎหมายถึง 2 กระทง:
1. ห้ามโฆษณาบำบัดรักษาโรคเบาหวาน (โรคต้องห้ามตามประกาศรัฐมนตรี)
2. ห้ามโฆษณาโอ้อวดสรรพคุณเป็นเท็จหรือเกินจริง (เบาหวานเป็นโรคเรื้อรัง ไม่มียารักษาให้หายขาด)
🔍 ข้ออื่นผิดเพราะอะไร:
• ข้อ ข., ข้อ ค., ข้อ ง., ข้อ จ.: เป็นข้อมูลทางกฎหมายที่ถูกต้องและพึงกระทำในการโฆษณา
📖 Guideline อ้างอิง:
พระราชบัญญัติผลิตภัณฑ์สมุนไพร พ.ศ. 2562 &amp; พระราชบัญญัติยา พ.ศ. 2510
📌 จุดจำก่อนสอบ:
• โฆษณาอ้างรักษาเบาหวาน มะเร็ง เอดส์ หรือหายขาด = ผิดกฎหมายชัดเจน!</t>
        </is>
      </c>
      <c r="K83" s="2" t="n"/>
      <c r="L83" s="2" t="inlineStr">
        <is>
          <t>Herbal Extraction methods</t>
        </is>
      </c>
      <c r="M83" s="2" t="inlineStr">
        <is>
          <t>Product</t>
        </is>
      </c>
      <c r="N83" s="2" t="inlineStr">
        <is>
          <t>ข้อ 5 (PLE_CC1_Key_Rx20_UBU.md)</t>
        </is>
      </c>
      <c r="O83" s="2" t="n"/>
      <c r="P83" s="2" t="n"/>
    </row>
    <row r="84" ht="13.2" customHeight="1" s="49">
      <c r="A84" s="2" t="n">
        <v>82</v>
      </c>
      <c r="B84" s="2" t="inlineStr">
        <is>
          <t>สมุนไพรในข้อใดที่มีการนำมาพัฒนาเป็นผลิตภัณฑ์สมุนไพรเพื่อช่วยลดระดับไขมันในเลือดและชะลอการเกิดภาวะหลอดเลือดแดงแข็ง (Atherosclerosis)</t>
        </is>
      </c>
      <c r="C84" s="2" t="n"/>
      <c r="D84" s="2" t="inlineStr">
        <is>
          <t>กระเทียม</t>
        </is>
      </c>
      <c r="E84" s="2" t="inlineStr">
        <is>
          <t>บอระเพ็ด</t>
        </is>
      </c>
      <c r="F84" s="2" t="inlineStr">
        <is>
          <t>ฟ้าทะลายโจร</t>
        </is>
      </c>
      <c r="G84" s="2" t="inlineStr">
        <is>
          <t>ชุมเห็ดเทศ</t>
        </is>
      </c>
      <c r="H84" s="2" t="inlineStr">
        <is>
          <t>บัวบก</t>
        </is>
      </c>
      <c r="I84" s="2" t="n">
        <v>1</v>
      </c>
      <c r="J84" s="2" t="inlineStr">
        <is>
          <t>✅ คำตอบที่ถูกต้อง: ข้อ ก. กระเทียม
💡 Background:
กระเทียม (Allium sativum) เป็นสมุนไพรที่มีหลักฐานทางคลินิกสนับสนุนด้านการลดความเสี่ยงโรคหัวใจและหลอดเลือด
🎯 ทำไมข้อนี้ถึงถูก:
กระเทียมมีสาร Allicin และ Ajoene ช่วยลดระดับไตรกลีเซอไรด์ คอเลสเตอรอล และต้านการเกาะกลุ่มของเกล็ดเลือด ชะลอการตีบตันของหลอดเลือดแดง
🔍 ข้ออื่นผิดเพราะอะไร:
• ข้อ ข. บอระเพ็ด: แก้ไข้ เจริญอาหาร
• ข้อ ค. ฟ้าทะลายโจร: แก้หวัด
• ข้อ ง. ชุมเห็ดเทศ: ยาระบาย
• ข้อ จ. บัวบก: สมานแผล
📖 Guideline อ้างอิง:
Natural Medicines Comprehensive Database &amp; Thai Herbal Pharmacopoeia (THP)
📌 จุดจำก่อนสอบ:
• กระเทียม: ลดไขมัน ต้านเกล็ดเลือด</t>
        </is>
      </c>
      <c r="K84" s="2" t="n"/>
      <c r="L84" s="2" t="inlineStr">
        <is>
          <t>Herbal Extraction methods</t>
        </is>
      </c>
      <c r="M84" s="2" t="inlineStr">
        <is>
          <t>Product</t>
        </is>
      </c>
      <c r="N84" s="2" t="inlineStr">
        <is>
          <t>ข้อ 15 (PLE_CC1_Key_Rx20_UBU.md)</t>
        </is>
      </c>
      <c r="O84" s="2" t="n"/>
      <c r="P84" s="2" t="n"/>
    </row>
    <row r="85" ht="13.2" customHeight="1" s="49">
      <c r="A85" s="2" t="n">
        <v>83</v>
      </c>
      <c r="B85" s="2" t="inlineStr">
        <is>
          <t>การที่รัฐบาลประกาศใช้มาตรการบังคับใช้สิทธิเหนือสิทธิบัตรยา (Compulsory Licensing: CL) ภายใต้ความตกลง TRIPS ขององค์การการค้าโลก มีวัตถุประสงค์หลักเพื่อสิ่งใด</t>
        </is>
      </c>
      <c r="C85" s="2" t="n"/>
      <c r="D85" s="2" t="inlineStr">
        <is>
          <t>เพื่อส่งเสริมให้ประชาชนสามารถเข้าถึงยาจำเป็นที่มีราคาแพงและช่วยแก้ปัญหาวิกฤตสาธารณสุขของประเทศ</t>
        </is>
      </c>
      <c r="E85" s="2" t="inlineStr">
        <is>
          <t>เพื่อส่งเสริมการพัฒนาอุตสาหกรรมการผลิตยาและชีววัตถุภายในประเทศเพื่อการพาณิชย์</t>
        </is>
      </c>
      <c r="F85" s="2" t="inlineStr">
        <is>
          <t>เพื่อยกเลิกการคุ้มครองทรัพย์สินทางปัญญาทุกประเภทในประเทศ</t>
        </is>
      </c>
      <c r="G85" s="2" t="inlineStr">
        <is>
          <t>เพื่อยุติการโฆษณาส่งเสริมการขายยาที่ผิดจริยธรรม</t>
        </is>
      </c>
      <c r="H85" s="2" t="inlineStr">
        <is>
          <t>เพื่อบังคับให้บริษัทยาย้ายฐานการผลิตเข้ามาในประเทศ</t>
        </is>
      </c>
      <c r="I85" s="2" t="n">
        <v>1</v>
      </c>
      <c r="J85" s="2" t="inlineStr">
        <is>
          <t>✅ คำตอบที่ถูกต้อง: ข้อ ก. เพื่อส่งเสริมให้ประชาชนสามารถเข้าถึงยาจำเป็นที่มีราคาแพงและช่วยแก้ปัญหาวิกฤตสาธารณสุขของประเทศ
💡 Background:
มาตรการบังคับใช้สิทธิเหนือสิทธิบัตรโดยรัฐ (Government Use Licenses / Compulsory Licensing: CL) เป็นมาตรการยืดหยุ่น (Flexibilities) ภายใต้ความตกลง TRIPS Agreement (Trade-Related Aspects of Intellectual Property Rights) และปฏิญญาโดฮา (Doha Declaration)
🎯 ทำไมข้อนี้ถึงถูก:
วัตถุประสงค์หลักของ CL คือการแก้ไขวิกฤตทางสาธารณสุขและส่งเสริมให้ประชาชนเข้าถึงยาจำเป็นสำหรับการรักษาโรคที่มีความสำคัญต่อชีวิต (เช่น ยาต้านไวรัส HIV, ยารักษามะเร็ง, ยาโรคหัวใจ) ซึ่งมีราคาสูงเกินกว่าที่ระบบหลักประกันสุขภาพจะจัดหาให้ประชาชนได้อย่างทั่วถึง รัฐจึงมีสิทธินำเข้าหรือผลิตยาชื่อสามัญโดยจ่ายค่าตอบแทนสิทธิบัตรอย่างเป็นธรรมแก่ผู้ทรงสิทธิบัตร
🔍 ข้ออื่นผิดเพราะอะไร:
• ข้อ ข., ข้อ ค., ข้อ ง., ข้อ จ.: ไม่ใช่วัตถุประสงค์หลักตามกรอบกฎหมายทรัพย์สินทางปัญญาระหว่างประเทศ CL ไม่ได้ทำเพื่อประโยชน์เชิงพาณิชย์หรือยกเลิกสิทธิบัตร แต่ทำเพื่อประโยชน์สาธารณะด้านสาธารณสุข
📖 Guideline อ้างอิง:
พระราชบัญญัติสิทธิบัตร พ.ศ. 2522 (มาตรา 51) &amp; WTO Doha Declaration on the TRIPS Agreement and Public Health 2001
📌 จุดจำก่อนสอบ:
• Compulsory Licensing (CL): ทำเพื่อ 'การเข้าถึงยาจำเป็นของประชาชน' (Access to medicines) และคุ้มครองสุขภาพสาธารณะ</t>
        </is>
      </c>
      <c r="K85" s="2" t="n"/>
      <c r="L85" s="2" t="inlineStr">
        <is>
          <t>Herbal Extraction methods</t>
        </is>
      </c>
      <c r="M85" s="2" t="inlineStr">
        <is>
          <t>Product</t>
        </is>
      </c>
      <c r="N85" s="2" t="inlineStr">
        <is>
          <t>ข้อ 2 (PLE_CC1_Key_Rx20_UBU.md)</t>
        </is>
      </c>
      <c r="O85" s="2" t="n"/>
      <c r="P85" s="2" t="n"/>
    </row>
    <row r="86" ht="13.2" customHeight="1" s="49">
      <c r="A86" s="2" t="n">
        <v>84</v>
      </c>
      <c r="B86" s="2" t="inlineStr">
        <is>
          <t>สมุนไพรในข้อใดที่มีสารสกัดออกฤทธิ์ทางชีวภาพช่วยลดอาการคลื่นไส้ อาเจียน และอาการจุกเสียดแน่นท้องได้อย่างมีประสิทธิภาพ</t>
        </is>
      </c>
      <c r="C86" s="2" t="n"/>
      <c r="D86" s="2" t="inlineStr">
        <is>
          <t>ขิง</t>
        </is>
      </c>
      <c r="E86" s="2" t="inlineStr">
        <is>
          <t>กะเพรา</t>
        </is>
      </c>
      <c r="F86" s="2" t="inlineStr">
        <is>
          <t>โหระพา</t>
        </is>
      </c>
      <c r="G86" s="2" t="inlineStr">
        <is>
          <t>กล้วย</t>
        </is>
      </c>
      <c r="H86" s="2" t="inlineStr">
        <is>
          <t>พริก</t>
        </is>
      </c>
      <c r="I86" s="2" t="n">
        <v>1</v>
      </c>
      <c r="J86" s="2" t="inlineStr">
        <is>
          <t>✅ คำตอบที่ถูกต้อง: ข้อ ก. ขิง
💡 Background:
ขิง (Zingiber officinale) มีการใช้ทั่วโลกในการบรรเทาอาการคลื่นไส้อาเจียน
🎯 ทำไมข้อนี้ถึงถูก:
สาร Gingerols และ Shogaols ในขิง ออกฤทธิ์ต้าน 5-HT3 receptors และเร่งการบีบตัวของกระเพาะอาหาร ช่วยลดอาการคลื่นไส้อาเจียนจากการแพ้ท้อง เมารถ เมาเรือ และหลังผ่าตัด
🔍 ข้ออื่นผิดเพราะอะไร:
• ข้อ ข. กะเพรา, ข้อ ค. โหระพา: ขับลม
• ข้อ ง. กล้วย: กล้วยดิบรักษาแผลกระเพาะอาหาร ท้องเสีย
• ข้อ จ. พริก: ลดปวดกล้ามเนื้อและข้อ
📖 Guideline อ้างอิง:
บัญชียาหลักแห่งชาติด้านสมุนไพร พ.ศ. 2566 &amp; Thai Herbal Pharmacopoeia (THP)
📌 จุดจำก่อนสอบ:
• ขิง = ลดอาการคลื่นไส้อาเจียน</t>
        </is>
      </c>
      <c r="K86" s="2" t="n"/>
      <c r="L86" s="2" t="inlineStr">
        <is>
          <t>Herbal Extraction methods</t>
        </is>
      </c>
      <c r="M86" s="2" t="inlineStr">
        <is>
          <t>Product</t>
        </is>
      </c>
      <c r="N86" s="2" t="inlineStr">
        <is>
          <t>ข้อ 27 (PLE_CC1_Key_Rx20_UBU.md)</t>
        </is>
      </c>
      <c r="O86" s="2" t="n"/>
      <c r="P86" s="2" t="n"/>
    </row>
    <row r="87" ht="13.2" customHeight="1" s="49">
      <c r="A87" s="2" t="n">
        <v>85</v>
      </c>
      <c r="B87" s="2" t="inlineStr">
        <is>
          <t>สมุนไพรในข้อใดที่ไม่ควรใช้ร่วมกับยาต้านการอักเสบที่ไม่ใช่สเตียรอยด์ (NSAIDs) เนื่องจากมีกลไกยับยั้งเอนไซม์ Cyclooxygenase ซ้ำซ้อนกันจนอาจเพิ่มความเสี่ยงต่อการเกิดแผลและเลือดออกในทางเดินอาหาร</t>
        </is>
      </c>
      <c r="C87" s="2" t="n"/>
      <c r="D87" s="2" t="inlineStr">
        <is>
          <t>ดองดึง</t>
        </is>
      </c>
      <c r="E87" s="2" t="inlineStr">
        <is>
          <t>เถาวัลย์เปรียง</t>
        </is>
      </c>
      <c r="F87" s="2" t="inlineStr">
        <is>
          <t>ไพล</t>
        </is>
      </c>
      <c r="G87" s="2" t="inlineStr">
        <is>
          <t>บัวบก</t>
        </is>
      </c>
      <c r="H87" s="2" t="inlineStr">
        <is>
          <t>ขมิ้นอ้อย</t>
        </is>
      </c>
      <c r="I87" s="2" t="n">
        <v>2</v>
      </c>
      <c r="J87" s="2" t="inlineStr">
        <is>
          <t>✅ คำตอบที่ถูกต้อง: ข้อ ข. เถาวัลย์เปรียง
💡 Background:
เถาวัลย์เปรียง (Derris scandens) มีฤทธิ์ยับยั้งเอนไซม์ COX-2 คล้ายคลึงกับยา NSAIDs
🎯 ทำไมข้อนี้ถึงถูก:
การใช้เถาวัลย์เปรียงร่วมกับยาในกลุ่ม NSAIDs (เช่น Ibuprofen, Diclofenac, Naproxen) จะทำให้เกิดผลเสริมฤทธิ์กันในการยับยั้ง Prostaglandins ส่งผลให้เยื่อบุกระเพาะอาหารสูญเสียกลไกการปกป้องตนเอง เพิ่มความเสี่ยงต่อการเกิดแผลในกระเพาะอาหาร (Peptic ulcer) เลือดออกในทางเดินอาหาร และการทำงานของไตบกพร่อง จึงมีคำเตือนห้ามใช้ร่วมกัน
🔍 ข้ออื่นผิดเพราะอะไร:
• ข้อ ก. ดองดึง: มี Colchicine แก้เก๊าท์ (ไม่ใช่สมุนไพรเดี่ยวในบัญชียาหลัก)
• ข้อ ค. ไพล: ยาทาภายนอกลดปวดบวม
• ข้อ ง. บัวบก: สมานแผล
• ข้อ จ. ขมิ้นอ้อย: ขับลม สมานแผล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ห้ามใช้ร่วมกับ NSAIDs เสี่ยงแผลและเลือดออกในกระเพาะอาหาร!</t>
        </is>
      </c>
      <c r="K87" s="2" t="n"/>
      <c r="L87" s="2" t="inlineStr">
        <is>
          <t>Herbal Extraction methods</t>
        </is>
      </c>
      <c r="M87" s="2" t="inlineStr">
        <is>
          <t>Product</t>
        </is>
      </c>
      <c r="N87" s="2" t="inlineStr">
        <is>
          <t>ข้อ 108 (PLE_CC1_Key_Rx20_UBU.md)</t>
        </is>
      </c>
      <c r="O87" s="2" t="n"/>
      <c r="P87" s="2" t="n"/>
    </row>
    <row r="88" ht="13.2" customHeight="1" s="49">
      <c r="A88" t="n">
        <v>86</v>
      </c>
      <c r="B88" t="inlineStr">
        <is>
          <t>เหตุใดจึงมีข้อห้ามใช้สมุนไพรหญ้าหนวดแมว (Orthosiphon aristatus) ในผู้ป่วยโรคไตวายและผู้ป่วยโรคหัวใจล้มเหลว</t>
        </is>
      </c>
      <c r="D88" t="inlineStr">
        <is>
          <t>มีปริมาณเกลือโพแทสเซียมสูงมาก เสี่ยงต่อการเกิดภาวะ Hyperkalemia รุนแรง</t>
        </is>
      </c>
      <c r="E88" t="inlineStr">
        <is>
          <t>อาจทำให้ระดับไขมันคอเลสเตอรอลในเลือดสูงขึ้นอย่างรวดเร็ว</t>
        </is>
      </c>
      <c r="F88" t="inlineStr">
        <is>
          <t>อาจทำให้ระดับน้ำตาลในเลือดสูงขึ้นจนเกิดภาวะ DKA</t>
        </is>
      </c>
      <c r="G88" t="inlineStr">
        <is>
          <t>มีฤทธิ์กระตุ้นระบบประสาทซิมพาเทติกทำให้ความดันโลหิตสูงวิกฤต</t>
        </is>
      </c>
      <c r="H88" t="inlineStr">
        <is>
          <t>มีสารพิษทำลายเซลล์ตับทำให้ตับวายเฉียบพลัน</t>
        </is>
      </c>
      <c r="I88" t="n">
        <v>1</v>
      </c>
      <c r="J88" t="inlineStr">
        <is>
          <t>✅ คำตอบที่ถูกต้อง: ข้อ ก. มีปริมาณเกลือโพแทสเซียมสูงมาก เสี่ยงต่อการเกิดภาวะ Hyperkalemia รุนแรง
💡 Background:
หญ้าหนวดแมว (Orthosiphon aristatus) นิยมใช้ชงดื่มขับปัสสาวะและขับกรดยูริก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
📖 Guideline อ้างอิง:
บัญชียาหลักแห่งชาติด้านสมุนไพร พ.ศ. 2566 &amp; Thai Herbal Pharmacopoeia (THP)
📌 จุดจำก่อนสอบ:
• หญ้าหนวดแมว = โพแทสเซียมสูง ห้ามใช้ในผู้ป่วยโรคไตและโรคหัวใจล้มเหลวเด็ดขาด!</t>
        </is>
      </c>
      <c r="L88" t="inlineStr">
        <is>
          <t>Hypertension</t>
        </is>
      </c>
      <c r="M88" t="inlineStr">
        <is>
          <t>Clinic</t>
        </is>
      </c>
      <c r="N88" t="inlineStr">
        <is>
          <t>ข้อ 39 (PLE_CC1_2562_Key.md)</t>
        </is>
      </c>
    </row>
  </sheetData>
  <mergeCells count="1">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cols>
    <col width="10" customWidth="1" style="49" min="1" max="1"/>
    <col width="60" customWidth="1" style="49" min="2" max="2"/>
    <col width="15" customWidth="1" style="49" min="3" max="3"/>
    <col width="35" customWidth="1" style="49" min="4" max="4"/>
    <col width="35" customWidth="1" style="49" min="5" max="5"/>
    <col width="35" customWidth="1" style="49" min="6" max="6"/>
    <col width="35" customWidth="1" style="49" min="7" max="7"/>
    <col width="35" customWidth="1" style="49" min="8" max="8"/>
    <col width="14" customWidth="1" style="49" min="9" max="9"/>
    <col width="85" customWidth="1" style="49" min="10" max="10"/>
    <col width="15" customWidth="1" style="49" min="11" max="11"/>
    <col width="25" customWidth="1" style="49" min="12" max="12"/>
    <col width="18" customWidth="1" style="49" min="13" max="13"/>
    <col width="20" customWidth="1" style="49" min="14" max="14"/>
    <col width="20" customWidth="1" style="49" min="15" max="15"/>
    <col width="24" customWidth="1" style="49" min="16" max="16"/>
    <col width="28" customWidth="1" style="49" min="17" max="17"/>
    <col width="30" customWidth="1" style="49" min="18" max="18"/>
  </cols>
  <sheetData>
    <row r="1" ht="35" customHeight="1" s="49">
      <c r="A1" s="55">
        <f>HYPERLINK("#'สารบัญ'!A1", "🏠 กลับสู่หน้าแรก (Go to Home Page)")</f>
        <v/>
      </c>
    </row>
    <row r="2" ht="28" customHeight="1" s="49">
      <c r="A2" s="56" t="inlineStr">
        <is>
          <t>ลำดับ</t>
        </is>
      </c>
      <c r="B2" s="56" t="inlineStr">
        <is>
          <t>Case ID (รหัสเคสมาตรฐาน)</t>
        </is>
      </c>
      <c r="C2" s="56" t="inlineStr">
        <is>
          <t>ประเภทเคส (Type)</t>
        </is>
      </c>
      <c r="D2" s="56" t="inlineStr">
        <is>
          <t>ชุดข้อสอบ (Set)</t>
        </is>
      </c>
      <c r="E2" s="56" t="inlineStr">
        <is>
          <t>โรค/หัวข้อ (Topic)</t>
        </is>
      </c>
      <c r="F2" s="56" t="inlineStr">
        <is>
          <t>ลำดับเคส (Case No)</t>
        </is>
      </c>
      <c r="G2" s="56" t="inlineStr">
        <is>
          <t>จำนวนข้อย่อย (Items)</t>
        </is>
      </c>
      <c r="H2" s="56" t="inlineStr">
        <is>
          <t>ตำแหน่งในชีต (Sheet / Rows)</t>
        </is>
      </c>
    </row>
    <row r="3">
      <c r="A3" s="57" t="n">
        <v>1</v>
      </c>
      <c r="B3" s="58" t="inlineStr">
        <is>
          <t>CASE_CLN_M83_AR_C01</t>
        </is>
      </c>
      <c r="C3" s="57" t="inlineStr">
        <is>
          <t>CLN</t>
        </is>
      </c>
      <c r="D3" s="57" t="inlineStr">
        <is>
          <t>M83</t>
        </is>
      </c>
      <c r="E3" s="57" t="inlineStr">
        <is>
          <t>AR</t>
        </is>
      </c>
      <c r="F3" s="57" t="inlineStr">
        <is>
          <t>C01</t>
        </is>
      </c>
      <c r="G3" s="57" t="n">
        <v>5</v>
      </c>
      <c r="H3" s="58" t="inlineStr">
        <is>
          <t>📥 รวมข้อสอบด่วน (แถว 43), 📥 รวมข้อสอบด่วน (แถว 44), 📥 รวมข้อสอบด่วน (แถว 45), 📥 รวมข้อสอบด่วน (แถว 46), 📥 รวมข้อสอบด่วน (แถว 47)</t>
        </is>
      </c>
    </row>
    <row r="4">
      <c r="A4" s="57" t="n">
        <v>2</v>
      </c>
      <c r="B4" s="58" t="inlineStr">
        <is>
          <t>CASE_CLN_M83_AR_C02</t>
        </is>
      </c>
      <c r="C4" s="57" t="inlineStr">
        <is>
          <t>CLN</t>
        </is>
      </c>
      <c r="D4" s="57" t="inlineStr">
        <is>
          <t>M83</t>
        </is>
      </c>
      <c r="E4" s="57" t="inlineStr">
        <is>
          <t>AR</t>
        </is>
      </c>
      <c r="F4" s="57" t="inlineStr">
        <is>
          <t>C02</t>
        </is>
      </c>
      <c r="G4" s="57" t="n">
        <v>1</v>
      </c>
      <c r="H4" s="58" t="inlineStr">
        <is>
          <t>📥 รวมข้อสอบด่วน (แถว 52)</t>
        </is>
      </c>
    </row>
    <row r="5">
      <c r="A5" s="57" t="n">
        <v>3</v>
      </c>
      <c r="B5" s="58" t="inlineStr">
        <is>
          <t>CASE_CLN_M83_DM_C01</t>
        </is>
      </c>
      <c r="C5" s="57" t="inlineStr">
        <is>
          <t>CLN</t>
        </is>
      </c>
      <c r="D5" s="57" t="inlineStr">
        <is>
          <t>M83</t>
        </is>
      </c>
      <c r="E5" s="57" t="inlineStr">
        <is>
          <t>DM</t>
        </is>
      </c>
      <c r="F5" s="57" t="inlineStr">
        <is>
          <t>C01</t>
        </is>
      </c>
      <c r="G5" s="57" t="n">
        <v>5</v>
      </c>
      <c r="H5" s="58" t="inlineStr">
        <is>
          <t>📥 รวมข้อสอบด่วน (แถว 28), 📥 รวมข้อสอบด่วน (แถว 29), 📥 รวมข้อสอบด่วน (แถว 30), 📥 รวมข้อสอบด่วน (แถว 31), 📥 รวมข้อสอบด่วน (แถว 32)</t>
        </is>
      </c>
    </row>
    <row r="6">
      <c r="A6" s="57" t="n">
        <v>4</v>
      </c>
      <c r="B6" s="58" t="inlineStr">
        <is>
          <t>CASE_CLN_M83_DM_C02</t>
        </is>
      </c>
      <c r="C6" s="57" t="inlineStr">
        <is>
          <t>CLN</t>
        </is>
      </c>
      <c r="D6" s="57" t="inlineStr">
        <is>
          <t>M83</t>
        </is>
      </c>
      <c r="E6" s="57" t="inlineStr">
        <is>
          <t>DM</t>
        </is>
      </c>
      <c r="F6" s="57" t="inlineStr">
        <is>
          <t>C02</t>
        </is>
      </c>
      <c r="G6" s="57" t="n">
        <v>2</v>
      </c>
      <c r="H6" s="58" t="inlineStr">
        <is>
          <t>📥 รวมข้อสอบด่วน (แถว 41), 📥 รวมข้อสอบด่วน (แถว 42)</t>
        </is>
      </c>
    </row>
    <row r="7">
      <c r="A7" s="57" t="n">
        <v>5</v>
      </c>
      <c r="B7" s="58" t="inlineStr">
        <is>
          <t>CASE_CLN_M83_GOUT_C01</t>
        </is>
      </c>
      <c r="C7" s="57" t="inlineStr">
        <is>
          <t>CLN</t>
        </is>
      </c>
      <c r="D7" s="57" t="inlineStr">
        <is>
          <t>M83</t>
        </is>
      </c>
      <c r="E7" s="57" t="inlineStr">
        <is>
          <t>GOUT</t>
        </is>
      </c>
      <c r="F7" s="57" t="inlineStr">
        <is>
          <t>C01</t>
        </is>
      </c>
      <c r="G7" s="57" t="n">
        <v>5</v>
      </c>
      <c r="H7" s="58" t="inlineStr">
        <is>
          <t>📥 รวมข้อสอบด่วน (แถว 3), 📥 รวมข้อสอบด่วน (แถว 4), 📥 รวมข้อสอบด่วน (แถว 5), 📥 รวมข้อสอบด่วน (แถว 6), 📥 รวมข้อสอบด่วน (แถว 7)</t>
        </is>
      </c>
    </row>
    <row r="8">
      <c r="A8" s="57" t="n">
        <v>6</v>
      </c>
      <c r="B8" s="58" t="inlineStr">
        <is>
          <t>CASE_CLN_M83_GOUT_C02</t>
        </is>
      </c>
      <c r="C8" s="57" t="inlineStr">
        <is>
          <t>CLN</t>
        </is>
      </c>
      <c r="D8" s="57" t="inlineStr">
        <is>
          <t>M83</t>
        </is>
      </c>
      <c r="E8" s="57" t="inlineStr">
        <is>
          <t>GOUT</t>
        </is>
      </c>
      <c r="F8" s="57" t="inlineStr">
        <is>
          <t>C02</t>
        </is>
      </c>
      <c r="G8" s="57" t="n">
        <v>1</v>
      </c>
      <c r="H8" s="58" t="inlineStr">
        <is>
          <t>📥 รวมข้อสอบด่วน (แถว 14)</t>
        </is>
      </c>
    </row>
    <row r="9">
      <c r="A9" s="57" t="n">
        <v>7</v>
      </c>
      <c r="B9" s="58" t="inlineStr">
        <is>
          <t>CASE_CLN_M83_HSV_C01</t>
        </is>
      </c>
      <c r="C9" s="57" t="inlineStr">
        <is>
          <t>CLN</t>
        </is>
      </c>
      <c r="D9" s="57" t="inlineStr">
        <is>
          <t>M83</t>
        </is>
      </c>
      <c r="E9" s="57" t="inlineStr">
        <is>
          <t>HSV</t>
        </is>
      </c>
      <c r="F9" s="57" t="inlineStr">
        <is>
          <t>C01</t>
        </is>
      </c>
      <c r="G9" s="57" t="n">
        <v>5</v>
      </c>
      <c r="H9" s="58" t="inlineStr">
        <is>
          <t>📥 รวมข้อสอบด่วน (แถว 121), 📥 รวมข้อสอบด่วน (แถว 122), 📥 รวมข้อสอบด่วน (แถว 123), 📥 รวมข้อสอบด่วน (แถว 124), 📥 รวมข้อสอบด่วน (แถว 125)</t>
        </is>
      </c>
    </row>
    <row r="10">
      <c r="A10" s="57" t="n">
        <v>8</v>
      </c>
      <c r="B10" s="58" t="inlineStr">
        <is>
          <t>CASE_CLN_M83_HTN_C01</t>
        </is>
      </c>
      <c r="C10" s="57" t="inlineStr">
        <is>
          <t>CLN</t>
        </is>
      </c>
      <c r="D10" s="57" t="inlineStr">
        <is>
          <t>M83</t>
        </is>
      </c>
      <c r="E10" s="57" t="inlineStr">
        <is>
          <t>HTN</t>
        </is>
      </c>
      <c r="F10" s="57" t="inlineStr">
        <is>
          <t>C01</t>
        </is>
      </c>
      <c r="G10" s="57" t="n">
        <v>5</v>
      </c>
      <c r="H10" s="58" t="inlineStr">
        <is>
          <t>📥 รวมข้อสอบด่วน (แถว 15), 📥 รวมข้อสอบด่วน (แถว 16), 📥 รวมข้อสอบด่วน (แถว 17), 📥 รวมข้อสอบด่วน (แถว 18), 📥 รวมข้อสอบด่วน (แถว 19)</t>
        </is>
      </c>
    </row>
    <row r="11">
      <c r="A11" s="57" t="n">
        <v>9</v>
      </c>
      <c r="B11" s="58" t="inlineStr">
        <is>
          <t>CASE_CLN_M83_HTN_C02</t>
        </is>
      </c>
      <c r="C11" s="57" t="inlineStr">
        <is>
          <t>CLN</t>
        </is>
      </c>
      <c r="D11" s="57" t="inlineStr">
        <is>
          <t>M83</t>
        </is>
      </c>
      <c r="E11" s="57" t="inlineStr">
        <is>
          <t>HTN</t>
        </is>
      </c>
      <c r="F11" s="57" t="inlineStr">
        <is>
          <t>C02</t>
        </is>
      </c>
      <c r="G11" s="57" t="n">
        <v>2</v>
      </c>
      <c r="H11" s="58" t="inlineStr">
        <is>
          <t>📥 รวมข้อสอบด่วน (แถว 26), 📥 รวมข้อสอบด่วน (แถว 27)</t>
        </is>
      </c>
    </row>
    <row r="12">
      <c r="A12" s="57" t="n">
        <v>10</v>
      </c>
      <c r="B12" s="58" t="inlineStr">
        <is>
          <t>CASE_CLN_M83_IDA_C01</t>
        </is>
      </c>
      <c r="C12" s="57" t="inlineStr">
        <is>
          <t>CLN</t>
        </is>
      </c>
      <c r="D12" s="57" t="inlineStr">
        <is>
          <t>M83</t>
        </is>
      </c>
      <c r="E12" s="57" t="inlineStr">
        <is>
          <t>IDA</t>
        </is>
      </c>
      <c r="F12" s="57" t="inlineStr">
        <is>
          <t>C01</t>
        </is>
      </c>
      <c r="G12" s="57" t="n">
        <v>5</v>
      </c>
      <c r="H12" s="58" t="inlineStr">
        <is>
          <t>📥 รวมข้อสอบด่วน (แถว 54), 📥 รวมข้อสอบด่วน (แถว 55), 📥 รวมข้อสอบด่วน (แถว 56), 📥 รวมข้อสอบด่วน (แถว 57), 📥 รวมข้อสอบด่วน (แถว 58)</t>
        </is>
      </c>
    </row>
    <row r="13">
      <c r="A13" s="57" t="n">
        <v>11</v>
      </c>
      <c r="B13" s="58" t="inlineStr">
        <is>
          <t>CASE_CLN_M83_IDA_C02</t>
        </is>
      </c>
      <c r="C13" s="57" t="inlineStr">
        <is>
          <t>CLN</t>
        </is>
      </c>
      <c r="D13" s="57" t="inlineStr">
        <is>
          <t>M83</t>
        </is>
      </c>
      <c r="E13" s="57" t="inlineStr">
        <is>
          <t>IDA</t>
        </is>
      </c>
      <c r="F13" s="57" t="inlineStr">
        <is>
          <t>C02</t>
        </is>
      </c>
      <c r="G13" s="57" t="n">
        <v>3</v>
      </c>
      <c r="H13" s="58" t="inlineStr">
        <is>
          <t>📥 รวมข้อสอบด่วน (แถว 62), 📥 รวมข้อสอบด่วน (แถว 63), 📥 รวมข้อสอบด่วน (แถว 65)</t>
        </is>
      </c>
    </row>
    <row r="14">
      <c r="A14" s="57" t="n">
        <v>12</v>
      </c>
      <c r="B14" s="58" t="inlineStr">
        <is>
          <t>CASE_CLN_M83_LUNG_C01</t>
        </is>
      </c>
      <c r="C14" s="57" t="inlineStr">
        <is>
          <t>CLN</t>
        </is>
      </c>
      <c r="D14" s="57" t="inlineStr">
        <is>
          <t>M83</t>
        </is>
      </c>
      <c r="E14" s="57" t="inlineStr">
        <is>
          <t>LUNG</t>
        </is>
      </c>
      <c r="F14" s="57" t="inlineStr">
        <is>
          <t>C01</t>
        </is>
      </c>
      <c r="G14" s="57" t="n">
        <v>5</v>
      </c>
      <c r="H14" s="58" t="inlineStr">
        <is>
          <t>📥 รวมข้อสอบด่วน (แถว 68), 📥 รวมข้อสอบด่วน (แถว 69), 📥 รวมข้อสอบด่วน (แถว 70), 📥 รวมข้อสอบด่วน (แถว 71), 📥 รวมข้อสอบด่วน (แถว 72)</t>
        </is>
      </c>
    </row>
    <row r="15">
      <c r="A15" s="57" t="n">
        <v>13</v>
      </c>
      <c r="B15" s="58" t="inlineStr">
        <is>
          <t>CASE_CLN_M83_LUNG_C02</t>
        </is>
      </c>
      <c r="C15" s="57" t="inlineStr">
        <is>
          <t>CLN</t>
        </is>
      </c>
      <c r="D15" s="57" t="inlineStr">
        <is>
          <t>M83</t>
        </is>
      </c>
      <c r="E15" s="57" t="inlineStr">
        <is>
          <t>LUNG</t>
        </is>
      </c>
      <c r="F15" s="57" t="inlineStr">
        <is>
          <t>C02</t>
        </is>
      </c>
      <c r="G15" s="57" t="n">
        <v>4</v>
      </c>
      <c r="H15" s="58" t="inlineStr">
        <is>
          <t>📥 รวมข้อสอบด่วน (แถว 78), 📥 รวมข้อสอบด่วน (แถว 79), 📥 รวมข้อสอบด่วน (แถว 82), 📥 รวมข้อสอบด่วน (แถว 83)</t>
        </is>
      </c>
    </row>
    <row r="16">
      <c r="A16" s="57" t="n">
        <v>14</v>
      </c>
      <c r="B16" s="58" t="inlineStr">
        <is>
          <t>CASE_CLN_M83_MIG_C01</t>
        </is>
      </c>
      <c r="C16" s="57" t="inlineStr">
        <is>
          <t>CLN</t>
        </is>
      </c>
      <c r="D16" s="57" t="inlineStr">
        <is>
          <t>M83</t>
        </is>
      </c>
      <c r="E16" s="57" t="inlineStr">
        <is>
          <t>MIG</t>
        </is>
      </c>
      <c r="F16" s="57" t="inlineStr">
        <is>
          <t>C01</t>
        </is>
      </c>
      <c r="G16" s="57" t="n">
        <v>5</v>
      </c>
      <c r="H16" s="58" t="inlineStr">
        <is>
          <t>📥 รวมข้อสอบด่วน (แถว 110), 📥 รวมข้อสอบด่วน (แถว 111), 📥 รวมข้อสอบด่วน (แถว 112), 📥 รวมข้อสอบด่วน (แถว 113), 📥 รวมข้อสอบด่วน (แถว 114)</t>
        </is>
      </c>
    </row>
    <row r="17">
      <c r="A17" s="57" t="n">
        <v>15</v>
      </c>
      <c r="B17" s="58" t="inlineStr">
        <is>
          <t>CASE_CLN_M83_MIG_C02</t>
        </is>
      </c>
      <c r="C17" s="57" t="inlineStr">
        <is>
          <t>CLN</t>
        </is>
      </c>
      <c r="D17" s="57" t="inlineStr">
        <is>
          <t>M83</t>
        </is>
      </c>
      <c r="E17" s="57" t="inlineStr">
        <is>
          <t>MIG</t>
        </is>
      </c>
      <c r="F17" s="57" t="inlineStr">
        <is>
          <t>C02</t>
        </is>
      </c>
      <c r="G17" s="57" t="n">
        <v>1</v>
      </c>
      <c r="H17" s="58" t="inlineStr">
        <is>
          <t>📥 รวมข้อสอบด่วน (แถว 120)</t>
        </is>
      </c>
    </row>
    <row r="18">
      <c r="A18" s="57" t="n">
        <v>16</v>
      </c>
      <c r="B18" s="58" t="inlineStr">
        <is>
          <t>CASE_CLN_M83_OC_C01</t>
        </is>
      </c>
      <c r="C18" s="57" t="inlineStr">
        <is>
          <t>CLN</t>
        </is>
      </c>
      <c r="D18" s="57" t="inlineStr">
        <is>
          <t>M83</t>
        </is>
      </c>
      <c r="E18" s="57" t="inlineStr">
        <is>
          <t>OC</t>
        </is>
      </c>
      <c r="F18" s="57" t="inlineStr">
        <is>
          <t>C01</t>
        </is>
      </c>
      <c r="G18" s="57" t="n">
        <v>4</v>
      </c>
      <c r="H18" s="58" t="inlineStr">
        <is>
          <t>📥 รวมข้อสอบด่วน (แถว 86), 📥 รวมข้อสอบด่วน (แถว 87), 📥 รวมข้อสอบด่วน (แถว 89), 📥 รวมข้อสอบด่วน (แถว 90)</t>
        </is>
      </c>
    </row>
    <row r="19">
      <c r="A19" s="57" t="n">
        <v>17</v>
      </c>
      <c r="B19" s="58" t="inlineStr">
        <is>
          <t>CASE_CLN_M83_TB_C01</t>
        </is>
      </c>
      <c r="C19" s="57" t="inlineStr">
        <is>
          <t>CLN</t>
        </is>
      </c>
      <c r="D19" s="57" t="inlineStr">
        <is>
          <t>M83</t>
        </is>
      </c>
      <c r="E19" s="57" t="inlineStr">
        <is>
          <t>TB</t>
        </is>
      </c>
      <c r="F19" s="57" t="inlineStr">
        <is>
          <t>C01</t>
        </is>
      </c>
      <c r="G19" s="57" t="n">
        <v>5</v>
      </c>
      <c r="H19" s="58" t="inlineStr">
        <is>
          <t>📥 รวมข้อสอบด่วน (แถว 100), 📥 รวมข้อสอบด่วน (แถว 101), 📥 รวมข้อสอบด่วน (แถว 97), 📥 รวมข้อสอบด่วน (แถว 98), 📥 รวมข้อสอบด่วน (แถว 99)</t>
        </is>
      </c>
    </row>
    <row r="20">
      <c r="A20" s="57" t="n">
        <v>18</v>
      </c>
      <c r="B20" s="58" t="inlineStr">
        <is>
          <t>CASE_CLN_M83_TB_C02</t>
        </is>
      </c>
      <c r="C20" s="57" t="inlineStr">
        <is>
          <t>CLN</t>
        </is>
      </c>
      <c r="D20" s="57" t="inlineStr">
        <is>
          <t>M83</t>
        </is>
      </c>
      <c r="E20" s="57" t="inlineStr">
        <is>
          <t>TB</t>
        </is>
      </c>
      <c r="F20" s="57" t="inlineStr">
        <is>
          <t>C02</t>
        </is>
      </c>
      <c r="G20" s="57" t="n">
        <v>1</v>
      </c>
      <c r="H20" s="58" t="inlineStr">
        <is>
          <t>📥 รวมข้อสอบด่วน (แถว 106)</t>
        </is>
      </c>
    </row>
    <row r="21">
      <c r="A21" s="57" t="n">
        <v>19</v>
      </c>
      <c r="B21" s="58" t="inlineStr">
        <is>
          <t>CASE_PRD_M83_AR_C01</t>
        </is>
      </c>
      <c r="C21" s="57" t="inlineStr">
        <is>
          <t>PRD</t>
        </is>
      </c>
      <c r="D21" s="57" t="inlineStr">
        <is>
          <t>M83</t>
        </is>
      </c>
      <c r="E21" s="57" t="inlineStr">
        <is>
          <t>AR</t>
        </is>
      </c>
      <c r="F21" s="57" t="inlineStr">
        <is>
          <t>C01</t>
        </is>
      </c>
      <c r="G21" s="57" t="n">
        <v>4</v>
      </c>
      <c r="H21" s="58" t="inlineStr">
        <is>
          <t>📥 รวมข้อสอบด่วน (แถว 48), 📥 รวมข้อสอบด่วน (แถว 49), 📥 รวมข้อสอบด่วน (แถว 50), 📥 รวมข้อสอบด่วน (แถว 51)</t>
        </is>
      </c>
    </row>
    <row r="22">
      <c r="A22" s="57" t="n">
        <v>20</v>
      </c>
      <c r="B22" s="58" t="inlineStr">
        <is>
          <t>CASE_PRD_M83_DM_C01</t>
        </is>
      </c>
      <c r="C22" s="57" t="inlineStr">
        <is>
          <t>PRD</t>
        </is>
      </c>
      <c r="D22" s="57" t="inlineStr">
        <is>
          <t>M83</t>
        </is>
      </c>
      <c r="E22" s="57" t="inlineStr">
        <is>
          <t>DM</t>
        </is>
      </c>
      <c r="F22" s="57" t="inlineStr">
        <is>
          <t>C01</t>
        </is>
      </c>
      <c r="G22" s="57" t="n">
        <v>7</v>
      </c>
      <c r="H22" s="58" t="inlineStr">
        <is>
          <t>📥 รวมข้อสอบด่วน (แถว 33), 📥 รวมข้อสอบด่วน (แถว 34), 📥 รวมข้อสอบด่วน (แถว 35), 📥 รวมข้อสอบด่วน (แถว 36), 📥 รวมข้อสอบด่วน (แถว 37), 📥 รวมข้อสอบด่วน (แถว 38), 📥 รวมข้อสอบด่วน (แถว 39)</t>
        </is>
      </c>
    </row>
    <row r="23">
      <c r="A23" s="57" t="n">
        <v>21</v>
      </c>
      <c r="B23" s="58" t="inlineStr">
        <is>
          <t>CASE_PRD_M83_GOUT_C01</t>
        </is>
      </c>
      <c r="C23" s="57" t="inlineStr">
        <is>
          <t>PRD</t>
        </is>
      </c>
      <c r="D23" s="57" t="inlineStr">
        <is>
          <t>M83</t>
        </is>
      </c>
      <c r="E23" s="57" t="inlineStr">
        <is>
          <t>GOUT</t>
        </is>
      </c>
      <c r="F23" s="57" t="inlineStr">
        <is>
          <t>C01</t>
        </is>
      </c>
      <c r="G23" s="57" t="n">
        <v>5</v>
      </c>
      <c r="H23" s="58" t="inlineStr">
        <is>
          <t>📥 รวมข้อสอบด่วน (แถว 10), 📥 รวมข้อสอบด่วน (แถว 11), 📥 รวมข้อสอบด่วน (แถว 12), 📥 รวมข้อสอบด่วน (แถว 8), 📥 รวมข้อสอบด่วน (แถว 9)</t>
        </is>
      </c>
    </row>
    <row r="24">
      <c r="A24" s="57" t="n">
        <v>22</v>
      </c>
      <c r="B24" s="58" t="inlineStr">
        <is>
          <t>CASE_PRD_M83_HSV_C01</t>
        </is>
      </c>
      <c r="C24" s="57" t="inlineStr">
        <is>
          <t>PRD</t>
        </is>
      </c>
      <c r="D24" s="57" t="inlineStr">
        <is>
          <t>M83</t>
        </is>
      </c>
      <c r="E24" s="57" t="inlineStr">
        <is>
          <t>HSV</t>
        </is>
      </c>
      <c r="F24" s="57" t="inlineStr">
        <is>
          <t>C01</t>
        </is>
      </c>
      <c r="G24" s="57" t="n">
        <v>8</v>
      </c>
      <c r="H24" s="58" t="inlineStr">
        <is>
          <t>📥 รวมข้อสอบด่วน (แถว 126), 📥 รวมข้อสอบด่วน (แถว 128), 📥 รวมข้อสอบด่วน (แถว 129), 📥 รวมข้อสอบด่วน (แถว 130), 📥 รวมข้อสอบด่วน (แถว 131), 📥 รวมข้อสอบด่วน (แถว 132), 📥 รวมข้อสอบด่วน (แถว 133), 📥 รวมข้อสอบด่วน (แถว 134)</t>
        </is>
      </c>
    </row>
    <row r="25">
      <c r="A25" s="57" t="n">
        <v>23</v>
      </c>
      <c r="B25" s="58" t="inlineStr">
        <is>
          <t>CASE_PRD_M83_HTN_C01</t>
        </is>
      </c>
      <c r="C25" s="57" t="inlineStr">
        <is>
          <t>PRD</t>
        </is>
      </c>
      <c r="D25" s="57" t="inlineStr">
        <is>
          <t>M83</t>
        </is>
      </c>
      <c r="E25" s="57" t="inlineStr">
        <is>
          <t>HTN</t>
        </is>
      </c>
      <c r="F25" s="57" t="inlineStr">
        <is>
          <t>C01</t>
        </is>
      </c>
      <c r="G25" s="57" t="n">
        <v>5</v>
      </c>
      <c r="H25" s="58" t="inlineStr">
        <is>
          <t>📥 รวมข้อสอบด่วน (แถว 20), 📥 รวมข้อสอบด่วน (แถว 21), 📥 รวมข้อสอบด่วน (แถว 22), 📥 รวมข้อสอบด่วน (แถว 23), 📥 รวมข้อสอบด่วน (แถว 24)</t>
        </is>
      </c>
    </row>
    <row r="26">
      <c r="A26" s="57" t="n">
        <v>24</v>
      </c>
      <c r="B26" s="58" t="inlineStr">
        <is>
          <t>CASE_PRD_M83_IDA_C01</t>
        </is>
      </c>
      <c r="C26" s="57" t="inlineStr">
        <is>
          <t>PRD</t>
        </is>
      </c>
      <c r="D26" s="57" t="inlineStr">
        <is>
          <t>M83</t>
        </is>
      </c>
      <c r="E26" s="57" t="inlineStr">
        <is>
          <t>IDA</t>
        </is>
      </c>
      <c r="F26" s="57" t="inlineStr">
        <is>
          <t>C01</t>
        </is>
      </c>
      <c r="G26" s="57" t="n">
        <v>5</v>
      </c>
      <c r="H26" s="58" t="inlineStr">
        <is>
          <t>📥 รวมข้อสอบด่วน (แถว 59), 📥 รวมข้อสอบด่วน (แถว 60), 📥 รวมข้อสอบด่วน (แถว 61), 📥 รวมข้อสอบด่วน (แถว 64), 📥 รวมข้อสอบด่วน (แถว 66)</t>
        </is>
      </c>
    </row>
    <row r="27">
      <c r="A27" s="57" t="n">
        <v>25</v>
      </c>
      <c r="B27" s="58" t="inlineStr">
        <is>
          <t>CASE_PRD_M83_LUNG_C01</t>
        </is>
      </c>
      <c r="C27" s="57" t="inlineStr">
        <is>
          <t>PRD</t>
        </is>
      </c>
      <c r="D27" s="57" t="inlineStr">
        <is>
          <t>M83</t>
        </is>
      </c>
      <c r="E27" s="57" t="inlineStr">
        <is>
          <t>LUNG</t>
        </is>
      </c>
      <c r="F27" s="57" t="inlineStr">
        <is>
          <t>C01</t>
        </is>
      </c>
      <c r="G27" s="57" t="n">
        <v>8</v>
      </c>
      <c r="H27" s="58" t="inlineStr">
        <is>
          <t>📥 รวมข้อสอบด่วน (แถว 73), 📥 รวมข้อสอบด่วน (แถว 74), 📥 รวมข้อสอบด่วน (แถว 75), 📥 รวมข้อสอบด่วน (แถว 76), 📥 รวมข้อสอบด่วน (แถว 77), 📥 รวมข้อสอบด่วน (แถว 80), 📥 รวมข้อสอบด่วน (แถว 81), 📥 รวมข้อสอบด่วน (แถว 84)</t>
        </is>
      </c>
    </row>
    <row r="28">
      <c r="A28" s="57" t="n">
        <v>26</v>
      </c>
      <c r="B28" s="58" t="inlineStr">
        <is>
          <t>CASE_PRD_M83_MIG_C01</t>
        </is>
      </c>
      <c r="C28" s="57" t="inlineStr">
        <is>
          <t>PRD</t>
        </is>
      </c>
      <c r="D28" s="57" t="inlineStr">
        <is>
          <t>M83</t>
        </is>
      </c>
      <c r="E28" s="57" t="inlineStr">
        <is>
          <t>MIG</t>
        </is>
      </c>
      <c r="F28" s="57" t="inlineStr">
        <is>
          <t>C01</t>
        </is>
      </c>
      <c r="G28" s="57" t="n">
        <v>5</v>
      </c>
      <c r="H28" s="58" t="inlineStr">
        <is>
          <t>📥 รวมข้อสอบด่วน (แถว 115), 📥 รวมข้อสอบด่วน (แถว 116), 📥 รวมข้อสอบด่วน (แถว 117), 📥 รวมข้อสอบด่วน (แถว 118), 📥 รวมข้อสอบด่วน (แถว 119)</t>
        </is>
      </c>
    </row>
    <row r="29">
      <c r="A29" s="57" t="n">
        <v>27</v>
      </c>
      <c r="B29" s="58" t="inlineStr">
        <is>
          <t>CASE_PRD_M83_OC_C01</t>
        </is>
      </c>
      <c r="C29" s="57" t="inlineStr">
        <is>
          <t>PRD</t>
        </is>
      </c>
      <c r="D29" s="57" t="inlineStr">
        <is>
          <t>M83</t>
        </is>
      </c>
      <c r="E29" s="57" t="inlineStr">
        <is>
          <t>OC</t>
        </is>
      </c>
      <c r="F29" s="57" t="inlineStr">
        <is>
          <t>C01</t>
        </is>
      </c>
      <c r="G29" s="57" t="n">
        <v>6</v>
      </c>
      <c r="H29" s="58" t="inlineStr">
        <is>
          <t>📥 รวมข้อสอบด่วน (แถว 88), 📥 รวมข้อสอบด่วน (แถว 91), 📥 รวมข้อสอบด่วน (แถว 92), 📥 รวมข้อสอบด่วน (แถว 93), 📥 รวมข้อสอบด่วน (แถว 94), 📥 รวมข้อสอบด่วน (แถว 95)</t>
        </is>
      </c>
    </row>
    <row r="30">
      <c r="A30" s="57" t="n">
        <v>28</v>
      </c>
      <c r="B30" s="58" t="inlineStr">
        <is>
          <t>CASE_PRD_M83_TB_C01</t>
        </is>
      </c>
      <c r="C30" s="57" t="inlineStr">
        <is>
          <t>PRD</t>
        </is>
      </c>
      <c r="D30" s="57" t="inlineStr">
        <is>
          <t>M83</t>
        </is>
      </c>
      <c r="E30" s="57" t="inlineStr">
        <is>
          <t>TB</t>
        </is>
      </c>
      <c r="F30" s="57" t="inlineStr">
        <is>
          <t>C01</t>
        </is>
      </c>
      <c r="G30" s="57" t="n">
        <v>5</v>
      </c>
      <c r="H30" s="58" t="inlineStr">
        <is>
          <t>📥 รวมข้อสอบด่วน (แถว 102), 📥 รวมข้อสอบด่วน (แถว 103), 📥 รวมข้อสอบด่วน (แถว 104), 📥 รวมข้อสอบด่วน (แถว 105), 📥 รวมข้อสอบด่วน (แถว 107)</t>
        </is>
      </c>
    </row>
    <row r="31">
      <c r="A31" s="57" t="n">
        <v>29</v>
      </c>
      <c r="B31" s="58" t="inlineStr">
        <is>
          <t>CASE_SAP_M83_AR_C01</t>
        </is>
      </c>
      <c r="C31" s="57" t="inlineStr">
        <is>
          <t>SAP</t>
        </is>
      </c>
      <c r="D31" s="57" t="inlineStr">
        <is>
          <t>M83</t>
        </is>
      </c>
      <c r="E31" s="57" t="inlineStr">
        <is>
          <t>AR</t>
        </is>
      </c>
      <c r="F31" s="57" t="inlineStr">
        <is>
          <t>C01</t>
        </is>
      </c>
      <c r="G31" s="57" t="n">
        <v>1</v>
      </c>
      <c r="H31" s="58" t="inlineStr">
        <is>
          <t>📥 รวมข้อสอบด่วน (แถว 53)</t>
        </is>
      </c>
    </row>
    <row r="32">
      <c r="A32" s="57" t="n">
        <v>30</v>
      </c>
      <c r="B32" s="58" t="inlineStr">
        <is>
          <t>CASE_SAP_M83_DM_C01</t>
        </is>
      </c>
      <c r="C32" s="57" t="inlineStr">
        <is>
          <t>SAP</t>
        </is>
      </c>
      <c r="D32" s="57" t="inlineStr">
        <is>
          <t>M83</t>
        </is>
      </c>
      <c r="E32" s="57" t="inlineStr">
        <is>
          <t>DM</t>
        </is>
      </c>
      <c r="F32" s="57" t="inlineStr">
        <is>
          <t>C01</t>
        </is>
      </c>
      <c r="G32" s="57" t="n">
        <v>1</v>
      </c>
      <c r="H32" s="58" t="inlineStr">
        <is>
          <t>📥 รวมข้อสอบด่วน (แถว 40)</t>
        </is>
      </c>
    </row>
    <row r="33">
      <c r="A33" s="57" t="n">
        <v>31</v>
      </c>
      <c r="B33" s="58" t="inlineStr">
        <is>
          <t>CASE_SAP_M83_GOUT_C01</t>
        </is>
      </c>
      <c r="C33" s="57" t="inlineStr">
        <is>
          <t>SAP</t>
        </is>
      </c>
      <c r="D33" s="57" t="inlineStr">
        <is>
          <t>M83</t>
        </is>
      </c>
      <c r="E33" s="57" t="inlineStr">
        <is>
          <t>GOUT</t>
        </is>
      </c>
      <c r="F33" s="57" t="inlineStr">
        <is>
          <t>C01</t>
        </is>
      </c>
      <c r="G33" s="57" t="n">
        <v>1</v>
      </c>
      <c r="H33" s="58" t="inlineStr">
        <is>
          <t>📥 รวมข้อสอบด่วน (แถว 13)</t>
        </is>
      </c>
    </row>
    <row r="34">
      <c r="A34" s="57" t="n">
        <v>32</v>
      </c>
      <c r="B34" s="58" t="inlineStr">
        <is>
          <t>CASE_SAP_M83_HSV_C01</t>
        </is>
      </c>
      <c r="C34" s="57" t="inlineStr">
        <is>
          <t>SAP</t>
        </is>
      </c>
      <c r="D34" s="57" t="inlineStr">
        <is>
          <t>M83</t>
        </is>
      </c>
      <c r="E34" s="57" t="inlineStr">
        <is>
          <t>HSV</t>
        </is>
      </c>
      <c r="F34" s="57" t="inlineStr">
        <is>
          <t>C01</t>
        </is>
      </c>
      <c r="G34" s="57" t="n">
        <v>1</v>
      </c>
      <c r="H34" s="58" t="inlineStr">
        <is>
          <t>📥 รวมข้อสอบด่วน (แถว 127)</t>
        </is>
      </c>
    </row>
    <row r="35">
      <c r="A35" s="57" t="n">
        <v>33</v>
      </c>
      <c r="B35" s="58" t="inlineStr">
        <is>
          <t>CASE_SAP_M83_HTN_C01</t>
        </is>
      </c>
      <c r="C35" s="57" t="inlineStr">
        <is>
          <t>SAP</t>
        </is>
      </c>
      <c r="D35" s="57" t="inlineStr">
        <is>
          <t>M83</t>
        </is>
      </c>
      <c r="E35" s="57" t="inlineStr">
        <is>
          <t>HTN</t>
        </is>
      </c>
      <c r="F35" s="57" t="inlineStr">
        <is>
          <t>C01</t>
        </is>
      </c>
      <c r="G35" s="57" t="n">
        <v>1</v>
      </c>
      <c r="H35" s="58" t="inlineStr">
        <is>
          <t>📥 รวมข้อสอบด่วน (แถว 25)</t>
        </is>
      </c>
    </row>
    <row r="36">
      <c r="A36" s="57" t="n">
        <v>34</v>
      </c>
      <c r="B36" s="58" t="inlineStr">
        <is>
          <t>CASE_SAP_M83_IDA_C01</t>
        </is>
      </c>
      <c r="C36" s="57" t="inlineStr">
        <is>
          <t>SAP</t>
        </is>
      </c>
      <c r="D36" s="57" t="inlineStr">
        <is>
          <t>M83</t>
        </is>
      </c>
      <c r="E36" s="57" t="inlineStr">
        <is>
          <t>IDA</t>
        </is>
      </c>
      <c r="F36" s="57" t="inlineStr">
        <is>
          <t>C01</t>
        </is>
      </c>
      <c r="G36" s="57" t="n">
        <v>1</v>
      </c>
      <c r="H36" s="58" t="inlineStr">
        <is>
          <t>📥 รวมข้อสอบด่วน (แถว 67)</t>
        </is>
      </c>
    </row>
    <row r="37">
      <c r="A37" s="57" t="n">
        <v>35</v>
      </c>
      <c r="B37" s="58" t="inlineStr">
        <is>
          <t>CASE_SAP_M83_LUNG_C01</t>
        </is>
      </c>
      <c r="C37" s="57" t="inlineStr">
        <is>
          <t>SAP</t>
        </is>
      </c>
      <c r="D37" s="57" t="inlineStr">
        <is>
          <t>M83</t>
        </is>
      </c>
      <c r="E37" s="57" t="inlineStr">
        <is>
          <t>LUNG</t>
        </is>
      </c>
      <c r="F37" s="57" t="inlineStr">
        <is>
          <t>C01</t>
        </is>
      </c>
      <c r="G37" s="57" t="n">
        <v>1</v>
      </c>
      <c r="H37" s="58" t="inlineStr">
        <is>
          <t>📥 รวมข้อสอบด่วน (แถว 85)</t>
        </is>
      </c>
    </row>
    <row r="38">
      <c r="A38" s="57" t="n">
        <v>36</v>
      </c>
      <c r="B38" s="58" t="inlineStr">
        <is>
          <t>CASE_SAP_M83_OC_C01</t>
        </is>
      </c>
      <c r="C38" s="57" t="inlineStr">
        <is>
          <t>SAP</t>
        </is>
      </c>
      <c r="D38" s="57" t="inlineStr">
        <is>
          <t>M83</t>
        </is>
      </c>
      <c r="E38" s="57" t="inlineStr">
        <is>
          <t>OC</t>
        </is>
      </c>
      <c r="F38" s="57" t="inlineStr">
        <is>
          <t>C01</t>
        </is>
      </c>
      <c r="G38" s="57" t="n">
        <v>1</v>
      </c>
      <c r="H38" s="58" t="inlineStr">
        <is>
          <t>📥 รวมข้อสอบด่วน (แถว 96)</t>
        </is>
      </c>
    </row>
    <row r="39">
      <c r="A39" s="57" t="n">
        <v>37</v>
      </c>
      <c r="B39" s="58" t="inlineStr">
        <is>
          <t>CASE_SAP_M83_TB_C01</t>
        </is>
      </c>
      <c r="C39" s="57" t="inlineStr">
        <is>
          <t>SAP</t>
        </is>
      </c>
      <c r="D39" s="57" t="inlineStr">
        <is>
          <t>M83</t>
        </is>
      </c>
      <c r="E39" s="57" t="inlineStr">
        <is>
          <t>TB</t>
        </is>
      </c>
      <c r="F39" s="57" t="inlineStr">
        <is>
          <t>C01</t>
        </is>
      </c>
      <c r="G39" s="57" t="n">
        <v>2</v>
      </c>
      <c r="H39" s="58" t="inlineStr">
        <is>
          <t>📥 รวมข้อสอบด่วน (แถว 108), 📥 รวมข้อสอบด่วน (แถว 109)</t>
        </is>
      </c>
    </row>
  </sheetData>
  <mergeCells count="1">
    <mergeCell ref="A1:H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25" customWidth="1" style="49" min="1" max="1"/>
    <col width="25" customWidth="1" style="49" min="2" max="2"/>
    <col width="25" customWidth="1" style="49" min="3" max="3"/>
    <col width="25" customWidth="1" style="49" min="4" max="4"/>
    <col width="25" customWidth="1" style="49" min="5" max="5"/>
    <col width="25" customWidth="1" style="49" min="6" max="6"/>
    <col width="25" customWidth="1" style="49" min="7" max="7"/>
  </cols>
  <sheetData>
    <row r="1" ht="35" customHeight="1" s="49">
      <c r="A1" s="55">
        <f>HYPERLINK("#'สารบัญ'!A1", "🏠 กลับสู่หน้าแรก (Go to Home Page)")</f>
        <v/>
      </c>
    </row>
    <row r="3" ht="30" customHeight="1" s="49">
      <c r="A3" s="71" t="inlineStr">
        <is>
          <t>📋 คู่มือการใช้งานระบบคลังข้อสอบ PLE-CC และมาตรฐานการบันทึกข้อมูล (RxCU 2569)</t>
        </is>
      </c>
    </row>
    <row r="5" ht="25" customHeight="1" s="49">
      <c r="A5" s="72" t="inlineStr">
        <is>
          <t>📁 1. โครงสร้างแท็บในสมุดงาน (Sheet Layout Overview)</t>
        </is>
      </c>
    </row>
    <row r="6" ht="22" customHeight="1" s="49">
      <c r="A6" s="61" t="inlineStr">
        <is>
          <t>กลุ่มแท็บ / ชื่อชีต</t>
        </is>
      </c>
      <c r="B6" s="61" t="inlineStr">
        <is>
          <t>คำอธิบายหน้าที่และการใช้งาน</t>
        </is>
      </c>
    </row>
    <row r="7" ht="20" customHeight="1" s="49">
      <c r="A7" s="73" t="inlineStr">
        <is>
          <t>สารบัญ</t>
        </is>
      </c>
      <c r="B7" s="74" t="inlineStr">
        <is>
          <t>หน้าแรกของระบบ แสดงสารบัญ 36 หมวดวิชา พร้อมจำนวนข้อสอบจริงและปุ่มคลิกทางลัด (HYPERLINK)</t>
        </is>
      </c>
      <c r="C7" s="80" t="n"/>
      <c r="D7" s="80" t="n"/>
      <c r="E7" s="80" t="n"/>
      <c r="F7" s="80" t="n"/>
      <c r="G7" s="81" t="n"/>
    </row>
    <row r="8" ht="20" customHeight="1" s="49">
      <c r="A8" s="73" t="inlineStr">
        <is>
          <t>📥 รวมข้อสอบด่วน</t>
        </is>
      </c>
      <c r="B8" s="74" t="inlineStr">
        <is>
          <t>คลังข้อสอบด่วนรวมทุกวิชา รองรับการสุ่มชุดข้อสอบต่อเนื่อง (Case Clusters) และ Mock Exams โดยมี Case ID ใน Col 18 (R)</t>
        </is>
      </c>
      <c r="C8" s="80" t="n"/>
      <c r="D8" s="80" t="n"/>
      <c r="E8" s="80" t="n"/>
      <c r="F8" s="80" t="n"/>
      <c r="G8" s="81" t="n"/>
    </row>
    <row r="9" ht="20" customHeight="1" s="49">
      <c r="A9" s="73" t="inlineStr">
        <is>
          <t>📑 ทะเบียนรหัสเคส</t>
        </is>
      </c>
      <c r="B9" s="74" t="inlineStr">
        <is>
          <t>ทะเบียนรหัสเคสกรณีศึกษาต่อเนื่อง (Master Case Directory) ป้องกันการตั้งรหัสเคสซ้ำซ้อน แสดงประเภทเคสและตำแหน่งแถว</t>
        </is>
      </c>
      <c r="C9" s="80" t="n"/>
      <c r="D9" s="80" t="n"/>
      <c r="E9" s="80" t="n"/>
      <c r="F9" s="80" t="n"/>
      <c r="G9" s="81" t="n"/>
    </row>
    <row r="10" ht="20" customHeight="1" s="49">
      <c r="A10" s="73" t="inlineStr">
        <is>
          <t>1. Musculo ถึง 18. Clinical Nutrition</t>
        </is>
      </c>
      <c r="B10" s="74" t="inlineStr">
        <is>
          <t>หมวดวิชาคลินิก (PLE-CC1 CLINIC) รวม 18 หมวดวิชา มีหัวตาราง Case ID ใน Col 17 (Q)</t>
        </is>
      </c>
      <c r="C10" s="80" t="n"/>
      <c r="D10" s="80" t="n"/>
      <c r="E10" s="80" t="n"/>
      <c r="F10" s="80" t="n"/>
      <c r="G10" s="81" t="n"/>
    </row>
    <row r="11" ht="20" customHeight="1" s="49">
      <c r="A11" s="73" t="inlineStr">
        <is>
          <t>1. Titrations ถึง 13. MedChem</t>
        </is>
      </c>
      <c r="B11" s="74" t="inlineStr">
        <is>
          <t>หมวดวิชาวิทยาการเภสัชกรรม (PLE-CC1 PRODUCT) รวม 13 หมวดวิชา มีหัวตาราง Case ID ใน Col 17 (Q)</t>
        </is>
      </c>
      <c r="C11" s="80" t="n"/>
      <c r="D11" s="80" t="n"/>
      <c r="E11" s="80" t="n"/>
      <c r="F11" s="80" t="n"/>
      <c r="G11" s="81" t="n"/>
    </row>
    <row r="12" ht="20" customHeight="1" s="49">
      <c r="A12" s="73" t="inlineStr">
        <is>
          <t>1. Laws &amp; Ethics ถึง 3. Research</t>
        </is>
      </c>
      <c r="B12" s="74" t="inlineStr">
        <is>
          <t>หมวดวิชาสังคมและบริหารเภสัชกิจ (PLE-CC1 SAP) รวม 3 หมวดวิชา มีหัวตาราง Case ID ใน Col 17 (Q)</t>
        </is>
      </c>
      <c r="C12" s="80" t="n"/>
      <c r="D12" s="80" t="n"/>
      <c r="E12" s="80" t="n"/>
      <c r="F12" s="80" t="n"/>
      <c r="G12" s="81" t="n"/>
    </row>
    <row r="13" ht="20" customHeight="1" s="49">
      <c r="A13" s="73" t="inlineStr">
        <is>
          <t>Log_Quiz_Results &amp; ผู้ใช้</t>
        </is>
      </c>
      <c r="B13" s="74" t="inlineStr">
        <is>
          <t>ระบบบันทึกประวัติผลการสอบและการใช้งานของนิสิต (Backend Logging)</t>
        </is>
      </c>
      <c r="C13" s="80" t="n"/>
      <c r="D13" s="80" t="n"/>
      <c r="E13" s="80" t="n"/>
      <c r="F13" s="80" t="n"/>
      <c r="G13" s="81" t="n"/>
    </row>
    <row r="15" ht="25" customHeight="1" s="49">
      <c r="A15" s="72" t="inlineStr">
        <is>
          <t>🏷️ 2. มาตรฐานการระบุรหัสเคสต่อเนื่อง (The Master Non-Collision Syntax)</t>
        </is>
      </c>
    </row>
    <row r="16" ht="28" customHeight="1" s="49">
      <c r="A16" s="75" t="inlineStr">
        <is>
          <t>ไวยากรณ์มาตรฐาน: CASE_{TYPE}_{SET}_{TOPIC}_{CASE_NO}_Q{ORDER}</t>
        </is>
      </c>
    </row>
    <row r="17" ht="22" customHeight="1" s="49">
      <c r="A17" s="61" t="inlineStr">
        <is>
          <t>พารามิเตอร์</t>
        </is>
      </c>
      <c r="B17" s="61" t="inlineStr">
        <is>
          <t>ความหมาย</t>
        </is>
      </c>
      <c r="C17" s="61" t="inlineStr">
        <is>
          <t>ตัวอย่างค่าที่ใช้ได้จริง (Allowed Values)</t>
        </is>
      </c>
    </row>
    <row r="18" ht="35" customHeight="1" s="49">
      <c r="A18" s="76" t="inlineStr">
        <is>
          <t>{TYPE}</t>
        </is>
      </c>
      <c r="B18" s="77" t="inlineStr">
        <is>
          <t>ประเภทเคส</t>
        </is>
      </c>
      <c r="C18" s="78" t="inlineStr">
        <is>
          <t>INT = เคสบูรณาการข้ามสายวิชา (Clinic + Product + SAP)
CLN = เคสคลินิกล้วน
PRD = เคสผลิตภัณฑ์/ตำรับล้วน
SAP = เคสบริหาร/กฎหมายล้วน</t>
        </is>
      </c>
      <c r="D18" s="80" t="n"/>
      <c r="E18" s="80" t="n"/>
      <c r="F18" s="80" t="n"/>
      <c r="G18" s="81" t="n"/>
    </row>
    <row r="19" ht="35" customHeight="1" s="49">
      <c r="A19" s="76" t="inlineStr">
        <is>
          <t>{SET}</t>
        </is>
      </c>
      <c r="B19" s="77" t="inlineStr">
        <is>
          <t>รหัสชุดข้อสอบ</t>
        </is>
      </c>
      <c r="C19" s="78" t="inlineStr">
        <is>
          <t>M83 = Mock RxCU83
M68 = Mock 2568
MP = เล่มม่วง PharmaPlus
Q2569 = ข้อสอบประจำปี 2569</t>
        </is>
      </c>
      <c r="D19" s="80" t="n"/>
      <c r="E19" s="80" t="n"/>
      <c r="F19" s="80" t="n"/>
      <c r="G19" s="81" t="n"/>
    </row>
    <row r="20" ht="35" customHeight="1" s="49">
      <c r="A20" s="76" t="inlineStr">
        <is>
          <t>{TOPIC}</t>
        </is>
      </c>
      <c r="B20" s="77" t="inlineStr">
        <is>
          <t>รหัสย่อโรค/เรื่อง</t>
        </is>
      </c>
      <c r="C20" s="78" t="inlineStr">
        <is>
          <t>GOUT = โรคเกาต์
HTN = ความดันโลหิตสูง
DM = เบาหวาน
AR = ภูมิแพ้
IDA = โลหิตจาง
LUNG = มะเร็งปอด
OC = คุมกำเนิด
TB = วัณโรค
MIG = ไมเกรน
HSV = ไวรัสเริม
STERILE = ยาฉีด</t>
        </is>
      </c>
      <c r="D20" s="80" t="n"/>
      <c r="E20" s="80" t="n"/>
      <c r="F20" s="80" t="n"/>
      <c r="G20" s="81" t="n"/>
    </row>
    <row r="21" ht="35" customHeight="1" s="49">
      <c r="A21" s="76" t="inlineStr">
        <is>
          <t>{CASE_NO}</t>
        </is>
      </c>
      <c r="B21" s="77" t="inlineStr">
        <is>
          <t>ลำดับเคสในโรคนั้น</t>
        </is>
      </c>
      <c r="C21" s="78" t="inlineStr">
        <is>
          <t>C01 = เคสที่ 1
C02 = เคสที่ 2 (ทำให้โรคเดียวกันในชุดเดียวกันมีกี่เคสก็ไม่ชนกัน)</t>
        </is>
      </c>
      <c r="D21" s="80" t="n"/>
      <c r="E21" s="80" t="n"/>
      <c r="F21" s="80" t="n"/>
      <c r="G21" s="81" t="n"/>
    </row>
    <row r="22" ht="35" customHeight="1" s="49">
      <c r="A22" s="76" t="inlineStr">
        <is>
          <t>_Q{ORDER}</t>
        </is>
      </c>
      <c r="B22" s="77" t="inlineStr">
        <is>
          <t>ลำดับข้อย่อย</t>
        </is>
      </c>
      <c r="C22" s="78" t="inlineStr">
        <is>
          <t>_Q1, _Q2, _Q3, _Q4 ตามลำดับคำถามในเคสนั้น</t>
        </is>
      </c>
      <c r="D22" s="80" t="n"/>
      <c r="E22" s="80" t="n"/>
      <c r="F22" s="80" t="n"/>
      <c r="G22" s="81" t="n"/>
    </row>
    <row r="24" ht="25" customHeight="1" s="49">
      <c r="A24" s="72" t="inlineStr">
        <is>
          <t>📍 3. กฎตำแหน่งคอลัมน์ และการจัดรูปแบบเฉลย (Formatting Rules)</t>
        </is>
      </c>
    </row>
    <row r="25" ht="40" customHeight="1" s="49">
      <c r="A25" s="79" t="inlineStr">
        <is>
          <t>ตำแหน่งคอลัมน์ Case ID</t>
        </is>
      </c>
      <c r="B25" s="78" t="inlineStr">
        <is>
          <t>ในแท็บปกติ 34 วิชา ใส่ที่ Column Q (Col 17)
ในแท็บ 📥 รวมข้อสอบด่วน ใส่ที่ Column R (Col 18) เพราะ Col Q คือชีตปลายทาง ★</t>
        </is>
      </c>
      <c r="C25" s="80" t="n"/>
      <c r="D25" s="80" t="n"/>
      <c r="E25" s="80" t="n"/>
      <c r="F25" s="80" t="n"/>
      <c r="G25" s="81" t="n"/>
    </row>
    <row r="26" ht="40" customHeight="1" s="49">
      <c r="A26" s="79" t="inlineStr">
        <is>
          <t>ข้อสอบเดี่ยว (Single item)</t>
        </is>
      </c>
      <c r="B26" s="78" t="inlineStr">
        <is>
          <t>ปล่อยว่างไว้ (Leave blank) ห้ามใส่รหัสเคส</t>
        </is>
      </c>
      <c r="C26" s="80" t="n"/>
      <c r="D26" s="80" t="n"/>
      <c r="E26" s="80" t="n"/>
      <c r="F26" s="80" t="n"/>
      <c r="G26" s="81" t="n"/>
    </row>
    <row r="27" ht="40" customHeight="1" s="49">
      <c r="A27" s="79" t="inlineStr">
        <is>
          <t>ห้ามใช้เครื่องหมายดอกจัน (*)</t>
        </is>
      </c>
      <c r="B27" s="78" t="inlineStr">
        <is>
          <t>ห้ามมี * หรือ ** ในทุกเซลล์ (โจทย์, ตัวเลือก, เฉลย) เด็ดขาด เซลล์ต้องเป็น Clean Plain Text</t>
        </is>
      </c>
      <c r="C27" s="80" t="n"/>
      <c r="D27" s="80" t="n"/>
      <c r="E27" s="80" t="n"/>
      <c r="F27" s="80" t="n"/>
      <c r="G27" s="81" t="n"/>
    </row>
    <row r="28" ht="40" customHeight="1" s="49">
      <c r="A28" s="79" t="inlineStr">
        <is>
          <t>ห้ามใช้แท็ก &lt;br&gt;</t>
        </is>
      </c>
      <c r="B28" s="78" t="inlineStr">
        <is>
          <t>ห้ามใส่ &lt;br&gt; ในเซลล์เด็ดขาด ให้ใช้การเคาะขึ้นบรรทัดใหม่จริง (\n\n) หรือกด Alt + Enter</t>
        </is>
      </c>
      <c r="C28" s="80" t="n"/>
      <c r="D28" s="80" t="n"/>
      <c r="E28" s="80" t="n"/>
      <c r="F28" s="80" t="n"/>
      <c r="G28" s="81" t="n"/>
    </row>
    <row r="29" ht="40" customHeight="1" s="49">
      <c r="A29" s="79" t="inlineStr">
        <is>
          <t>โครงสร้างเฉลยมาตรฐาน 6 มิติ</t>
        </is>
      </c>
      <c r="B29" s="78" t="inlineStr">
        <is>
          <t>ต้องประกอบด้วย 6 หัวข้อเสมอ:
1. ✅ คำตอบที่ถูกต้อง: ข้อ [ก-จ]. [ข้อความ]
2. 💡 Background:
3. 🎯 ทำไมข้อนี้ถึงถูก:
4. 🔍 ข้ออื่นผิดเพราะอะไร: (แจงเหตุผลและกลไกรายตัวเลือก ห้ามตอบลวกๆ ว่าไม่ตรงกับโจทย์)
5. 📖 Guideline อ้างอิง: (ระบุชื่อทางการจริง ห้ามสร้างเอง)
6. 📌 จุดจำก่อนสอบ:</t>
        </is>
      </c>
      <c r="C29" s="80" t="n"/>
      <c r="D29" s="80" t="n"/>
      <c r="E29" s="80" t="n"/>
      <c r="F29" s="80" t="n"/>
      <c r="G29" s="81" t="n"/>
    </row>
  </sheetData>
  <mergeCells count="25">
    <mergeCell ref="A5:G5"/>
    <mergeCell ref="B8:G8"/>
    <mergeCell ref="B13:G13"/>
    <mergeCell ref="B29:G29"/>
    <mergeCell ref="B10:G10"/>
    <mergeCell ref="C20:G20"/>
    <mergeCell ref="B28:G28"/>
    <mergeCell ref="B9:G9"/>
    <mergeCell ref="A24:G24"/>
    <mergeCell ref="A15:G15"/>
    <mergeCell ref="C22:G22"/>
    <mergeCell ref="B6:G6"/>
    <mergeCell ref="C21:G21"/>
    <mergeCell ref="A1:G1"/>
    <mergeCell ref="A16:G16"/>
    <mergeCell ref="B26:G26"/>
    <mergeCell ref="B7:G7"/>
    <mergeCell ref="B25:G25"/>
    <mergeCell ref="C17:G17"/>
    <mergeCell ref="A3:G3"/>
    <mergeCell ref="B27:G27"/>
    <mergeCell ref="C19:G19"/>
    <mergeCell ref="B12:G12"/>
    <mergeCell ref="C18:G18"/>
    <mergeCell ref="B11:G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2026-09-30T07:05:42Z</dcterms:modified>
  <cp:lastModifiedBy>Thanadol Nareekum</cp:lastModifiedBy>
</cp:coreProperties>
</file>